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r:id="rId24"/>
    <sheet name="收益法" sheetId="15"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B17" i="3"/>
  <c r="B16" i="3"/>
  <c r="N6" i="1"/>
  <c r="E104" i="33"/>
  <c r="F104" i="33" s="1"/>
  <c r="G104" i="33" s="1"/>
  <c r="D104" i="33"/>
  <c r="C33" i="33"/>
  <c r="H72" i="77" l="1"/>
  <c r="H71" i="77"/>
  <c r="H73" i="77" l="1"/>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47" i="33"/>
  <c r="G62" i="33"/>
  <c r="G40" i="33"/>
  <c r="G36" i="33"/>
  <c r="E47" i="33"/>
  <c r="F62" i="33"/>
  <c r="E40" i="33"/>
  <c r="E36" i="33"/>
  <c r="C36" i="33"/>
  <c r="C37" i="21" l="1"/>
  <c r="D122" i="21"/>
  <c r="E122" i="21"/>
  <c r="F122" i="21"/>
  <c r="G122" i="21"/>
  <c r="C122" i="21"/>
  <c r="Y6" i="1" l="1"/>
  <c r="B7" i="4"/>
  <c r="C11" i="4" s="1"/>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9" i="76"/>
  <c r="B12" i="76"/>
  <c r="E13" i="76"/>
  <c r="B9" i="76"/>
  <c r="B8" i="76"/>
  <c r="E8" i="76"/>
  <c r="B11" i="76"/>
  <c r="B10" i="76"/>
  <c r="E11" i="76"/>
  <c r="B13" i="76"/>
  <c r="B7" i="76"/>
  <c r="E7" i="76"/>
  <c r="E12" i="76"/>
  <c r="E10"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D3" i="73"/>
  <c r="F3" i="73"/>
  <c r="F4" i="73"/>
  <c r="F6" i="73"/>
  <c r="D6" i="73"/>
  <c r="F5" i="73"/>
  <c r="I1" i="73" l="1"/>
  <c r="B39" i="1" s="1"/>
  <c r="D5"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23" i="71" l="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2" i="1"/>
  <c r="AO11" i="1"/>
  <c r="AO9"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R5" i="3" s="1"/>
  <c r="BS493" i="3"/>
  <c r="BT493" i="3"/>
  <c r="BT5" i="3" s="1"/>
  <c r="H494" i="3"/>
  <c r="AC494" i="3"/>
  <c r="BB494" i="3"/>
  <c r="BC494" i="3"/>
  <c r="BD494" i="3"/>
  <c r="BE494" i="3"/>
  <c r="BE5" i="3" s="1"/>
  <c r="BF494" i="3"/>
  <c r="BG494" i="3"/>
  <c r="BH494" i="3"/>
  <c r="BI494" i="3"/>
  <c r="BI5" i="3" s="1"/>
  <c r="BJ494" i="3"/>
  <c r="BK494" i="3"/>
  <c r="BM494" i="3"/>
  <c r="BN494" i="3"/>
  <c r="BO494" i="3"/>
  <c r="BP494" i="3"/>
  <c r="BP5" i="3" s="1"/>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F35" i="39"/>
  <c r="J36" i="39"/>
  <c r="AC36" i="39" s="1"/>
  <c r="W40" i="39"/>
  <c r="U30"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F36" i="34"/>
  <c r="J35" i="34"/>
  <c r="W9" i="34"/>
  <c r="U34" i="34"/>
  <c r="H39" i="33"/>
  <c r="AB39" i="33" s="1"/>
  <c r="S40" i="33"/>
  <c r="W33" i="33"/>
  <c r="F11" i="40"/>
  <c r="AA11" i="40" s="1"/>
  <c r="H11" i="40"/>
  <c r="AB11" i="40" s="1"/>
  <c r="W8" i="40"/>
  <c r="AA9" i="40"/>
  <c r="U9" i="40"/>
  <c r="F42" i="39"/>
  <c r="F41" i="39"/>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AB8" i="39"/>
  <c r="W32" i="40"/>
  <c r="F37" i="39"/>
  <c r="AA37" i="39" s="1"/>
  <c r="J34" i="36"/>
  <c r="W34" i="36" s="1"/>
  <c r="U30" i="36"/>
  <c r="J30" i="35"/>
  <c r="W30" i="35" s="1"/>
  <c r="H30" i="35"/>
  <c r="F22" i="35"/>
  <c r="AA22" i="35" s="1"/>
  <c r="H10" i="35"/>
  <c r="U10" i="35" s="1"/>
  <c r="F33" i="36"/>
  <c r="AA33" i="36" s="1"/>
  <c r="W30" i="36"/>
  <c r="H16" i="36"/>
  <c r="AB16" i="36" s="1"/>
  <c r="J29" i="36"/>
  <c r="AC29" i="36" s="1"/>
  <c r="F12" i="36"/>
  <c r="S12" i="36" s="1"/>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W8" i="34"/>
  <c r="J28" i="34"/>
  <c r="W28" i="34" s="1"/>
  <c r="F41" i="33"/>
  <c r="AA41" i="33" s="1"/>
  <c r="E113" i="33"/>
  <c r="F113" i="33" s="1"/>
  <c r="G113" i="33" s="1"/>
  <c r="H113" i="33" s="1"/>
  <c r="I113" i="33" s="1"/>
  <c r="J113" i="33" s="1"/>
  <c r="K113" i="33" s="1"/>
  <c r="L113" i="33" s="1"/>
  <c r="M113" i="33" s="1"/>
  <c r="F32" i="33"/>
  <c r="AA32" i="33" s="1"/>
  <c r="F11" i="33"/>
  <c r="AA11" i="33" s="1"/>
  <c r="F37" i="40"/>
  <c r="AA37" i="40" s="1"/>
  <c r="F36" i="40"/>
  <c r="AA36" i="40" s="1"/>
  <c r="H28" i="40"/>
  <c r="U28" i="40" s="1"/>
  <c r="F23" i="40"/>
  <c r="AA23" i="40" s="1"/>
  <c r="F17" i="40"/>
  <c r="AA17" i="40" s="1"/>
  <c r="J17" i="40"/>
  <c r="W17" i="40" s="1"/>
  <c r="F15" i="40"/>
  <c r="S15" i="40" s="1"/>
  <c r="H15" i="40"/>
  <c r="AB15" i="40" s="1"/>
  <c r="AA12" i="36"/>
  <c r="AB30" i="36"/>
  <c r="AC34" i="36"/>
  <c r="F29" i="35"/>
  <c r="H29" i="35"/>
  <c r="AB29" i="35" s="1"/>
  <c r="H33" i="37"/>
  <c r="AB33" i="37" s="1"/>
  <c r="F33" i="37"/>
  <c r="AA33" i="37" s="1"/>
  <c r="U34" i="37"/>
  <c r="S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J11" i="33"/>
  <c r="W11" i="33" s="1"/>
  <c r="S28" i="34"/>
  <c r="U23" i="40"/>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F45" i="21"/>
  <c r="AA45" i="21" s="1"/>
  <c r="H31" i="33"/>
  <c r="U31" i="33" s="1"/>
  <c r="H30" i="34"/>
  <c r="J46" i="34"/>
  <c r="J26" i="36"/>
  <c r="W26" i="36" s="1"/>
  <c r="H28" i="36"/>
  <c r="U28" i="36" s="1"/>
  <c r="J32" i="36"/>
  <c r="J11" i="36"/>
  <c r="AC11" i="36" s="1"/>
  <c r="H11" i="36"/>
  <c r="F11" i="36"/>
  <c r="J13" i="36"/>
  <c r="AC13" i="36" s="1"/>
  <c r="J29" i="37"/>
  <c r="W29" i="37" s="1"/>
  <c r="F29" i="37"/>
  <c r="S29" i="37" s="1"/>
  <c r="H36" i="37"/>
  <c r="AB36" i="37" s="1"/>
  <c r="F107" i="37"/>
  <c r="G107" i="37" s="1"/>
  <c r="H107" i="37" s="1"/>
  <c r="I107" i="37" s="1"/>
  <c r="J107" i="37" s="1"/>
  <c r="K107" i="37" s="1"/>
  <c r="L107" i="37" s="1"/>
  <c r="M107" i="37" s="1"/>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F13" i="39"/>
  <c r="J13" i="39"/>
  <c r="W13" i="39" s="1"/>
  <c r="H13" i="39"/>
  <c r="H14" i="40"/>
  <c r="AB14" i="40" s="1"/>
  <c r="J14" i="37"/>
  <c r="AC14" i="37" s="1"/>
  <c r="AA13" i="35"/>
  <c r="U31" i="34"/>
  <c r="U46" i="33"/>
  <c r="AA14" i="33"/>
  <c r="J36" i="37"/>
  <c r="AC36" i="37" s="1"/>
  <c r="J10" i="36"/>
  <c r="AC10" i="36" s="1"/>
  <c r="AB30" i="21"/>
  <c r="AA14" i="37"/>
  <c r="W11" i="36"/>
  <c r="AB31" i="33"/>
  <c r="AC28" i="21"/>
  <c r="S44" i="34"/>
  <c r="BA585" i="3"/>
  <c r="J41" i="39"/>
  <c r="W41" i="39" s="1"/>
  <c r="W36" i="39"/>
  <c r="U36" i="39"/>
  <c r="G523" i="3"/>
  <c r="G580" i="3"/>
  <c r="G550" i="3"/>
  <c r="BL580" i="3"/>
  <c r="BL572" i="3"/>
  <c r="BL506" i="3"/>
  <c r="BL578" i="3"/>
  <c r="BL556" i="3"/>
  <c r="BL504" i="3"/>
  <c r="BA584" i="3"/>
  <c r="BA580" i="3"/>
  <c r="AZ580" i="3" s="1"/>
  <c r="BA568" i="3"/>
  <c r="BA548" i="3"/>
  <c r="BA502" i="3"/>
  <c r="BA583" i="3"/>
  <c r="BA579" i="3"/>
  <c r="BA571" i="3"/>
  <c r="BA545" i="3"/>
  <c r="BA515" i="3"/>
  <c r="BA493" i="3"/>
  <c r="G581" i="3"/>
  <c r="G577" i="3"/>
  <c r="AC557" i="3"/>
  <c r="BQ557" i="3"/>
  <c r="BQ583" i="3"/>
  <c r="BQ581" i="3"/>
  <c r="BQ579" i="3"/>
  <c r="BQ577" i="3"/>
  <c r="BQ575" i="3"/>
  <c r="BQ573" i="3"/>
  <c r="BQ571" i="3"/>
  <c r="BQ569" i="3"/>
  <c r="BQ567" i="3"/>
  <c r="BQ565" i="3"/>
  <c r="BQ563" i="3"/>
  <c r="BQ561" i="3"/>
  <c r="BQ559" i="3"/>
  <c r="G545" i="3"/>
  <c r="BQ555" i="3"/>
  <c r="BQ553" i="3"/>
  <c r="BQ551" i="3"/>
  <c r="BQ549" i="3"/>
  <c r="BQ547" i="3"/>
  <c r="BQ545" i="3"/>
  <c r="BQ543" i="3"/>
  <c r="BQ541" i="3"/>
  <c r="BQ539" i="3"/>
  <c r="BQ537" i="3"/>
  <c r="BQ535" i="3"/>
  <c r="BQ533" i="3"/>
  <c r="BQ531" i="3"/>
  <c r="BQ529" i="3"/>
  <c r="BQ527" i="3"/>
  <c r="BQ525" i="3"/>
  <c r="BQ523" i="3"/>
  <c r="AC521" i="3"/>
  <c r="G521" i="3"/>
  <c r="BQ521" i="3"/>
  <c r="BQ519" i="3"/>
  <c r="BQ517" i="3"/>
  <c r="BQ515" i="3"/>
  <c r="BQ513" i="3"/>
  <c r="BQ511" i="3"/>
  <c r="AC509" i="3"/>
  <c r="BQ509" i="3"/>
  <c r="G501" i="3"/>
  <c r="BQ507" i="3"/>
  <c r="BL507" i="3" s="1"/>
  <c r="BQ505" i="3"/>
  <c r="BL505" i="3"/>
  <c r="BQ503" i="3"/>
  <c r="BQ501" i="3"/>
  <c r="BL501" i="3" s="1"/>
  <c r="BQ499" i="3"/>
  <c r="BQ497" i="3"/>
  <c r="BL497" i="3" s="1"/>
  <c r="BQ495" i="3"/>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17" i="37"/>
  <c r="U17" i="37" s="1"/>
  <c r="F39" i="33"/>
  <c r="AA39" i="33" s="1"/>
  <c r="E123" i="33"/>
  <c r="F123" i="33" s="1"/>
  <c r="G123" i="33" s="1"/>
  <c r="H123" i="33" s="1"/>
  <c r="I123" i="33" s="1"/>
  <c r="J123" i="33" s="1"/>
  <c r="K123" i="33" s="1"/>
  <c r="L123" i="33" s="1"/>
  <c r="M123" i="33" s="1"/>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F32" i="40"/>
  <c r="S32" i="40" s="1"/>
  <c r="H32" i="40"/>
  <c r="AB32" i="40" s="1"/>
  <c r="J36" i="40"/>
  <c r="W36" i="40" s="1"/>
  <c r="AA41" i="34"/>
  <c r="H19" i="37"/>
  <c r="AB19" i="37" s="1"/>
  <c r="H42" i="33"/>
  <c r="AB42" i="33" s="1"/>
  <c r="S28" i="31"/>
  <c r="S27" i="31"/>
  <c r="AC33" i="36"/>
  <c r="U35" i="35"/>
  <c r="W14" i="37"/>
  <c r="U33" i="37"/>
  <c r="AC8" i="37"/>
  <c r="U26" i="37"/>
  <c r="AB13" i="34"/>
  <c r="AB37" i="34"/>
  <c r="W44" i="33"/>
  <c r="U11" i="33"/>
  <c r="U26" i="21"/>
  <c r="U12" i="21"/>
  <c r="W15" i="34"/>
  <c r="AC15" i="34"/>
  <c r="W16" i="35"/>
  <c r="H37" i="21"/>
  <c r="U37" i="21" s="1"/>
  <c r="H19" i="34"/>
  <c r="AB19" i="34"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19" i="40"/>
  <c r="S19" i="40" s="1"/>
  <c r="AC13" i="40"/>
  <c r="W23" i="39"/>
  <c r="H25" i="39"/>
  <c r="AB25" i="39" s="1"/>
  <c r="J25" i="39"/>
  <c r="F25" i="39"/>
  <c r="AA25" i="39" s="1"/>
  <c r="F15" i="39"/>
  <c r="AA15" i="39" s="1"/>
  <c r="H15" i="39"/>
  <c r="U15" i="39" s="1"/>
  <c r="J15" i="39"/>
  <c r="W15" i="39" s="1"/>
  <c r="H41" i="39"/>
  <c r="W27" i="39"/>
  <c r="AB34" i="39"/>
  <c r="U40" i="39"/>
  <c r="W9" i="39"/>
  <c r="J19" i="40"/>
  <c r="AC19" i="40" s="1"/>
  <c r="J50" i="40"/>
  <c r="B54" i="72"/>
  <c r="H103" i="9"/>
  <c r="D8" i="53" s="1"/>
  <c r="B16" i="53"/>
  <c r="B33" i="72" s="1"/>
  <c r="C7" i="37"/>
  <c r="C7" i="34"/>
  <c r="C7" i="36"/>
  <c r="A118" i="9"/>
  <c r="J11" i="39"/>
  <c r="W11" i="39" s="1"/>
  <c r="F11" i="39"/>
  <c r="AA11" i="39" s="1"/>
  <c r="A12" i="52"/>
  <c r="B56" i="72" s="1"/>
  <c r="S11" i="39"/>
  <c r="G4" i="4"/>
  <c r="I4" i="4"/>
  <c r="K5" i="4"/>
  <c r="B47" i="48" s="1"/>
  <c r="N2" i="43"/>
  <c r="F59"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AZ175" i="3" s="1"/>
  <c r="BL176" i="3"/>
  <c r="BA179" i="3"/>
  <c r="AZ179" i="3" s="1"/>
  <c r="BL180" i="3"/>
  <c r="AZ180" i="3" s="1"/>
  <c r="G181" i="3"/>
  <c r="BA183" i="3"/>
  <c r="BL184" i="3"/>
  <c r="G185" i="3"/>
  <c r="BA187" i="3"/>
  <c r="AZ187" i="3" s="1"/>
  <c r="BL188" i="3"/>
  <c r="G189" i="3"/>
  <c r="BA191" i="3"/>
  <c r="AZ191" i="3" s="1"/>
  <c r="BL192" i="3"/>
  <c r="BA195" i="3"/>
  <c r="AZ195" i="3" s="1"/>
  <c r="BL196" i="3"/>
  <c r="G197" i="3"/>
  <c r="BA199" i="3"/>
  <c r="BL200" i="3"/>
  <c r="G201" i="3"/>
  <c r="BA203" i="3"/>
  <c r="BL204" i="3"/>
  <c r="AZ105" i="3"/>
  <c r="G516"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AZ382" i="3" s="1"/>
  <c r="BL382" i="3"/>
  <c r="G383" i="3"/>
  <c r="G386" i="3"/>
  <c r="BL387" i="3"/>
  <c r="BA389" i="3"/>
  <c r="BA390" i="3"/>
  <c r="BL390" i="3"/>
  <c r="G391" i="3"/>
  <c r="G394" i="3"/>
  <c r="BA16" i="3"/>
  <c r="AZ16" i="3" s="1"/>
  <c r="BL303" i="3"/>
  <c r="G304" i="3"/>
  <c r="BA306" i="3"/>
  <c r="AZ306" i="3" s="1"/>
  <c r="BL307" i="3"/>
  <c r="AZ307" i="3" s="1"/>
  <c r="G308" i="3"/>
  <c r="BA310" i="3"/>
  <c r="BL311" i="3"/>
  <c r="AZ311" i="3" s="1"/>
  <c r="G312" i="3"/>
  <c r="BA314" i="3"/>
  <c r="AZ314" i="3" s="1"/>
  <c r="BL315" i="3"/>
  <c r="G316" i="3"/>
  <c r="BA318" i="3"/>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AZ343" i="3" s="1"/>
  <c r="G344" i="3"/>
  <c r="G348" i="3"/>
  <c r="G355" i="3"/>
  <c r="AZ303" i="3"/>
  <c r="AZ335" i="3"/>
  <c r="G342" i="3"/>
  <c r="BL345" i="3"/>
  <c r="G346" i="3"/>
  <c r="BL349" i="3"/>
  <c r="BL352" i="3"/>
  <c r="G353" i="3"/>
  <c r="BA357" i="3"/>
  <c r="AZ357" i="3" s="1"/>
  <c r="BL358" i="3"/>
  <c r="G359" i="3"/>
  <c r="BA361" i="3"/>
  <c r="BL362" i="3"/>
  <c r="G363" i="3"/>
  <c r="BA365" i="3"/>
  <c r="BL366" i="3"/>
  <c r="G367" i="3"/>
  <c r="BA369" i="3"/>
  <c r="AZ369" i="3" s="1"/>
  <c r="BL370" i="3"/>
  <c r="AZ370" i="3" s="1"/>
  <c r="G371" i="3"/>
  <c r="BA373" i="3"/>
  <c r="AZ373" i="3" s="1"/>
  <c r="BL374" i="3"/>
  <c r="AZ374" i="3" s="1"/>
  <c r="G375" i="3"/>
  <c r="BA377" i="3"/>
  <c r="AZ377" i="3" s="1"/>
  <c r="AZ233" i="3"/>
  <c r="AZ237" i="3"/>
  <c r="AZ269" i="3"/>
  <c r="AZ273" i="3"/>
  <c r="BA379" i="3"/>
  <c r="AZ379" i="3" s="1"/>
  <c r="BL380" i="3"/>
  <c r="G381" i="3"/>
  <c r="BA383" i="3"/>
  <c r="AZ383" i="3" s="1"/>
  <c r="BL384" i="3"/>
  <c r="AZ384" i="3" s="1"/>
  <c r="G385" i="3"/>
  <c r="BA387" i="3"/>
  <c r="AZ387" i="3" s="1"/>
  <c r="BL388" i="3"/>
  <c r="G389" i="3"/>
  <c r="BA391" i="3"/>
  <c r="AZ391" i="3" s="1"/>
  <c r="BL392" i="3"/>
  <c r="G393" i="3"/>
  <c r="AZ275" i="3"/>
  <c r="AZ291" i="3"/>
  <c r="BO5" i="3"/>
  <c r="BJ5" i="3"/>
  <c r="BF5" i="3"/>
  <c r="AZ309" i="3"/>
  <c r="AZ341" i="3"/>
  <c r="AC5" i="3"/>
  <c r="G548" i="3"/>
  <c r="G520" i="3"/>
  <c r="BS5" i="3"/>
  <c r="BN5" i="3"/>
  <c r="BK5" i="3"/>
  <c r="BG5" i="3"/>
  <c r="BC5" i="3"/>
  <c r="G17" i="3"/>
  <c r="BA17" i="3"/>
  <c r="AZ350" i="3"/>
  <c r="AZ360" i="3"/>
  <c r="BA15" i="3"/>
  <c r="AZ380" i="3"/>
  <c r="AZ394" i="3"/>
  <c r="BL493" i="3"/>
  <c r="AZ493" i="3" s="1"/>
  <c r="AZ491" i="3"/>
  <c r="AZ376" i="3"/>
  <c r="U36" i="40"/>
  <c r="N4" i="43"/>
  <c r="F36" i="43"/>
  <c r="F81" i="43"/>
  <c r="H83" i="43" s="1"/>
  <c r="H113" i="43"/>
  <c r="F48" i="43"/>
  <c r="H52" i="43" s="1"/>
  <c r="N7" i="43"/>
  <c r="F70" i="43"/>
  <c r="H73" i="43" s="1"/>
  <c r="M6" i="43"/>
  <c r="M11" i="43"/>
  <c r="E17" i="43"/>
  <c r="F39" i="43"/>
  <c r="I17" i="43"/>
  <c r="F35" i="43"/>
  <c r="J17" i="43"/>
  <c r="F6" i="1"/>
  <c r="U17" i="39"/>
  <c r="AC35" i="21"/>
  <c r="G8" i="1"/>
  <c r="G9" i="1"/>
  <c r="G10" i="1"/>
  <c r="F48" i="9"/>
  <c r="O52" i="9" s="1"/>
  <c r="AC11" i="39"/>
  <c r="AZ501" i="3"/>
  <c r="W37" i="37"/>
  <c r="W44" i="34"/>
  <c r="AC44" i="34"/>
  <c r="S15" i="37"/>
  <c r="J37" i="33"/>
  <c r="W37" i="33" s="1"/>
  <c r="AC17" i="34"/>
  <c r="J34" i="33"/>
  <c r="W34" i="33" s="1"/>
  <c r="F33" i="34"/>
  <c r="S33" i="34" s="1"/>
  <c r="W12" i="36"/>
  <c r="AC12" i="36"/>
  <c r="H20" i="36"/>
  <c r="U20" i="36" s="1"/>
  <c r="J20" i="36"/>
  <c r="W20" i="36" s="1"/>
  <c r="W24" i="36"/>
  <c r="J27" i="36"/>
  <c r="W27" i="36" s="1"/>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AZ353" i="3"/>
  <c r="C40" i="11"/>
  <c r="AZ232" i="3"/>
  <c r="AZ268" i="3"/>
  <c r="AZ271" i="3"/>
  <c r="AZ288"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F29" i="6" l="1"/>
  <c r="G123" i="21"/>
  <c r="H123" i="21" s="1"/>
  <c r="I123" i="21" s="1"/>
  <c r="J123" i="21" s="1"/>
  <c r="K123" i="21" s="1"/>
  <c r="L123" i="21" s="1"/>
  <c r="M123" i="21" s="1"/>
  <c r="F42" i="21"/>
  <c r="H42" i="21"/>
  <c r="U42" i="21" s="1"/>
  <c r="AC34" i="35"/>
  <c r="W34" i="35"/>
  <c r="AA27" i="35"/>
  <c r="S27" i="35"/>
  <c r="U8" i="36"/>
  <c r="AB8" i="36"/>
  <c r="AC26" i="37"/>
  <c r="W26" i="37"/>
  <c r="AC31" i="37"/>
  <c r="W31" i="37"/>
  <c r="H13" i="37"/>
  <c r="F13" i="37"/>
  <c r="S13" i="37" s="1"/>
  <c r="H40" i="37"/>
  <c r="U40" i="37" s="1"/>
  <c r="F40" i="37"/>
  <c r="AA40" i="37" s="1"/>
  <c r="AB9" i="39"/>
  <c r="U9" i="39"/>
  <c r="H45" i="39"/>
  <c r="F45" i="39"/>
  <c r="S45" i="39" s="1"/>
  <c r="J45" i="39"/>
  <c r="AA34" i="40"/>
  <c r="S34" i="40"/>
  <c r="J12" i="40"/>
  <c r="H12" i="40"/>
  <c r="J14" i="40"/>
  <c r="W14" i="40" s="1"/>
  <c r="F14" i="40"/>
  <c r="BA577" i="3"/>
  <c r="BA575" i="3"/>
  <c r="BA573" i="3"/>
  <c r="BL571" i="3"/>
  <c r="AZ571" i="3" s="1"/>
  <c r="BL570" i="3"/>
  <c r="BA570" i="3"/>
  <c r="AZ570" i="3" s="1"/>
  <c r="BL568" i="3"/>
  <c r="BL566" i="3"/>
  <c r="BA566" i="3"/>
  <c r="AZ566" i="3" s="1"/>
  <c r="BL564" i="3"/>
  <c r="BA564" i="3"/>
  <c r="BL562" i="3"/>
  <c r="BA562" i="3"/>
  <c r="AZ562" i="3" s="1"/>
  <c r="BL560" i="3"/>
  <c r="AZ560" i="3" s="1"/>
  <c r="BL558" i="3"/>
  <c r="BA558" i="3"/>
  <c r="BA556" i="3"/>
  <c r="AZ556" i="3" s="1"/>
  <c r="BA553" i="3"/>
  <c r="BL552" i="3"/>
  <c r="BA552" i="3"/>
  <c r="BA549" i="3"/>
  <c r="BA547" i="3"/>
  <c r="BA543" i="3"/>
  <c r="BA541" i="3"/>
  <c r="BA539" i="3"/>
  <c r="BA537" i="3"/>
  <c r="BA535" i="3"/>
  <c r="BA531" i="3"/>
  <c r="BA529" i="3"/>
  <c r="BA527" i="3"/>
  <c r="BA525" i="3"/>
  <c r="BA523" i="3"/>
  <c r="BL520" i="3"/>
  <c r="AZ520" i="3" s="1"/>
  <c r="BA520" i="3"/>
  <c r="BL518" i="3"/>
  <c r="BA518" i="3"/>
  <c r="BL516" i="3"/>
  <c r="BA516" i="3"/>
  <c r="BL514" i="3"/>
  <c r="BA514" i="3"/>
  <c r="BA511" i="3"/>
  <c r="AZ511" i="3" s="1"/>
  <c r="BL509" i="3"/>
  <c r="BA509" i="3"/>
  <c r="AZ509" i="3" s="1"/>
  <c r="BL508" i="3"/>
  <c r="BA508" i="3"/>
  <c r="AZ508" i="3" s="1"/>
  <c r="BA506" i="3"/>
  <c r="AZ506" i="3" s="1"/>
  <c r="BA504" i="3"/>
  <c r="AZ504" i="3" s="1"/>
  <c r="BL502" i="3"/>
  <c r="AZ502" i="3" s="1"/>
  <c r="BL500" i="3"/>
  <c r="BA500" i="3"/>
  <c r="BA497" i="3"/>
  <c r="AZ497" i="3" s="1"/>
  <c r="BL496" i="3"/>
  <c r="AZ496" i="3" s="1"/>
  <c r="BA494" i="3"/>
  <c r="AZ568" i="3"/>
  <c r="S29" i="35"/>
  <c r="AA29" i="35"/>
  <c r="S15" i="34"/>
  <c r="AA15" i="34"/>
  <c r="U23" i="34"/>
  <c r="AB23" i="34"/>
  <c r="AC33" i="37"/>
  <c r="W33" i="37"/>
  <c r="AB30" i="35"/>
  <c r="U30" i="35"/>
  <c r="W11" i="40"/>
  <c r="AC11" i="40"/>
  <c r="J13" i="33"/>
  <c r="F13" i="33"/>
  <c r="H13" i="33"/>
  <c r="H29" i="33"/>
  <c r="U29" i="33" s="1"/>
  <c r="F29" i="33"/>
  <c r="S29" i="33" s="1"/>
  <c r="J31" i="33"/>
  <c r="F31" i="33"/>
  <c r="J45" i="33"/>
  <c r="H45" i="33"/>
  <c r="J12" i="34"/>
  <c r="F12" i="34"/>
  <c r="J14" i="34"/>
  <c r="W14" i="34" s="1"/>
  <c r="H14" i="34"/>
  <c r="F14" i="34"/>
  <c r="F30" i="34"/>
  <c r="S30" i="34" s="1"/>
  <c r="J30" i="34"/>
  <c r="H32" i="34"/>
  <c r="J32" i="34"/>
  <c r="W32" i="34" s="1"/>
  <c r="F46" i="34"/>
  <c r="H46" i="34"/>
  <c r="J12" i="35"/>
  <c r="W12" i="35" s="1"/>
  <c r="F12" i="35"/>
  <c r="H11" i="35"/>
  <c r="F11" i="35"/>
  <c r="S11" i="35" s="1"/>
  <c r="J11" i="35"/>
  <c r="J24" i="35"/>
  <c r="AC24" i="35" s="1"/>
  <c r="F24" i="35"/>
  <c r="AA24" i="35" s="1"/>
  <c r="H34" i="35"/>
  <c r="F34" i="35"/>
  <c r="H36" i="35"/>
  <c r="AB36" i="35" s="1"/>
  <c r="J36" i="35"/>
  <c r="F36" i="35"/>
  <c r="S36" i="35" s="1"/>
  <c r="H27" i="37"/>
  <c r="U27" i="37" s="1"/>
  <c r="J27" i="37"/>
  <c r="AC27" i="37" s="1"/>
  <c r="AC8" i="39"/>
  <c r="W8" i="39"/>
  <c r="J43" i="39"/>
  <c r="F43" i="39"/>
  <c r="AA43" i="39" s="1"/>
  <c r="BL576" i="3"/>
  <c r="AZ576" i="3" s="1"/>
  <c r="BL574" i="3"/>
  <c r="BA574" i="3"/>
  <c r="BA572" i="3"/>
  <c r="AZ572" i="3" s="1"/>
  <c r="BA569" i="3"/>
  <c r="BA567" i="3"/>
  <c r="BA565" i="3"/>
  <c r="BL563" i="3"/>
  <c r="BA563" i="3"/>
  <c r="BL561" i="3"/>
  <c r="AZ561" i="3" s="1"/>
  <c r="BA561" i="3"/>
  <c r="BA559" i="3"/>
  <c r="BA557" i="3"/>
  <c r="BL554" i="3"/>
  <c r="BA554" i="3"/>
  <c r="BL546" i="3"/>
  <c r="BA546" i="3"/>
  <c r="BL544" i="3"/>
  <c r="BA544" i="3"/>
  <c r="BA542" i="3"/>
  <c r="AZ542" i="3" s="1"/>
  <c r="BL540" i="3"/>
  <c r="BA540" i="3"/>
  <c r="BL538" i="3"/>
  <c r="AZ538" i="3" s="1"/>
  <c r="BL536" i="3"/>
  <c r="BA536" i="3"/>
  <c r="BL534" i="3"/>
  <c r="BA534" i="3"/>
  <c r="BA532" i="3"/>
  <c r="BL530" i="3"/>
  <c r="BA530" i="3"/>
  <c r="AZ530" i="3" s="1"/>
  <c r="BL528" i="3"/>
  <c r="BA528" i="3"/>
  <c r="AZ528" i="3" s="1"/>
  <c r="BL526" i="3"/>
  <c r="BA526" i="3"/>
  <c r="AZ526" i="3" s="1"/>
  <c r="BL524" i="3"/>
  <c r="BA524" i="3"/>
  <c r="BL522" i="3"/>
  <c r="BA522" i="3"/>
  <c r="AZ522" i="3" s="1"/>
  <c r="BL521" i="3"/>
  <c r="BA521" i="3"/>
  <c r="BL519" i="3"/>
  <c r="BA519" i="3"/>
  <c r="BA517" i="3"/>
  <c r="BA513" i="3"/>
  <c r="BL512" i="3"/>
  <c r="BA512" i="3"/>
  <c r="AZ512" i="3" s="1"/>
  <c r="BL510" i="3"/>
  <c r="BA510" i="3"/>
  <c r="AZ510" i="3" s="1"/>
  <c r="BA507" i="3"/>
  <c r="AZ507" i="3" s="1"/>
  <c r="BA505" i="3"/>
  <c r="AZ505" i="3" s="1"/>
  <c r="BA503" i="3"/>
  <c r="BA499" i="3"/>
  <c r="BL498" i="3"/>
  <c r="BA498" i="3"/>
  <c r="AZ498" i="3" s="1"/>
  <c r="BA495" i="3"/>
  <c r="BL494" i="3"/>
  <c r="AA12" i="40"/>
  <c r="U10" i="21"/>
  <c r="S14" i="35"/>
  <c r="AZ361" i="3"/>
  <c r="AZ345" i="3"/>
  <c r="AZ318" i="3"/>
  <c r="AZ310" i="3"/>
  <c r="AZ390" i="3"/>
  <c r="AZ389" i="3"/>
  <c r="W35" i="40"/>
  <c r="AA25" i="21"/>
  <c r="H24" i="35"/>
  <c r="AB24" i="35" s="1"/>
  <c r="BL513" i="3"/>
  <c r="AZ513" i="3" s="1"/>
  <c r="AC31" i="34"/>
  <c r="W31" i="34"/>
  <c r="U11" i="36"/>
  <c r="AB11" i="36"/>
  <c r="F32" i="34"/>
  <c r="F45" i="33"/>
  <c r="J29" i="33"/>
  <c r="J42" i="21"/>
  <c r="AC42" i="21" s="1"/>
  <c r="AC37" i="34"/>
  <c r="W37" i="34"/>
  <c r="S41" i="39"/>
  <c r="AA41" i="39"/>
  <c r="AB40" i="33"/>
  <c r="U40" i="33"/>
  <c r="J9" i="33"/>
  <c r="AC9" i="33" s="1"/>
  <c r="F9" i="33"/>
  <c r="H9" i="33"/>
  <c r="AB9" i="33" s="1"/>
  <c r="E77" i="33"/>
  <c r="F77" i="33" s="1"/>
  <c r="J15" i="33"/>
  <c r="AC15" i="33" s="1"/>
  <c r="H15" i="33"/>
  <c r="AB15" i="33" s="1"/>
  <c r="F28" i="33"/>
  <c r="AA28" i="33" s="1"/>
  <c r="H28" i="33"/>
  <c r="U28" i="33" s="1"/>
  <c r="H43" i="33"/>
  <c r="AB43" i="33" s="1"/>
  <c r="J43" i="33"/>
  <c r="AC43" i="33" s="1"/>
  <c r="F43" i="33"/>
  <c r="AA43" i="33" s="1"/>
  <c r="AA9" i="34"/>
  <c r="S9" i="34"/>
  <c r="H12" i="34"/>
  <c r="H12" i="35"/>
  <c r="BL525" i="3"/>
  <c r="AZ525" i="3" s="1"/>
  <c r="BL529" i="3"/>
  <c r="AZ529" i="3" s="1"/>
  <c r="BL533" i="3"/>
  <c r="AZ533" i="3" s="1"/>
  <c r="BL537" i="3"/>
  <c r="AZ537" i="3" s="1"/>
  <c r="BL541" i="3"/>
  <c r="AZ541" i="3" s="1"/>
  <c r="BL545" i="3"/>
  <c r="AZ545" i="3" s="1"/>
  <c r="BL549" i="3"/>
  <c r="BL553" i="3"/>
  <c r="AZ553" i="3" s="1"/>
  <c r="BL573" i="3"/>
  <c r="AZ573" i="3" s="1"/>
  <c r="BL577" i="3"/>
  <c r="W46" i="21"/>
  <c r="AC46" i="21"/>
  <c r="AC44" i="21"/>
  <c r="W44" i="21"/>
  <c r="AB33" i="35"/>
  <c r="U33" i="35"/>
  <c r="AA35" i="39"/>
  <c r="S35" i="39"/>
  <c r="H13" i="21"/>
  <c r="J13" i="21"/>
  <c r="AC13" i="21" s="1"/>
  <c r="E79" i="21"/>
  <c r="F17" i="21"/>
  <c r="AA17" i="21" s="1"/>
  <c r="AA34" i="34"/>
  <c r="S34" i="34"/>
  <c r="J27" i="34"/>
  <c r="H27" i="34"/>
  <c r="AB27" i="34" s="1"/>
  <c r="AB8" i="35"/>
  <c r="U8" i="35"/>
  <c r="AC28" i="35"/>
  <c r="W28" i="35"/>
  <c r="H23" i="35"/>
  <c r="F23" i="35"/>
  <c r="AA23" i="35" s="1"/>
  <c r="F25" i="36"/>
  <c r="S25" i="36" s="1"/>
  <c r="H25" i="36"/>
  <c r="AB25" i="36" s="1"/>
  <c r="AA44" i="39"/>
  <c r="S44" i="39"/>
  <c r="J14" i="39"/>
  <c r="H14" i="39"/>
  <c r="AB14" i="39" s="1"/>
  <c r="H44" i="39"/>
  <c r="J44" i="39"/>
  <c r="J37" i="39"/>
  <c r="H37" i="39"/>
  <c r="AB37" i="39" s="1"/>
  <c r="J31" i="40"/>
  <c r="H31" i="40"/>
  <c r="U31" i="40" s="1"/>
  <c r="J33" i="40"/>
  <c r="F33" i="40"/>
  <c r="AA33" i="40" s="1"/>
  <c r="AA42" i="34"/>
  <c r="S42" i="34"/>
  <c r="U42" i="34"/>
  <c r="AB42" i="34"/>
  <c r="AC35" i="39"/>
  <c r="W35" i="39"/>
  <c r="BL584" i="3"/>
  <c r="AZ584" i="3" s="1"/>
  <c r="BL582" i="3"/>
  <c r="BA582" i="3"/>
  <c r="BL581" i="3"/>
  <c r="BA581" i="3"/>
  <c r="BL579" i="3"/>
  <c r="AZ579" i="3" s="1"/>
  <c r="BA578" i="3"/>
  <c r="AZ578" i="3" s="1"/>
  <c r="AZ351" i="3"/>
  <c r="AZ320" i="3"/>
  <c r="AZ378" i="3"/>
  <c r="AZ375" i="3"/>
  <c r="BL495" i="3"/>
  <c r="AZ495" i="3" s="1"/>
  <c r="BL499" i="3"/>
  <c r="BL503" i="3"/>
  <c r="AZ503" i="3" s="1"/>
  <c r="BL543" i="3"/>
  <c r="AZ543" i="3" s="1"/>
  <c r="BL547" i="3"/>
  <c r="AZ547" i="3" s="1"/>
  <c r="BL551" i="3"/>
  <c r="BL555" i="3"/>
  <c r="BL565" i="3"/>
  <c r="BL575" i="3"/>
  <c r="AZ575" i="3" s="1"/>
  <c r="BL583" i="3"/>
  <c r="AZ583" i="3" s="1"/>
  <c r="G582" i="3"/>
  <c r="G556" i="3"/>
  <c r="G552" i="3"/>
  <c r="G551" i="3"/>
  <c r="G14"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AZ461" i="3" s="1"/>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AZ120" i="3"/>
  <c r="AZ144" i="3"/>
  <c r="K108" i="43"/>
  <c r="K100" i="43"/>
  <c r="G108" i="43"/>
  <c r="G100" i="43"/>
  <c r="G483" i="3"/>
  <c r="G487" i="3"/>
  <c r="G491" i="3"/>
  <c r="BL312" i="3"/>
  <c r="AZ312" i="3" s="1"/>
  <c r="G313" i="3"/>
  <c r="BA315" i="3"/>
  <c r="AZ315" i="3" s="1"/>
  <c r="BL317" i="3"/>
  <c r="G318" i="3"/>
  <c r="BA332" i="3"/>
  <c r="AZ332" i="3" s="1"/>
  <c r="BL332" i="3"/>
  <c r="G345" i="3"/>
  <c r="BL346" i="3"/>
  <c r="AZ346" i="3" s="1"/>
  <c r="BA352" i="3"/>
  <c r="AZ352" i="3" s="1"/>
  <c r="BL354" i="3"/>
  <c r="BA358" i="3"/>
  <c r="AZ358" i="3" s="1"/>
  <c r="BL365" i="3"/>
  <c r="AZ365" i="3" s="1"/>
  <c r="G366" i="3"/>
  <c r="BA368" i="3"/>
  <c r="AZ368" i="3" s="1"/>
  <c r="G374" i="3"/>
  <c r="BL375" i="3"/>
  <c r="G378" i="3"/>
  <c r="G387" i="3"/>
  <c r="BA388" i="3"/>
  <c r="AZ388" i="3" s="1"/>
  <c r="BA392" i="3"/>
  <c r="AZ392" i="3" s="1"/>
  <c r="G395" i="3"/>
  <c r="G397" i="3"/>
  <c r="BA208" i="3"/>
  <c r="AZ208" i="3" s="1"/>
  <c r="BL208" i="3"/>
  <c r="G209" i="3"/>
  <c r="G211" i="3"/>
  <c r="BL212" i="3"/>
  <c r="G215" i="3"/>
  <c r="G217" i="3"/>
  <c r="G219" i="3"/>
  <c r="G221" i="3"/>
  <c r="BL222" i="3"/>
  <c r="G225" i="3"/>
  <c r="G227" i="3"/>
  <c r="G229" i="3"/>
  <c r="G231" i="3"/>
  <c r="G236" i="3"/>
  <c r="G240" i="3"/>
  <c r="G242" i="3"/>
  <c r="G244" i="3"/>
  <c r="G246" i="3"/>
  <c r="BL247" i="3"/>
  <c r="BL249" i="3"/>
  <c r="G252" i="3"/>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G114" i="3"/>
  <c r="G116" i="3"/>
  <c r="G118" i="3"/>
  <c r="BA119" i="3"/>
  <c r="G120" i="3"/>
  <c r="G123" i="3"/>
  <c r="BL126" i="3"/>
  <c r="G127" i="3"/>
  <c r="BL130" i="3"/>
  <c r="G131" i="3"/>
  <c r="BL135" i="3"/>
  <c r="AZ135" i="3" s="1"/>
  <c r="G136" i="3"/>
  <c r="BL139" i="3"/>
  <c r="AZ139" i="3" s="1"/>
  <c r="G140" i="3"/>
  <c r="BL141" i="3"/>
  <c r="G144" i="3"/>
  <c r="BL145" i="3"/>
  <c r="BL147" i="3"/>
  <c r="G150" i="3"/>
  <c r="G152" i="3"/>
  <c r="G154" i="3"/>
  <c r="G159" i="3"/>
  <c r="G163" i="3"/>
  <c r="G167" i="3"/>
  <c r="G171" i="3"/>
  <c r="G174" i="3"/>
  <c r="G175" i="3"/>
  <c r="G177" i="3"/>
  <c r="G179" i="3"/>
  <c r="G182" i="3"/>
  <c r="G184" i="3"/>
  <c r="G186" i="3"/>
  <c r="BA190" i="3"/>
  <c r="G191" i="3"/>
  <c r="G193" i="3"/>
  <c r="G195" i="3"/>
  <c r="G198" i="3"/>
  <c r="G200" i="3"/>
  <c r="G202" i="3"/>
  <c r="BL203" i="3"/>
  <c r="AZ203" i="3" s="1"/>
  <c r="G204" i="3"/>
  <c r="BL205" i="3"/>
  <c r="G206" i="3"/>
  <c r="BL207" i="3"/>
  <c r="G18" i="3"/>
  <c r="G20" i="3"/>
  <c r="G22" i="3"/>
  <c r="G24" i="3"/>
  <c r="G26" i="3"/>
  <c r="BL27" i="3"/>
  <c r="BL29" i="3"/>
  <c r="BA31" i="3"/>
  <c r="AZ31" i="3" s="1"/>
  <c r="BL31" i="3"/>
  <c r="G32" i="3"/>
  <c r="G34" i="3"/>
  <c r="G36" i="3"/>
  <c r="G38" i="3"/>
  <c r="G40" i="3"/>
  <c r="G42" i="3"/>
  <c r="G44" i="3"/>
  <c r="G48" i="3"/>
  <c r="BA50" i="3"/>
  <c r="AZ50" i="3" s="1"/>
  <c r="BL50" i="3"/>
  <c r="G51" i="3"/>
  <c r="G53" i="3"/>
  <c r="G55" i="3"/>
  <c r="G57" i="3"/>
  <c r="G59" i="3"/>
  <c r="BL60" i="3"/>
  <c r="G63" i="3"/>
  <c r="G65" i="3"/>
  <c r="G67" i="3"/>
  <c r="G71" i="3"/>
  <c r="G73" i="3"/>
  <c r="G75" i="3"/>
  <c r="G77" i="3"/>
  <c r="BA80" i="3"/>
  <c r="G81" i="3"/>
  <c r="BL83" i="3"/>
  <c r="G86" i="3"/>
  <c r="G90" i="3"/>
  <c r="G92" i="3"/>
  <c r="G94" i="3"/>
  <c r="G96" i="3"/>
  <c r="BL97" i="3"/>
  <c r="G100" i="3"/>
  <c r="G102" i="3"/>
  <c r="BA104" i="3"/>
  <c r="G105" i="3"/>
  <c r="G107" i="3"/>
  <c r="G109" i="3"/>
  <c r="G111" i="3"/>
  <c r="BL112" i="3"/>
  <c r="E59" i="43"/>
  <c r="B57" i="43" s="1"/>
  <c r="C24" i="43" s="1"/>
  <c r="E91" i="33"/>
  <c r="E89" i="33" s="1"/>
  <c r="D89" i="33"/>
  <c r="F26" i="33" s="1"/>
  <c r="AA26" i="33" s="1"/>
  <c r="H26" i="33"/>
  <c r="U26" i="33" s="1"/>
  <c r="F42" i="33"/>
  <c r="AA42" i="33" s="1"/>
  <c r="J42" i="33"/>
  <c r="AC42" i="33" s="1"/>
  <c r="W39" i="33"/>
  <c r="H35" i="33"/>
  <c r="AB35" i="33" s="1"/>
  <c r="F35" i="33"/>
  <c r="S35" i="33" s="1"/>
  <c r="U8" i="33"/>
  <c r="S41" i="33"/>
  <c r="U43" i="33"/>
  <c r="I4" i="6"/>
  <c r="G3" i="43" s="1"/>
  <c r="F22" i="43" s="1"/>
  <c r="C5" i="11"/>
  <c r="BA121" i="3"/>
  <c r="AZ121" i="3" s="1"/>
  <c r="BA122" i="3"/>
  <c r="BA128" i="3"/>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AZ65" i="3" s="1"/>
  <c r="BA67" i="3"/>
  <c r="AZ67" i="3" s="1"/>
  <c r="BA71" i="3"/>
  <c r="AZ71" i="3" s="1"/>
  <c r="BA78" i="3"/>
  <c r="AZ78" i="3" s="1"/>
  <c r="BA79" i="3"/>
  <c r="AZ79" i="3" s="1"/>
  <c r="BA81" i="3"/>
  <c r="AZ81" i="3" s="1"/>
  <c r="AZ82" i="3"/>
  <c r="BA86" i="3"/>
  <c r="BA88" i="3"/>
  <c r="BA90" i="3"/>
  <c r="AZ90" i="3" s="1"/>
  <c r="AZ188" i="3"/>
  <c r="AZ128" i="3"/>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AZ220" i="3" s="1"/>
  <c r="BL220" i="3"/>
  <c r="BA164" i="3"/>
  <c r="AZ164" i="3" s="1"/>
  <c r="BA166" i="3"/>
  <c r="BA170" i="3"/>
  <c r="AZ170" i="3" s="1"/>
  <c r="BL170" i="3"/>
  <c r="BA173" i="3"/>
  <c r="AZ173" i="3" s="1"/>
  <c r="BL173" i="3"/>
  <c r="BL225" i="3"/>
  <c r="BL228" i="3"/>
  <c r="BA230" i="3"/>
  <c r="AZ230" i="3" s="1"/>
  <c r="BL230" i="3"/>
  <c r="BA235" i="3"/>
  <c r="AZ235" i="3" s="1"/>
  <c r="BL235" i="3"/>
  <c r="BL239" i="3"/>
  <c r="BL241" i="3"/>
  <c r="BL244" i="3"/>
  <c r="BA246" i="3"/>
  <c r="BL246" i="3"/>
  <c r="BL114" i="3"/>
  <c r="BA116" i="3"/>
  <c r="AZ116" i="3" s="1"/>
  <c r="BA118" i="3"/>
  <c r="AZ118" i="3" s="1"/>
  <c r="BL119" i="3"/>
  <c r="AZ119" i="3" s="1"/>
  <c r="BL123" i="3"/>
  <c r="AZ123" i="3" s="1"/>
  <c r="BA125" i="3"/>
  <c r="BL129" i="3"/>
  <c r="BA133" i="3"/>
  <c r="AZ133" i="3" s="1"/>
  <c r="BL133" i="3"/>
  <c r="BA136" i="3"/>
  <c r="AZ136" i="3" s="1"/>
  <c r="BA141" i="3"/>
  <c r="AZ141" i="3" s="1"/>
  <c r="BA142" i="3"/>
  <c r="AZ142" i="3" s="1"/>
  <c r="BL143" i="3"/>
  <c r="AZ143" i="3" s="1"/>
  <c r="BA149" i="3"/>
  <c r="BL149" i="3"/>
  <c r="BL151" i="3"/>
  <c r="AZ151" i="3" s="1"/>
  <c r="BA154" i="3"/>
  <c r="BL154" i="3"/>
  <c r="BA157" i="3"/>
  <c r="BL157" i="3"/>
  <c r="AZ157" i="3" s="1"/>
  <c r="BA178" i="3"/>
  <c r="BL178" i="3"/>
  <c r="BA181" i="3"/>
  <c r="BL181" i="3"/>
  <c r="BL183" i="3"/>
  <c r="AZ183" i="3" s="1"/>
  <c r="BA186" i="3"/>
  <c r="AZ186" i="3" s="1"/>
  <c r="BL186" i="3"/>
  <c r="BA189" i="3"/>
  <c r="AZ189" i="3" s="1"/>
  <c r="BL189" i="3"/>
  <c r="BA194" i="3"/>
  <c r="AZ194" i="3" s="1"/>
  <c r="BL194" i="3"/>
  <c r="BA197" i="3"/>
  <c r="BL197" i="3"/>
  <c r="BL199" i="3"/>
  <c r="AZ199" i="3" s="1"/>
  <c r="BA201" i="3"/>
  <c r="BL201" i="3"/>
  <c r="BL206" i="3"/>
  <c r="BA18" i="3"/>
  <c r="AZ18" i="3" s="1"/>
  <c r="BA19" i="3"/>
  <c r="BA21" i="3"/>
  <c r="BA23" i="3"/>
  <c r="BL25" i="3"/>
  <c r="BA27" i="3"/>
  <c r="AZ27" i="3" s="1"/>
  <c r="BA28" i="3"/>
  <c r="AZ28" i="3" s="1"/>
  <c r="BA29" i="3"/>
  <c r="AZ29" i="3" s="1"/>
  <c r="BA30" i="3"/>
  <c r="BA33" i="3"/>
  <c r="BL33" i="3"/>
  <c r="BA35" i="3"/>
  <c r="BL35" i="3"/>
  <c r="AZ35" i="3" s="1"/>
  <c r="BL37" i="3"/>
  <c r="BA39" i="3"/>
  <c r="BA41" i="3"/>
  <c r="BL41" i="3"/>
  <c r="BA44" i="3"/>
  <c r="AZ44" i="3" s="1"/>
  <c r="BA45" i="3"/>
  <c r="AZ45" i="3" s="1"/>
  <c r="BA47" i="3"/>
  <c r="BL47" i="3"/>
  <c r="BL52" i="3"/>
  <c r="BA54" i="3"/>
  <c r="AZ54" i="3" s="1"/>
  <c r="BL54" i="3"/>
  <c r="BL56" i="3"/>
  <c r="BA58" i="3"/>
  <c r="BA60" i="3"/>
  <c r="AZ60" i="3" s="1"/>
  <c r="BA61" i="3"/>
  <c r="AZ61" i="3" s="1"/>
  <c r="BA62" i="3"/>
  <c r="BL64" i="3"/>
  <c r="BA66" i="3"/>
  <c r="BA68" i="3"/>
  <c r="BA69" i="3"/>
  <c r="AZ69" i="3" s="1"/>
  <c r="BA70" i="3"/>
  <c r="BA72" i="3"/>
  <c r="BL74" i="3"/>
  <c r="BA76" i="3"/>
  <c r="AZ76" i="3" s="1"/>
  <c r="BL76" i="3"/>
  <c r="BA87" i="3"/>
  <c r="AZ87" i="3" s="1"/>
  <c r="BA89" i="3"/>
  <c r="BL89" i="3"/>
  <c r="BL93" i="3"/>
  <c r="BA95" i="3"/>
  <c r="AZ95" i="3" s="1"/>
  <c r="BL95" i="3"/>
  <c r="BL99" i="3"/>
  <c r="BA102" i="3"/>
  <c r="BL102" i="3"/>
  <c r="BL106" i="3"/>
  <c r="BL108" i="3"/>
  <c r="BL110" i="3"/>
  <c r="BL111" i="3"/>
  <c r="BL23" i="3"/>
  <c r="AZ23" i="3" s="1"/>
  <c r="BA20" i="3"/>
  <c r="AZ20" i="3" s="1"/>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AZ241" i="3" s="1"/>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AZ24" i="3" s="1"/>
  <c r="BA25" i="3"/>
  <c r="AZ25" i="3" s="1"/>
  <c r="G28" i="3"/>
  <c r="G29" i="3"/>
  <c r="G30" i="3"/>
  <c r="BL30" i="3"/>
  <c r="AZ30" i="3" s="1"/>
  <c r="BL32" i="3"/>
  <c r="AZ32" i="3" s="1"/>
  <c r="BA34" i="3"/>
  <c r="AZ34" i="3" s="1"/>
  <c r="BA36" i="3"/>
  <c r="AZ36" i="3" s="1"/>
  <c r="BA37" i="3"/>
  <c r="AZ37" i="3" s="1"/>
  <c r="BL39" i="3"/>
  <c r="BA40" i="3"/>
  <c r="AZ40" i="3" s="1"/>
  <c r="BL42" i="3"/>
  <c r="AZ42" i="3" s="1"/>
  <c r="G45" i="3"/>
  <c r="G46" i="3"/>
  <c r="BL46" i="3"/>
  <c r="AZ46" i="3" s="1"/>
  <c r="G49" i="3"/>
  <c r="BL49" i="3"/>
  <c r="AZ49" i="3" s="1"/>
  <c r="BL51" i="3"/>
  <c r="BA52" i="3"/>
  <c r="AZ52" i="3" s="1"/>
  <c r="BA53" i="3"/>
  <c r="AZ53" i="3" s="1"/>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AZ74" i="3" s="1"/>
  <c r="BA75" i="3"/>
  <c r="AZ75" i="3" s="1"/>
  <c r="BL77" i="3"/>
  <c r="AZ77" i="3" s="1"/>
  <c r="G79" i="3"/>
  <c r="G80" i="3"/>
  <c r="BL80" i="3"/>
  <c r="G82" i="3"/>
  <c r="G83" i="3"/>
  <c r="G84" i="3"/>
  <c r="BL84" i="3"/>
  <c r="AZ84" i="3" s="1"/>
  <c r="BL86" i="3"/>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BA109" i="3"/>
  <c r="AZ109" i="3" s="1"/>
  <c r="BA110" i="3"/>
  <c r="AZ110" i="3" s="1"/>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B113" i="43"/>
  <c r="B115" i="43" s="1"/>
  <c r="C115" i="43" s="1"/>
  <c r="E22" i="43"/>
  <c r="N104" i="46"/>
  <c r="W12" i="33"/>
  <c r="AC12" i="33"/>
  <c r="AA32" i="36"/>
  <c r="S32" i="36"/>
  <c r="AZ551" i="3"/>
  <c r="AZ550"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65" i="3"/>
  <c r="AZ181" i="3"/>
  <c r="AZ197" i="3"/>
  <c r="AZ26" i="3"/>
  <c r="AZ41" i="3"/>
  <c r="S12" i="1"/>
  <c r="AQ12" i="1" s="1"/>
  <c r="R12" i="1"/>
  <c r="B12" i="1"/>
  <c r="E12" i="1" s="1"/>
  <c r="S10" i="1"/>
  <c r="AQ10" i="1" s="1"/>
  <c r="R10" i="1"/>
  <c r="B10" i="1"/>
  <c r="E10" i="1" s="1"/>
  <c r="AZ80"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E28" i="6"/>
  <c r="B117" i="43"/>
  <c r="C117" i="43" s="1"/>
  <c r="AR12"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F42" i="67"/>
  <c r="M6" i="67"/>
  <c r="F37" i="15"/>
  <c r="F16" i="15"/>
  <c r="M26" i="15"/>
  <c r="M26" i="67"/>
  <c r="F6" i="15"/>
  <c r="M28" i="15"/>
  <c r="F40" i="67"/>
  <c r="F43" i="67"/>
  <c r="M22" i="15"/>
  <c r="F8" i="67"/>
  <c r="F26" i="15"/>
  <c r="M6" i="15"/>
  <c r="L48" i="67"/>
  <c r="F26" i="67"/>
  <c r="F9" i="15"/>
  <c r="M23" i="15"/>
  <c r="F7" i="67"/>
  <c r="F38" i="15"/>
  <c r="M9" i="67"/>
  <c r="J15" i="15"/>
  <c r="L48" i="15"/>
  <c r="L47" i="67"/>
  <c r="M23" i="67"/>
  <c r="M9" i="15"/>
  <c r="F13" i="15"/>
  <c r="F37" i="67"/>
  <c r="M29" i="67"/>
  <c r="F36" i="15"/>
  <c r="F7" i="15"/>
  <c r="M24" i="67"/>
  <c r="F43" i="15"/>
  <c r="F42" i="15"/>
  <c r="F38" i="67"/>
  <c r="M8" i="15"/>
  <c r="M28" i="67"/>
  <c r="L47" i="15"/>
  <c r="M24" i="15"/>
  <c r="J15" i="67"/>
  <c r="G1" i="73"/>
  <c r="F36" i="67"/>
  <c r="M22" i="67"/>
  <c r="F8" i="15"/>
  <c r="C76" i="15"/>
  <c r="F13" i="67"/>
  <c r="F16" i="67"/>
  <c r="C76" i="67"/>
  <c r="M8" i="67"/>
  <c r="F6" i="67"/>
  <c r="M29" i="15"/>
  <c r="F9" i="67"/>
  <c r="C101" i="43" l="1"/>
  <c r="C107" i="43" s="1"/>
  <c r="F101" i="43"/>
  <c r="F104" i="43" s="1"/>
  <c r="AA29" i="21"/>
  <c r="C7" i="43"/>
  <c r="J101" i="43"/>
  <c r="J109" i="43" s="1"/>
  <c r="G101" i="43"/>
  <c r="N101" i="43"/>
  <c r="N102" i="43" s="1"/>
  <c r="K101" i="43"/>
  <c r="K103" i="43" s="1"/>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S26" i="33"/>
  <c r="J26" i="33"/>
  <c r="AZ480" i="3"/>
  <c r="AZ476" i="3"/>
  <c r="W33" i="40"/>
  <c r="AC33" i="40"/>
  <c r="AC31" i="40"/>
  <c r="W31" i="40"/>
  <c r="W37" i="39"/>
  <c r="AC37" i="39"/>
  <c r="AB44" i="39"/>
  <c r="U44" i="39"/>
  <c r="AC14" i="39"/>
  <c r="W14" i="39"/>
  <c r="U23" i="35"/>
  <c r="AB23" i="35"/>
  <c r="F79" i="21"/>
  <c r="G79" i="21" s="1"/>
  <c r="H17" i="21"/>
  <c r="G77" i="33"/>
  <c r="F15" i="33"/>
  <c r="AA9" i="33"/>
  <c r="S9" i="33"/>
  <c r="AA45" i="33"/>
  <c r="S45" i="33"/>
  <c r="AZ519" i="3"/>
  <c r="AZ534" i="3"/>
  <c r="AZ546" i="3"/>
  <c r="AZ563" i="3"/>
  <c r="AZ574" i="3"/>
  <c r="AC43" i="39"/>
  <c r="W43" i="39"/>
  <c r="AC36" i="35"/>
  <c r="W36" i="35"/>
  <c r="AA34" i="35"/>
  <c r="S34" i="35"/>
  <c r="AC11" i="35"/>
  <c r="W11" i="35"/>
  <c r="U45" i="33"/>
  <c r="AB45" i="33"/>
  <c r="AB13" i="33"/>
  <c r="U13" i="33"/>
  <c r="AZ494" i="3"/>
  <c r="AZ549" i="3"/>
  <c r="W12" i="40"/>
  <c r="AC12" i="40"/>
  <c r="AC44" i="39"/>
  <c r="W44" i="39"/>
  <c r="U12" i="35"/>
  <c r="AB12" i="35"/>
  <c r="AC29" i="33"/>
  <c r="W29" i="33"/>
  <c r="AZ499" i="3"/>
  <c r="S12" i="35"/>
  <c r="AA12" i="35"/>
  <c r="U46" i="34"/>
  <c r="AB46" i="34"/>
  <c r="W30" i="34"/>
  <c r="AC30" i="34"/>
  <c r="S14" i="34"/>
  <c r="AA14" i="34"/>
  <c r="W12" i="34"/>
  <c r="AC12" i="34"/>
  <c r="W45" i="33"/>
  <c r="AC45" i="33"/>
  <c r="S13" i="33"/>
  <c r="AA13" i="33"/>
  <c r="AZ500" i="3"/>
  <c r="AZ514" i="3"/>
  <c r="AZ518" i="3"/>
  <c r="AZ552" i="3"/>
  <c r="AB12" i="40"/>
  <c r="U12" i="40"/>
  <c r="W45" i="39"/>
  <c r="AC45" i="39"/>
  <c r="U45" i="39"/>
  <c r="AB45" i="39"/>
  <c r="AB13" i="37"/>
  <c r="U13" i="37"/>
  <c r="AA42" i="21"/>
  <c r="S42" i="21"/>
  <c r="F27" i="33"/>
  <c r="AA27" i="33" s="1"/>
  <c r="F89" i="33"/>
  <c r="AB26" i="33"/>
  <c r="G101" i="33"/>
  <c r="H101" i="33" s="1"/>
  <c r="I101" i="33" s="1"/>
  <c r="J101" i="33" s="1"/>
  <c r="K101" i="33" s="1"/>
  <c r="L101" i="33" s="1"/>
  <c r="M101" i="33" s="1"/>
  <c r="H32" i="33"/>
  <c r="J32" i="33"/>
  <c r="AC32" i="33" s="1"/>
  <c r="H27" i="33"/>
  <c r="U27" i="33" s="1"/>
  <c r="W19" i="33"/>
  <c r="F19" i="33"/>
  <c r="S19" i="33" s="1"/>
  <c r="E12" i="6"/>
  <c r="E57" i="40" s="1"/>
  <c r="E8" i="6"/>
  <c r="AZ38" i="3"/>
  <c r="AZ100" i="3"/>
  <c r="AZ162" i="3"/>
  <c r="AZ226" i="3"/>
  <c r="AB19" i="21"/>
  <c r="U19" i="21"/>
  <c r="W17" i="21"/>
  <c r="AC15" i="21"/>
  <c r="AZ214" i="3"/>
  <c r="AZ102" i="3"/>
  <c r="AZ89" i="3"/>
  <c r="AZ47" i="3"/>
  <c r="AZ33" i="3"/>
  <c r="AZ201" i="3"/>
  <c r="AZ178" i="3"/>
  <c r="AZ154" i="3"/>
  <c r="AZ246" i="3"/>
  <c r="G118" i="43"/>
  <c r="H118" i="43" s="1"/>
  <c r="K109" i="43"/>
  <c r="T12" i="1"/>
  <c r="K105" i="43"/>
  <c r="G104" i="43"/>
  <c r="K102" i="43"/>
  <c r="C109" i="43"/>
  <c r="AR10" i="1"/>
  <c r="F105" i="43"/>
  <c r="D115" i="43"/>
  <c r="E115" i="43" s="1"/>
  <c r="F115" i="43" s="1"/>
  <c r="G115" i="43" s="1"/>
  <c r="H115" i="43" s="1"/>
  <c r="B118" i="43"/>
  <c r="C118" i="43" s="1"/>
  <c r="D116" i="43"/>
  <c r="E116" i="43" s="1"/>
  <c r="F116" i="43" s="1"/>
  <c r="G116" i="43" s="1"/>
  <c r="H116" i="43" s="1"/>
  <c r="C103" i="43"/>
  <c r="F102" i="43"/>
  <c r="G109" i="43"/>
  <c r="K106" i="43"/>
  <c r="G103" i="43"/>
  <c r="K104" i="43"/>
  <c r="K107" i="43"/>
  <c r="J107" i="43"/>
  <c r="G102" i="43"/>
  <c r="E11" i="6"/>
  <c r="E61" i="39" s="1"/>
  <c r="E10" i="6"/>
  <c r="G5" i="3"/>
  <c r="B3" i="3" s="1"/>
  <c r="E53" i="3" s="1"/>
  <c r="F109" i="43"/>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5" i="43"/>
  <c r="F106" i="43"/>
  <c r="F107" i="43"/>
  <c r="D22" i="43"/>
  <c r="I115" i="43"/>
  <c r="J115" i="43" s="1"/>
  <c r="K115" i="43" s="1"/>
  <c r="L115" i="43" s="1"/>
  <c r="M115" i="43" s="1"/>
  <c r="C106" i="43"/>
  <c r="T10" i="1"/>
  <c r="E13" i="6"/>
  <c r="E58" i="40" s="1"/>
  <c r="E15" i="6"/>
  <c r="E62" i="39"/>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W32" i="33"/>
  <c r="AB27"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6" i="15"/>
  <c r="C16" i="67"/>
  <c r="J106" i="43" l="1"/>
  <c r="J103" i="43"/>
  <c r="N104" i="43"/>
  <c r="N106" i="43"/>
  <c r="C104" i="43"/>
  <c r="C102" i="43"/>
  <c r="AA15" i="33"/>
  <c r="S15" i="33"/>
  <c r="AB17" i="21"/>
  <c r="U17" i="21"/>
  <c r="AC26" i="33"/>
  <c r="W26" i="33"/>
  <c r="J104" i="43"/>
  <c r="J105" i="43"/>
  <c r="D113" i="43"/>
  <c r="J22" i="43" s="1"/>
  <c r="N105" i="43"/>
  <c r="J102" i="43"/>
  <c r="N107" i="43"/>
  <c r="N103" i="43"/>
  <c r="S4" i="43" s="1"/>
  <c r="T4" i="43" s="1"/>
  <c r="V4" i="43" s="1"/>
  <c r="N109" i="43"/>
  <c r="G105" i="43"/>
  <c r="G107" i="43"/>
  <c r="G106" i="43"/>
  <c r="H91" i="33"/>
  <c r="I91" i="33" s="1"/>
  <c r="J91" i="33" s="1"/>
  <c r="K91" i="33" s="1"/>
  <c r="L91" i="33" s="1"/>
  <c r="M91" i="33" s="1"/>
  <c r="G89" i="33"/>
  <c r="S27" i="33"/>
  <c r="AB32" i="33"/>
  <c r="U32" i="33"/>
  <c r="S2" i="43"/>
  <c r="T2" i="43" s="1"/>
  <c r="V2" i="43" s="1"/>
  <c r="E69" i="3"/>
  <c r="F27" i="6"/>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H6" i="3" s="1"/>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K16" i="1"/>
  <c r="C8" i="68" s="1"/>
  <c r="C5" i="68" s="1"/>
  <c r="E3" i="6"/>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C23" i="43" l="1"/>
  <c r="C21" i="43" s="1"/>
  <c r="C29" i="43" s="1"/>
  <c r="C30" i="43" s="1"/>
  <c r="E30" i="43" s="1"/>
  <c r="S7" i="43"/>
  <c r="T7" i="43" s="1"/>
  <c r="V7" i="43" s="1"/>
  <c r="D3" i="21"/>
  <c r="B24" i="31"/>
  <c r="S5" i="43"/>
  <c r="T5" i="43" s="1"/>
  <c r="V5" i="43" s="1"/>
  <c r="S3" i="43"/>
  <c r="T3" i="43" s="1"/>
  <c r="V3" i="43" s="1"/>
  <c r="S6" i="43"/>
  <c r="T6" i="43" s="1"/>
  <c r="V6" i="43" s="1"/>
  <c r="AY93" i="3"/>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C47" i="68"/>
  <c r="D45" i="68" s="1"/>
  <c r="AA10" i="39"/>
  <c r="D19" i="6"/>
  <c r="M19" i="9" s="1"/>
  <c r="C118" i="9" s="1"/>
  <c r="C14" i="74" s="1"/>
  <c r="B2" i="74" s="1"/>
  <c r="C18" i="4"/>
  <c r="D23" i="6"/>
  <c r="D5" i="6"/>
  <c r="D11" i="6"/>
  <c r="D29"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I41" i="36" l="1"/>
  <c r="J41" i="36" s="1"/>
  <c r="D13" i="6"/>
  <c r="D12" i="6"/>
  <c r="D14" i="6"/>
  <c r="D8" i="6"/>
  <c r="D26" i="6"/>
  <c r="D10" i="11"/>
  <c r="C10" i="11" s="1"/>
  <c r="B25" i="31"/>
  <c r="C25" i="31" s="1"/>
  <c r="C24" i="11"/>
  <c r="C22" i="11" s="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28" i="11"/>
  <c r="C27" i="11" s="1"/>
  <c r="C37" i="11"/>
  <c r="C34" i="11"/>
  <c r="C38" i="11" s="1"/>
  <c r="C36" i="11"/>
  <c r="J24" i="67"/>
  <c r="J18" i="67"/>
  <c r="J24" i="15"/>
  <c r="J18" i="15"/>
  <c r="G36" i="36"/>
  <c r="R37" i="36"/>
  <c r="AB7" i="34"/>
  <c r="T49" i="34" s="1"/>
  <c r="G49" i="34" s="1"/>
  <c r="G53" i="34" s="1"/>
  <c r="H53" i="34" s="1"/>
  <c r="W7" i="21"/>
  <c r="AA7" i="21"/>
  <c r="D30" i="6"/>
  <c r="D16" i="6"/>
  <c r="A7" i="51"/>
  <c r="B7" i="72" s="1"/>
  <c r="C4" i="52"/>
  <c r="B45" i="72" s="1"/>
  <c r="A10" i="51"/>
  <c r="B9" i="72" s="1"/>
  <c r="D27" i="6"/>
  <c r="D19" i="68"/>
  <c r="C10" i="68"/>
  <c r="C12" i="12"/>
  <c r="C15" i="12"/>
  <c r="C34" i="68"/>
  <c r="U7" i="2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B26" i="31" l="1"/>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C31" i="1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17" i="15"/>
  <c r="B6" i="76"/>
  <c r="C26" i="31" l="1"/>
  <c r="B22" i="31"/>
  <c r="AQ6" i="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F35" i="67"/>
  <c r="M21" i="67"/>
  <c r="J20" i="67" l="1"/>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L19" i="9" l="1"/>
  <c r="R19" i="6"/>
  <c r="H27" i="6"/>
  <c r="G52" i="21"/>
  <c r="H52" i="21" s="1"/>
  <c r="G53" i="21"/>
  <c r="H53" i="21" s="1"/>
  <c r="I52" i="21"/>
  <c r="J52" i="21" s="1"/>
  <c r="E48" i="21"/>
  <c r="R49" i="21"/>
  <c r="C41" i="68"/>
  <c r="C46" i="68"/>
  <c r="C45" i="68" s="1"/>
  <c r="K63" i="40"/>
  <c r="J65" i="40"/>
  <c r="K70" i="39"/>
  <c r="C56" i="11"/>
  <c r="C57" i="11" s="1"/>
  <c r="R6" i="1" l="1"/>
  <c r="R27" i="6"/>
  <c r="E52" i="21"/>
  <c r="F52" i="21" s="1"/>
  <c r="E53" i="21"/>
  <c r="F53" i="21" s="1"/>
  <c r="C48" i="21"/>
  <c r="C49" i="21"/>
  <c r="I53" i="21"/>
  <c r="J53" i="21" s="1"/>
  <c r="C49" i="68"/>
  <c r="C51" i="68" s="1"/>
  <c r="C52" i="68" s="1"/>
  <c r="C57" i="68" s="1"/>
  <c r="C56" i="68" s="1"/>
  <c r="L63" i="40"/>
  <c r="K65" i="40"/>
  <c r="L70" i="39"/>
  <c r="E2" i="70"/>
  <c r="C34" i="69"/>
  <c r="F35" i="15"/>
  <c r="M21" i="15"/>
  <c r="C17" i="67"/>
  <c r="C34" i="15" l="1"/>
  <c r="F63" i="15"/>
  <c r="C62" i="15" s="1"/>
  <c r="J20" i="15"/>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8" i="1"/>
  <c r="AE6" i="1"/>
  <c r="C66" i="15" l="1"/>
  <c r="C60" i="15"/>
  <c r="C59" i="15" s="1"/>
  <c r="AG6" i="1"/>
  <c r="C80" i="15"/>
  <c r="C79" i="15" s="1"/>
  <c r="C65" i="15"/>
  <c r="Q68" i="15"/>
  <c r="L57" i="15"/>
  <c r="L60" i="15" s="1"/>
  <c r="L51" i="15"/>
  <c r="F41" i="67"/>
  <c r="M27" i="15"/>
  <c r="F4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D2" i="37"/>
  <c r="D2" i="21"/>
  <c r="D2" i="34"/>
  <c r="D2" i="36"/>
  <c r="E2" i="68"/>
  <c r="D2" i="35"/>
  <c r="D2" i="33"/>
  <c r="F20" i="31"/>
  <c r="B2" i="36" l="1"/>
  <c r="B3" i="36" s="1"/>
  <c r="B2" i="35"/>
  <c r="B3" i="35" s="1"/>
  <c r="B2" i="37"/>
  <c r="B3" i="37" s="1"/>
  <c r="B2" i="34"/>
  <c r="B3" i="34" s="1"/>
  <c r="B2" i="21"/>
  <c r="B2" i="70"/>
  <c r="B3" i="70" s="1"/>
  <c r="B3" i="68"/>
  <c r="D20" i="9"/>
  <c r="D19" i="9"/>
  <c r="B3" i="21" l="1"/>
  <c r="D102" i="9"/>
  <c r="D21"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G20" i="9" l="1"/>
  <c r="C103" i="9"/>
  <c r="C102" i="9"/>
  <c r="C21" i="9"/>
  <c r="G19" i="9"/>
  <c r="D22" i="9"/>
  <c r="F66" i="39"/>
  <c r="B2" i="39" s="1"/>
  <c r="B3" i="39" s="1"/>
  <c r="G21" i="9" l="1"/>
  <c r="C32" i="9"/>
  <c r="C35" i="9" s="1"/>
  <c r="D35" i="9"/>
  <c r="H112" i="9" l="1"/>
  <c r="D21" i="53" s="1"/>
  <c r="B39" i="72" s="1"/>
  <c r="H111" i="9"/>
  <c r="D126" i="9" s="1"/>
  <c r="D19" i="53"/>
  <c r="D59" i="9"/>
  <c r="M55" i="9"/>
  <c r="B38" i="72" l="1"/>
  <c r="D20" i="53"/>
  <c r="B40" i="72" s="1"/>
  <c r="I14" i="74"/>
  <c r="B8" i="74" s="1"/>
  <c r="D127" i="9"/>
  <c r="D13" i="52" s="1"/>
  <c r="D12" i="52"/>
  <c r="F118" i="9"/>
  <c r="G118" i="9" s="1"/>
  <c r="G4" i="52" s="1"/>
  <c r="B52" i="72" s="1"/>
  <c r="H118" i="9"/>
  <c r="C104" i="9" l="1"/>
  <c r="F34" i="9"/>
  <c r="C34" i="9" s="1"/>
  <c r="D8" i="74"/>
  <c r="C8" i="74"/>
  <c r="H101" i="9"/>
  <c r="I118" i="9"/>
  <c r="C105" i="9" s="1"/>
  <c r="H119" i="9"/>
  <c r="H5" i="52" s="1"/>
  <c r="F4" i="52"/>
  <c r="B51" i="72" s="1"/>
  <c r="F119" i="9"/>
  <c r="F5" i="52" s="1"/>
  <c r="B53" i="72" s="1"/>
  <c r="D14" i="74"/>
  <c r="H4" i="52"/>
  <c r="H107" i="9"/>
  <c r="D34" i="9"/>
  <c r="D118" i="9" l="1"/>
  <c r="E118" i="9" s="1"/>
  <c r="E4" i="52" s="1"/>
  <c r="B48" i="72" s="1"/>
  <c r="M48" i="9"/>
  <c r="H109" i="9"/>
  <c r="M49" i="9" s="1"/>
  <c r="L68" i="9" s="1"/>
  <c r="M68" i="9" s="1"/>
  <c r="D45" i="9"/>
  <c r="D53" i="9" s="1"/>
  <c r="I4" i="52"/>
  <c r="D5" i="53"/>
  <c r="B20" i="72" s="1"/>
  <c r="H102" i="9"/>
  <c r="D7" i="53" s="1"/>
  <c r="B21" i="72" s="1"/>
  <c r="D122" i="9"/>
  <c r="H108" i="9"/>
  <c r="D15" i="53" s="1"/>
  <c r="B31" i="72" s="1"/>
  <c r="D13" i="53"/>
  <c r="E14" i="74"/>
  <c r="B5" i="74"/>
  <c r="F14" i="74"/>
  <c r="D119" i="9" l="1"/>
  <c r="D5" i="52" s="1"/>
  <c r="B49" i="72" s="1"/>
  <c r="D4" i="52"/>
  <c r="B47" i="72" s="1"/>
  <c r="L65" i="9"/>
  <c r="M65" i="9" s="1"/>
  <c r="L67" i="9"/>
  <c r="M67" i="9" s="1"/>
  <c r="L66" i="9"/>
  <c r="M66" i="9" s="1"/>
  <c r="L64" i="9"/>
  <c r="M64" i="9" s="1"/>
  <c r="L63" i="9"/>
  <c r="M63" i="9" s="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M69" i="9" l="1"/>
  <c r="N69" i="9" s="1"/>
  <c r="B34" i="72"/>
  <c r="D17" i="53"/>
  <c r="B36" i="72" s="1"/>
  <c r="H14" i="74"/>
  <c r="B7" i="74" s="1"/>
  <c r="D125" i="9"/>
  <c r="D11" i="52" s="1"/>
  <c r="D10" i="52"/>
  <c r="C95" i="9"/>
  <c r="C67" i="9"/>
  <c r="C68" i="9" s="1"/>
  <c r="D54" i="9" s="1"/>
  <c r="C79" i="9"/>
  <c r="D6" i="74"/>
  <c r="C6" i="74"/>
  <c r="D7" i="74" l="1"/>
  <c r="C7" i="74"/>
  <c r="C96" i="9"/>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<sst xmlns="http://schemas.openxmlformats.org/spreadsheetml/2006/main" count="7502" uniqueCount="3171">
  <si>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</si>
  <si>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</si>
  <si>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</si>
  <si>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</si>
  <si>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</si>
  <si>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</si>
  <si>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</si>
  <si>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</si>
  <si>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</si>
  <si>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</si>
  <si>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</si>
  <si>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</si>
  <si>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</si>
  <si>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</si>
  <si>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</si>
  <si>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</si>
  <si>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</si>
  <si>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</si>
  <si>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</si>
  <si>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</si>
  <si>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</si>
  <si>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</si>
  <si>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</si>
  <si>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</si>
  <si>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</si>
  <si>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</si>
  <si>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</si>
  <si>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</si>
  <si>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</si>
  <si>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</si>
  <si>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</si>
  <si>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</si>
  <si>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</si>
  <si>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</si>
  <si>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</si>
  <si>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</si>
  <si>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</si>
  <si>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</si>
  <si>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</si>
  <si>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</si>
  <si>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</si>
  <si>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</si>
  <si>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</si>
  <si>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</si>
  <si>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</si>
  <si>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</si>
  <si>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</si>
  <si>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</si>
  <si>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</si>
  <si>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</si>
  <si>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</si>
  <si>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</si>
  <si>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</si>
  <si>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</si>
  <si>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</si>
  <si>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</si>
  <si>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</si>
  <si>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</si>
  <si>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</si>
  <si>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</si>
  <si>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</si>
  <si>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</si>
  <si>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</si>
  <si>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</si>
  <si>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</si>
  <si>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</si>
  <si>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</si>
  <si>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</si>
  <si>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</si>
  <si>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</si>
  <si>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</si>
  <si>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</si>
  <si>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</si>
  <si>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</si>
  <si>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</si>
  <si>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</si>
  <si>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</si>
  <si>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</si>
  <si>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</si>
  <si>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</si>
  <si>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</si>
  <si>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</si>
  <si>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</si>
  <si>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</si>
  <si>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</si>
  <si>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</si>
  <si>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</si>
  <si>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</si>
  <si>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</si>
  <si>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</si>
  <si>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</si>
  <si>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</si>
  <si>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</si>
  <si>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</si>
  <si>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</si>
  <si>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</si>
  <si>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</si>
  <si>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</si>
  <si>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</si>
  <si>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</si>
  <si>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</si>
  <si>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</si>
  <si>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</si>
  <si>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</si>
  <si>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</si>
  <si>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</si>
  <si>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</si>
  <si>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</si>
  <si>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</si>
  <si>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</si>
  <si>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</si>
  <si>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</si>
  <si>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</si>
  <si>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</si>
  <si>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</si>
  <si>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</si>
  <si>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</si>
  <si>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</si>
  <si>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</si>
  <si>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</si>
  <si>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</si>
  <si>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</si>
  <si>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</si>
  <si>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</si>
  <si>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</si>
  <si>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</si>
  <si>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</si>
  <si>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</si>
  <si>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</si>
  <si>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</si>
  <si>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</si>
  <si>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</si>
  <si>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</si>
  <si>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</si>
  <si>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</si>
  <si>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</si>
  <si>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</si>
  <si>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</si>
  <si>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</si>
  <si>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</si>
  <si>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</si>
  <si>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</si>
  <si>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</si>
  <si>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</si>
  <si>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</si>
  <si>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</si>
  <si>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</si>
  <si>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</si>
  <si>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</si>
  <si>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</si>
  <si>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</si>
  <si>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</si>
  <si>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</si>
  <si>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</si>
  <si>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</si>
  <si>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</si>
  <si>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</si>
  <si>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</si>
  <si>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</si>
  <si>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</si>
  <si>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</si>
  <si>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</si>
  <si>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</si>
  <si>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</si>
  <si>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</si>
  <si>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</si>
  <si>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</si>
  <si>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</si>
  <si>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</si>
  <si>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</si>
  <si>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</si>
  <si>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</si>
  <si>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</si>
  <si>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</si>
  <si>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</si>
  <si>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</si>
  <si>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</si>
  <si>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</si>
  <si>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</si>
  <si>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</si>
  <si>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</si>
  <si>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</si>
  <si>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</si>
  <si>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</si>
  <si>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</si>
  <si>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</si>
  <si>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</si>
  <si>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</si>
  <si>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</si>
  <si>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</si>
  <si>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</si>
  <si>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</si>
  <si>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</si>
  <si>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</si>
  <si>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</si>
  <si>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</si>
  <si>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</si>
  <si>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</si>
  <si>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</si>
  <si>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</si>
  <si>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</si>
  <si>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</si>
  <si>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</si>
  <si>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</si>
  <si>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</si>
  <si>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</si>
  <si>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</si>
  <si>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</si>
  <si>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</si>
  <si>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</si>
  <si>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</si>
  <si>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</si>
  <si>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</si>
  <si>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</si>
  <si>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</si>
  <si>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</si>
  <si>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</si>
  <si>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</si>
  <si>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</si>
  <si>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</si>
  <si>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</si>
  <si>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</si>
  <si>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</si>
  <si>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</si>
  <si>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</si>
  <si>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</si>
  <si>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</si>
  <si>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</si>
  <si>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</si>
  <si>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</si>
  <si>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</si>
  <si>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</si>
  <si>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</si>
  <si>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</si>
  <si>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</si>
  <si>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</si>
  <si>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</si>
  <si>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</si>
  <si>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</si>
  <si>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</si>
  <si>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</si>
  <si>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</si>
  <si>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</si>
  <si>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</si>
  <si>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</si>
  <si>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</si>
  <si>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</si>
  <si>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</si>
  <si>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</si>
  <si>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</si>
  <si>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</si>
  <si>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</si>
  <si>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</si>
  <si>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</si>
  <si>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</si>
  <si>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</si>
  <si>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</si>
  <si>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</si>
  <si>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</si>
  <si>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</si>
  <si>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</si>
  <si>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</si>
  <si>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</si>
  <si>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</si>
  <si>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</si>
  <si>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</si>
  <si>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</si>
  <si>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</si>
  <si>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</si>
  <si>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</si>
  <si>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</si>
  <si>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</si>
  <si>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</si>
  <si>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</si>
  <si>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</si>
  <si>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</si>
  <si>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</si>
  <si>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</si>
  <si>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</si>
  <si>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</si>
  <si>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</si>
  <si>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</si>
  <si>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</si>
  <si>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</si>
  <si>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</si>
  <si>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</si>
  <si>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</si>
  <si>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</si>
  <si>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</si>
  <si>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</si>
  <si>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</si>
  <si>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</si>
  <si>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</si>
  <si>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</si>
  <si>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</si>
  <si>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</si>
  <si>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</si>
  <si>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</si>
  <si>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</si>
  <si>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</si>
  <si>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</si>
  <si>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</si>
  <si>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</si>
  <si>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</si>
  <si>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</si>
  <si>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</si>
  <si>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</si>
  <si>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</si>
  <si>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</si>
  <si>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</si>
  <si>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</si>
  <si>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</si>
  <si>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</si>
  <si>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</si>
  <si>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</si>
  <si>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</si>
  <si>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</si>
  <si>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</si>
  <si>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</si>
  <si>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</si>
  <si>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</si>
  <si>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</si>
  <si>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</si>
  <si>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</si>
  <si>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</si>
  <si>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</si>
  <si>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</si>
  <si>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</si>
  <si>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</si>
  <si>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</si>
  <si>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</si>
  <si>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</si>
  <si>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</si>
  <si>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</si>
  <si>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</si>
  <si>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</si>
  <si>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</si>
  <si>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</si>
  <si>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</si>
  <si>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</si>
  <si>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</si>
  <si>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</si>
  <si>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</si>
  <si>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</si>
  <si>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</si>
  <si>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</si>
  <si>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</si>
  <si>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</si>
  <si>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</si>
  <si>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</si>
  <si>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</si>
  <si>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</si>
  <si>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</si>
  <si>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</si>
  <si>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</si>
  <si>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</si>
  <si>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</si>
  <si>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</si>
  <si>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</si>
  <si>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</si>
  <si>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</si>
  <si>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</si>
  <si>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</si>
  <si>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</si>
  <si>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</si>
  <si>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</si>
  <si>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</si>
  <si>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</si>
  <si>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</si>
  <si>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</si>
  <si>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</si>
  <si>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</si>
  <si>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</si>
  <si>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</si>
  <si>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</si>
  <si>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</si>
  <si>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</si>
  <si>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</si>
  <si>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</si>
  <si>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</si>
  <si>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</si>
  <si>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</si>
  <si>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</si>
  <si>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</si>
  <si>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</si>
  <si>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</si>
  <si>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</si>
  <si>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</si>
  <si>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</si>
  <si>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</si>
  <si>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</si>
  <si>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</si>
  <si>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</si>
  <si>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</si>
  <si>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</si>
  <si>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</si>
  <si>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</si>
  <si>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</si>
  <si>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</si>
  <si>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</si>
  <si>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</si>
  <si>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</si>
  <si>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</si>
  <si>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</si>
  <si>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</si>
  <si>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</si>
  <si>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</si>
  <si>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</si>
  <si>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</si>
  <si>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</si>
  <si>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</si>
  <si>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</si>
  <si>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</si>
  <si>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</si>
  <si>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</si>
  <si>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</si>
  <si>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</si>
  <si>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</si>
  <si>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</si>
  <si>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</si>
  <si>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</si>
  <si>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</si>
  <si>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</si>
  <si>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</si>
  <si>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</si>
  <si>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</si>
  <si>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</si>
  <si>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</si>
  <si>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</si>
  <si>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</si>
  <si>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</si>
  <si>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</si>
  <si>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</si>
  <si>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</si>
  <si>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</si>
  <si>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</si>
  <si>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</si>
  <si>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</si>
  <si>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</si>
  <si>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</si>
  <si>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</si>
  <si>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</si>
  <si>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</si>
  <si>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</si>
  <si>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</si>
  <si>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</si>
  <si>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</si>
  <si>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</si>
  <si>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</si>
  <si>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</si>
  <si>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</si>
  <si>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</si>
  <si>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</si>
  <si>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</si>
  <si>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</si>
  <si>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</si>
  <si>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</si>
  <si>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</si>
  <si>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</si>
  <si>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</si>
  <si>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</si>
  <si>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</si>
  <si>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</si>
  <si>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</si>
  <si>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</si>
  <si>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</si>
  <si>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</si>
  <si>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</si>
  <si>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</si>
  <si>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</si>
  <si>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</si>
  <si>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</si>
  <si>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</si>
  <si>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</si>
  <si>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</si>
  <si>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</si>
  <si>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</si>
  <si>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</si>
  <si>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</si>
  <si>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</si>
  <si>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</si>
  <si>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</si>
  <si>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</si>
  <si>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</si>
  <si>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</si>
  <si>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</si>
  <si>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</si>
  <si>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</si>
  <si>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</si>
  <si>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</si>
  <si>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</si>
  <si>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</si>
  <si>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</si>
  <si>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</si>
  <si>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</si>
  <si>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</si>
  <si>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</si>
  <si>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</si>
  <si>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</si>
  <si>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</si>
  <si>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</si>
  <si>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</si>
  <si>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</si>
  <si>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</si>
  <si>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</si>
  <si>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</si>
  <si>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</si>
  <si>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</si>
  <si>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</si>
  <si>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</si>
  <si>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</si>
  <si>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</si>
  <si>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</si>
  <si>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</si>
  <si>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</si>
  <si>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</si>
  <si>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</si>
  <si>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</si>
  <si>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</si>
  <si>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</si>
  <si>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</si>
  <si>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</si>
  <si>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</si>
  <si>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</si>
  <si>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</si>
  <si>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</si>
  <si>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</si>
  <si>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</si>
  <si>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</si>
  <si>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</si>
  <si>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</si>
  <si>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</si>
  <si>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</si>
  <si>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</si>
  <si>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</si>
  <si>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</si>
  <si>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</si>
  <si>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</si>
  <si>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</si>
  <si>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</si>
  <si>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</si>
  <si>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</si>
  <si>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</si>
  <si>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</si>
  <si>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</si>
  <si>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</si>
  <si>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</si>
  <si>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</si>
  <si>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</si>
  <si>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</si>
  <si>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</si>
  <si>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</si>
  <si>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</si>
  <si>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</si>
  <si>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</si>
  <si>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</si>
  <si>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</si>
  <si>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</si>
  <si>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</si>
  <si>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</si>
  <si>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</si>
  <si>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</si>
  <si>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</si>
  <si>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</si>
  <si>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</si>
  <si>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</si>
  <si>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</si>
  <si>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</si>
  <si>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</si>
  <si>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</si>
  <si>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</si>
  <si>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</si>
  <si>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</si>
  <si>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</si>
  <si>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</si>
  <si>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</si>
  <si>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</si>
  <si>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</si>
  <si>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</si>
  <si>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</si>
  <si>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</si>
  <si>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</si>
  <si>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</si>
  <si>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</si>
  <si>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</si>
  <si>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</si>
  <si>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</si>
  <si>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</si>
  <si>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</si>
  <si>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</si>
  <si>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</si>
  <si>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</si>
  <si>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</si>
  <si>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</si>
  <si>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</si>
  <si>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</si>
  <si>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</si>
  <si>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</si>
  <si>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</si>
  <si>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</si>
  <si>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</si>
  <si>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</si>
  <si>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</si>
  <si>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</si>
  <si>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</si>
  <si>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</si>
  <si>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</si>
  <si>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</si>
  <si>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</si>
  <si>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</si>
  <si>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</si>
  <si>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</si>
  <si>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</si>
  <si>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</si>
  <si>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</si>
  <si>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</si>
  <si>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</si>
  <si>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</si>
  <si>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</si>
  <si>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</si>
  <si>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</si>
  <si>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</si>
  <si>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</si>
  <si>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</si>
  <si>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</si>
  <si>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</si>
  <si>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</si>
  <si>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</si>
  <si>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</si>
  <si>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</si>
  <si>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</si>
  <si>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</si>
  <si>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</si>
  <si>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</si>
  <si>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</si>
  <si>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</si>
  <si>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</si>
  <si>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</si>
  <si>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</si>
  <si>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</si>
  <si>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</si>
  <si>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</si>
  <si>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</si>
  <si>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</si>
  <si>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</si>
  <si>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</si>
  <si>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</si>
  <si>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</si>
  <si>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</si>
  <si>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</si>
  <si>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</si>
  <si>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</si>
  <si>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</si>
  <si>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</si>
  <si>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</si>
  <si>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</si>
  <si>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</si>
  <si>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</si>
  <si>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</si>
  <si>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</si>
  <si>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</si>
  <si>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</si>
  <si>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</si>
  <si>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</si>
  <si>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</si>
  <si>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</si>
  <si>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</si>
  <si>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</si>
  <si>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</si>
  <si>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</si>
  <si>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</si>
  <si>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</si>
  <si>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</si>
  <si>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</si>
  <si>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</si>
  <si>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</si>
  <si>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</si>
  <si>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</si>
  <si>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</si>
  <si>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</si>
  <si>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</si>
  <si>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</si>
  <si>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</si>
  <si>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</si>
  <si>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</si>
  <si>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</si>
  <si>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</si>
  <si>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</si>
  <si>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</si>
  <si>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</si>
  <si>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</si>
  <si>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</si>
  <si>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</si>
  <si>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</si>
  <si>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</si>
  <si>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</si>
  <si>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</si>
  <si>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</si>
  <si>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</si>
  <si>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</si>
  <si>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</si>
  <si>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</si>
  <si>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</si>
  <si>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</si>
  <si>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</si>
  <si>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</si>
  <si>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</si>
  <si>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</si>
  <si>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</si>
  <si>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</si>
  <si>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</si>
  <si>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</si>
  <si>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</si>
  <si>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</si>
  <si>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</si>
  <si>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</si>
  <si>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</si>
  <si>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</si>
  <si>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</si>
  <si>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</si>
  <si>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</si>
  <si>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</si>
  <si>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</si>
  <si>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</si>
  <si>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</si>
  <si>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</si>
  <si>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</si>
  <si>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</si>
  <si>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</si>
  <si>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</si>
  <si>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</si>
  <si>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</si>
  <si>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</si>
  <si>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</si>
  <si>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</si>
  <si>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</si>
  <si>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</si>
  <si>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</si>
  <si>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</si>
  <si>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</si>
  <si>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</si>
  <si>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</si>
  <si>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</si>
  <si>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</si>
  <si>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</si>
  <si>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</si>
  <si>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</si>
  <si>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</si>
  <si>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</si>
  <si>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</si>
  <si>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</si>
  <si>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</si>
  <si>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</si>
  <si>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</si>
  <si>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</si>
  <si>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</si>
  <si>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</si>
  <si>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</si>
  <si>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</si>
  <si>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</si>
  <si>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</si>
  <si>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</si>
  <si>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</si>
  <si>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</si>
  <si>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</si>
  <si>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</si>
  <si>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</si>
  <si>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</si>
  <si>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</si>
  <si>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</si>
  <si>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</si>
  <si>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</si>
  <si>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</si>
  <si>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</si>
  <si>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</si>
  <si>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</si>
  <si>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</si>
  <si>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</si>
  <si>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</si>
  <si>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</si>
  <si>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</si>
  <si>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</si>
  <si>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</si>
  <si>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</si>
  <si>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</si>
  <si>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</si>
  <si>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</si>
  <si>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</si>
  <si>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</si>
  <si>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</si>
  <si>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</si>
  <si>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</si>
  <si>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</si>
  <si>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</si>
  <si>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</si>
  <si>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</si>
  <si>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</si>
  <si>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</si>
  <si>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</si>
  <si>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</si>
  <si>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</si>
  <si>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</si>
  <si>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</si>
  <si>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</si>
  <si>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</si>
  <si>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</si>
  <si>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</si>
  <si>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</si>
  <si>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</si>
  <si>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</si>
  <si>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</si>
  <si>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</si>
  <si>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</si>
  <si>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</si>
  <si>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</si>
  <si>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</si>
  <si>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</si>
  <si>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</si>
  <si>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</si>
  <si>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</si>
  <si>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</si>
  <si>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</si>
  <si>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</si>
  <si>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</si>
  <si>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</si>
  <si>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</si>
  <si>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</si>
  <si>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</si>
  <si>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</si>
  <si>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</si>
  <si>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</si>
  <si>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</si>
  <si>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</si>
  <si>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</si>
  <si>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</si>
  <si>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</si>
  <si>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</si>
  <si>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</si>
  <si>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</si>
  <si>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</si>
  <si>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</si>
  <si>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</si>
  <si>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</si>
  <si>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</si>
  <si>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</si>
  <si>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</si>
  <si>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</si>
  <si>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</si>
  <si>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</si>
  <si>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</si>
  <si>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</si>
  <si>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</si>
  <si>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</si>
  <si>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</si>
  <si>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</si>
  <si>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</si>
  <si>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</si>
  <si>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</si>
  <si>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</si>
  <si>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</si>
  <si>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</si>
  <si>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</si>
  <si>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</si>
  <si>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</si>
  <si>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</si>
  <si>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</si>
  <si>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</si>
  <si>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</si>
  <si>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</si>
  <si>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</si>
  <si>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</si>
  <si>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</si>
  <si>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</si>
  <si>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</si>
  <si>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</si>
  <si>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</si>
  <si>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</si>
  <si>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</si>
  <si>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</si>
  <si>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</si>
  <si>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</si>
  <si>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</si>
  <si>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</si>
  <si>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</si>
  <si>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</si>
  <si>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</si>
  <si>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</si>
  <si>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</si>
  <si>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</si>
  <si>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</si>
  <si>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</si>
  <si>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</si>
  <si>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</si>
  <si>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</si>
  <si>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</si>
  <si>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</si>
  <si>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</si>
  <si>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</si>
  <si>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</si>
  <si>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</si>
  <si>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</si>
  <si>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</si>
  <si>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</si>
  <si>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</si>
  <si>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</si>
  <si>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</si>
  <si>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</si>
  <si>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</si>
  <si>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</si>
  <si>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</si>
  <si>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</si>
  <si>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</si>
  <si>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</si>
  <si>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</si>
  <si>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</si>
  <si>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</si>
  <si>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</si>
  <si>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</si>
  <si>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</si>
  <si>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</si>
  <si>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</si>
  <si>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</si>
  <si>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</si>
  <si>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</si>
  <si>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</si>
  <si>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</si>
  <si>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</si>
  <si>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</si>
  <si>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</si>
  <si>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</si>
  <si>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</si>
  <si>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</si>
  <si>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</si>
  <si>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</si>
  <si>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</si>
  <si>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</si>
  <si>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</si>
  <si>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</si>
  <si>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</si>
  <si>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</si>
  <si>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</si>
  <si>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</si>
  <si>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</si>
  <si>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</si>
  <si>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</si>
  <si>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</si>
  <si>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</si>
  <si>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</si>
  <si>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</si>
  <si>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</si>
  <si>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</si>
  <si>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</si>
  <si>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</si>
  <si>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</si>
  <si>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</si>
  <si>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</si>
  <si>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</si>
  <si>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</si>
  <si>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</si>
  <si>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</si>
  <si>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</si>
  <si>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</si>
  <si>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</si>
  <si>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</si>
  <si>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</si>
  <si>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</si>
  <si>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</si>
  <si>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</si>
  <si>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</si>
  <si>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</si>
  <si>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</si>
  <si>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</si>
  <si>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</si>
  <si>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</si>
  <si>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</si>
  <si>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</si>
  <si>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</si>
  <si>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</si>
  <si>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</si>
  <si>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</si>
  <si>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</si>
  <si>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</si>
  <si>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</si>
  <si>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</si>
  <si>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</si>
  <si>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</si>
  <si>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</si>
  <si>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</si>
  <si>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</si>
  <si>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</si>
  <si>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</si>
  <si>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</si>
  <si>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</si>
  <si>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</si>
  <si>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</si>
  <si>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</si>
  <si>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</si>
  <si>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</si>
  <si>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</si>
  <si>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</si>
  <si>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</si>
  <si>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</si>
  <si>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</si>
  <si>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</si>
  <si>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</si>
  <si>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</si>
  <si>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</si>
  <si>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</si>
  <si>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</si>
  <si>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</si>
  <si>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</si>
  <si>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</si>
  <si>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</si>
  <si>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</si>
  <si>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</si>
  <si>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</si>
  <si>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</si>
  <si>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</si>
  <si>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</si>
  <si>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</si>
  <si>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</si>
  <si>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</si>
  <si>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</si>
  <si>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</si>
  <si>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</si>
  <si>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</si>
  <si>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</si>
  <si>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</si>
  <si>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</si>
  <si>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</si>
  <si>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</si>
  <si>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</si>
  <si>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</si>
  <si>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</si>
  <si>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</si>
  <si>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</si>
  <si>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</si>
  <si>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</si>
  <si>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</si>
  <si>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</si>
  <si>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</si>
  <si>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</si>
  <si>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</si>
  <si>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</si>
  <si>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</si>
  <si>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</si>
  <si>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</si>
  <si>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</si>
  <si>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</si>
  <si>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</si>
  <si>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</si>
  <si>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</si>
  <si>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</si>
  <si>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</si>
  <si>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</si>
  <si>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</si>
  <si>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</si>
  <si>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</si>
  <si>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</si>
  <si>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</si>
  <si>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</si>
  <si>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</si>
  <si>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</si>
  <si>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</si>
  <si>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</si>
  <si>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</si>
  <si>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</si>
  <si>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</si>
  <si>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</si>
  <si>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</si>
  <si>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</si>
  <si>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</si>
  <si>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</si>
  <si>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</si>
  <si>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</si>
  <si>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</si>
  <si>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</si>
  <si>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</si>
  <si>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</si>
  <si>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</si>
  <si>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</si>
  <si>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</si>
  <si>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</si>
  <si>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</si>
  <si>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</si>
  <si>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</si>
  <si>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</si>
  <si>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</si>
  <si>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</si>
  <si>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</si>
  <si>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</si>
  <si>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</si>
  <si>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</si>
  <si>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</si>
  <si>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</si>
  <si>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</si>
  <si>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</si>
  <si>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</si>
  <si>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</si>
  <si>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</si>
  <si>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</si>
  <si>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</si>
  <si>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</si>
  <si>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</si>
  <si>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</si>
  <si>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</si>
  <si>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</si>
  <si>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</si>
  <si>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</si>
  <si>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</si>
  <si>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</si>
  <si>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</si>
  <si>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</si>
  <si>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</si>
  <si>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</si>
  <si>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</si>
  <si>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</si>
  <si>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</si>
  <si>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</si>
  <si>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</si>
  <si>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</si>
  <si>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</si>
  <si>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</si>
  <si>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</si>
  <si>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</si>
  <si>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</si>
  <si>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</si>
  <si>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</si>
  <si>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</si>
  <si>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</si>
  <si>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</si>
  <si>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</si>
  <si>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</si>
  <si>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</si>
  <si>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</si>
  <si>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</si>
  <si>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</si>
  <si>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</si>
  <si>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</si>
  <si>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</si>
  <si>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</si>
  <si>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</si>
  <si>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</si>
  <si>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</si>
  <si>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</si>
  <si>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</si>
  <si>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</si>
  <si>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</si>
  <si>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</si>
  <si>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</si>
  <si>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</si>
  <si>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</si>
  <si>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</si>
  <si>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</si>
  <si>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</si>
  <si>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</si>
  <si>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</si>
  <si>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</si>
  <si>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</si>
  <si>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</si>
  <si>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</si>
  <si>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</si>
  <si>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</si>
  <si>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</si>
  <si>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</si>
  <si>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</si>
  <si>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</si>
  <si>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</si>
  <si>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</si>
  <si>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</si>
  <si>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</si>
  <si>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</si>
  <si>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</si>
  <si>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</si>
  <si>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</si>
  <si>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</si>
  <si>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</si>
  <si>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</si>
  <si>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</si>
  <si>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</si>
  <si>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</si>
  <si>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</si>
  <si>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</si>
  <si>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</si>
  <si>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</si>
  <si>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</si>
  <si>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</si>
  <si>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</si>
  <si>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</si>
  <si>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</si>
  <si>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</si>
  <si>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</si>
  <si>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</si>
  <si>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</si>
  <si>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</si>
  <si>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</si>
  <si>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</si>
  <si>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</si>
  <si>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</si>
  <si>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</si>
  <si>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</si>
  <si>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</si>
  <si>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</si>
  <si>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</si>
  <si>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</si>
  <si>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</si>
  <si>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</si>
  <si>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</si>
  <si>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</si>
  <si>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</si>
  <si>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</si>
  <si>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</si>
  <si>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</si>
  <si>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</si>
  <si>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</si>
  <si>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</si>
  <si>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</si>
  <si>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</si>
  <si>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</si>
  <si>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</si>
  <si>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</si>
  <si>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</si>
  <si>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</si>
  <si>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</si>
  <si>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</si>
  <si>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</si>
  <si>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</si>
  <si>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</si>
  <si>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</si>
  <si>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</si>
  <si>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</si>
  <si>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</si>
  <si>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</si>
  <si>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</si>
  <si>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</si>
  <si>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</si>
  <si>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</si>
  <si>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</si>
  <si>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</si>
  <si>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</si>
  <si>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</si>
  <si>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</si>
  <si>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</si>
  <si>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</si>
  <si>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</si>
  <si>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</si>
  <si>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</si>
  <si>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</si>
  <si>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</si>
  <si>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</si>
  <si>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</si>
  <si>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</si>
  <si>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</si>
  <si>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</si>
  <si>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</si>
  <si>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</si>
  <si>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</si>
  <si>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</si>
  <si>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</si>
  <si>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</si>
  <si>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</si>
  <si>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</si>
  <si>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</si>
  <si>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</si>
  <si>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</si>
  <si>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</si>
  <si>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</si>
  <si>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</si>
  <si>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</si>
  <si>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</si>
  <si>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</si>
  <si>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</si>
  <si>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</si>
  <si>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</si>
  <si>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</si>
  <si>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</si>
  <si>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</si>
  <si>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</si>
  <si>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</si>
  <si>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</si>
  <si>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</si>
  <si>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</si>
  <si>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</si>
  <si>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</si>
  <si>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</si>
  <si>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</si>
  <si>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</si>
  <si>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</si>
  <si>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</si>
  <si>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</si>
  <si>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</si>
  <si>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</si>
  <si>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</si>
  <si>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</si>
  <si>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</si>
  <si>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</si>
  <si>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</si>
  <si>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</si>
  <si>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</si>
  <si>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</si>
  <si>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</si>
  <si>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</si>
  <si>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</si>
  <si>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</si>
  <si>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</si>
  <si>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</si>
  <si>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</si>
  <si>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</si>
  <si>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</si>
  <si>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</si>
  <si>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</si>
  <si>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</si>
  <si>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</si>
  <si>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</si>
  <si>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</si>
  <si>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</si>
  <si>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</si>
  <si>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</si>
  <si>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</si>
  <si>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</si>
  <si>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</si>
  <si>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</si>
  <si>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</si>
  <si>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</si>
  <si>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</si>
  <si>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</si>
  <si>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</si>
  <si>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</si>
  <si>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</si>
  <si>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</si>
  <si>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</si>
  <si>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</si>
  <si>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</si>
  <si>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</si>
  <si>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</si>
  <si>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</si>
  <si>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</si>
  <si>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</si>
  <si>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</si>
  <si>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</si>
  <si>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</si>
  <si>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</si>
  <si>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</si>
  <si>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</si>
  <si>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</si>
  <si>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</si>
  <si>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</si>
  <si>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</si>
  <si>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</si>
  <si>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</si>
  <si>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</si>
  <si>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</si>
  <si>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</si>
  <si>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</si>
  <si>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</si>
  <si>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</si>
  <si>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</si>
  <si>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</si>
  <si>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</si>
  <si>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</si>
  <si>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</si>
  <si>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</si>
  <si>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</si>
  <si>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</si>
  <si>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</si>
  <si>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</si>
  <si>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</si>
  <si>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</si>
  <si>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</si>
  <si>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</si>
  <si>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</si>
  <si>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</si>
  <si>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</si>
  <si>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</si>
  <si>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</si>
  <si>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</si>
  <si>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</si>
  <si>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</si>
  <si>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</si>
  <si>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</si>
  <si>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</si>
  <si>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</si>
  <si>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</si>
  <si>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</si>
  <si>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</si>
  <si>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</si>
  <si>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</si>
  <si>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</si>
  <si>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</si>
  <si>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</si>
  <si>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</si>
  <si>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</si>
  <si>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</si>
  <si>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</si>
  <si>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</si>
  <si>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</si>
  <si>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</si>
  <si>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</si>
  <si>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</si>
  <si>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</si>
  <si>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</si>
  <si>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</si>
  <si>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</si>
  <si>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</si>
  <si>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</si>
  <si>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</si>
  <si>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</si>
  <si>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</si>
  <si>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</si>
  <si>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</si>
  <si>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</si>
  <si>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</si>
  <si>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</si>
  <si>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</si>
  <si>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</si>
  <si>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</si>
  <si>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</si>
  <si>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</si>
  <si>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</si>
  <si>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</si>
  <si>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</si>
  <si>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</si>
  <si>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</si>
  <si>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</si>
  <si>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</si>
  <si>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</si>
  <si>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</si>
  <si>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</si>
  <si>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</si>
  <si>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</si>
  <si>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</si>
  <si>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</si>
  <si>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</si>
  <si>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</si>
  <si>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</si>
  <si>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</si>
  <si>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</si>
  <si>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</si>
  <si>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</si>
  <si>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</si>
  <si>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</si>
  <si>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</si>
  <si>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</si>
  <si>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</si>
  <si>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</si>
  <si>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</si>
  <si>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</si>
  <si>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</si>
  <si>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</si>
  <si>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</si>
  <si>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</si>
  <si>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</si>
  <si>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</si>
  <si>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</si>
  <si>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</si>
  <si>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</si>
  <si>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</si>
  <si>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</si>
  <si>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</si>
  <si>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</si>
  <si>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</si>
  <si>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</si>
  <si>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</si>
  <si>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</si>
  <si>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</si>
  <si>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</si>
  <si>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</si>
  <si>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</si>
  <si>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</si>
  <si>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</si>
  <si>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</si>
  <si>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</si>
  <si>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</si>
  <si>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</si>
  <si>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</si>
  <si>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</si>
  <si>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</si>
  <si>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</si>
  <si>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</si>
  <si>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</si>
  <si>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</si>
  <si>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</si>
  <si>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</si>
  <si>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</si>
  <si>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</si>
  <si>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</si>
  <si>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</si>
  <si>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</si>
  <si>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</si>
  <si>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</si>
  <si>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</si>
  <si>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</si>
  <si>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</si>
  <si>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</si>
  <si>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</si>
  <si>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</si>
  <si>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</si>
  <si>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</si>
  <si>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</si>
  <si>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</si>
  <si>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</si>
  <si>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</si>
  <si>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</si>
  <si>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</si>
  <si>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</si>
  <si>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</si>
  <si>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</si>
  <si>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</si>
  <si>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</si>
  <si>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</si>
  <si>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</si>
  <si>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</si>
  <si>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</si>
  <si>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</si>
  <si>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</si>
  <si>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</si>
  <si>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</si>
  <si>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</si>
  <si>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</si>
  <si>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</si>
  <si>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</si>
  <si>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</si>
  <si>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</si>
  <si>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</si>
  <si>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</si>
  <si>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</si>
  <si>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</si>
  <si>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</si>
  <si>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</si>
  <si>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</si>
  <si>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</si>
  <si>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</si>
  <si>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</si>
  <si>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</si>
  <si>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</si>
  <si>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</si>
  <si>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</si>
  <si>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</si>
  <si>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</si>
  <si>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</si>
  <si>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</si>
  <si>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</si>
  <si>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</si>
  <si>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</si>
  <si>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</si>
  <si>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</si>
  <si>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</si>
  <si>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</si>
  <si>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</si>
  <si>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</si>
  <si>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</si>
  <si>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</si>
  <si>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</si>
  <si>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</si>
  <si>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</si>
  <si>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</si>
  <si>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</si>
  <si>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</si>
  <si>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</si>
  <si>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</si>
  <si>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</si>
  <si>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</si>
  <si>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</si>
  <si>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</si>
  <si>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</si>
  <si>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</si>
  <si>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</si>
  <si>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</si>
  <si>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</si>
  <si>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</si>
  <si>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</si>
  <si>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</si>
  <si>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</si>
  <si>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</si>
  <si>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</si>
  <si>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</si>
  <si>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</si>
  <si>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</si>
  <si>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</si>
  <si>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</si>
  <si>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</si>
  <si>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</si>
  <si>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</si>
  <si>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</si>
  <si>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</si>
  <si>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</si>
  <si>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</si>
  <si>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</si>
  <si>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</si>
  <si>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</si>
  <si>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</si>
  <si>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</si>
  <si>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</si>
  <si>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</si>
  <si>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</si>
  <si>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</si>
  <si>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</si>
  <si>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</si>
  <si>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</si>
  <si>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</si>
  <si>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</si>
  <si>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</si>
  <si>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</si>
  <si>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</si>
  <si>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</si>
  <si>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</si>
  <si>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</si>
  <si>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</si>
  <si>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</si>
  <si>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</si>
  <si>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</si>
  <si>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</si>
  <si>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</si>
  <si>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</si>
  <si>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</si>
  <si>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</si>
  <si>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</si>
  <si>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</si>
  <si>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</si>
  <si>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</si>
  <si>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</si>
  <si>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</si>
  <si>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</si>
  <si>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</si>
  <si>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</si>
  <si>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</si>
  <si>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</si>
  <si>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</si>
  <si>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</si>
  <si>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</si>
  <si>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</si>
  <si>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</si>
  <si>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</si>
  <si>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</si>
  <si>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</si>
  <si>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</si>
  <si>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</si>
  <si>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</si>
  <si>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</si>
  <si>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</si>
  <si>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</si>
  <si>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</si>
  <si>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</si>
  <si>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</si>
  <si>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</si>
  <si>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</si>
  <si>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</si>
  <si>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</si>
  <si>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</si>
  <si>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</si>
  <si>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</si>
  <si>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</si>
  <si>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</si>
  <si>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</si>
  <si>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</si>
  <si>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</si>
  <si>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</si>
  <si>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</si>
  <si>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</si>
  <si>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</si>
  <si>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</si>
  <si>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</si>
  <si>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</si>
  <si>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</si>
  <si>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</si>
  <si>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</si>
  <si>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</si>
  <si>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</si>
  <si>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</si>
  <si>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</si>
  <si>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</si>
  <si>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</si>
  <si>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</si>
  <si>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</si>
  <si>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</si>
  <si>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</si>
  <si>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</si>
  <si>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</si>
  <si>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</si>
  <si>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</si>
  <si>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</si>
  <si>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</si>
  <si>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</si>
  <si>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</si>
  <si>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</si>
  <si>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</si>
  <si>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</si>
  <si>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</si>
  <si>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</si>
  <si>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</si>
  <si>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</si>
  <si>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</si>
  <si>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</si>
  <si>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</si>
  <si>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</si>
  <si>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</si>
  <si>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</si>
  <si>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</si>
  <si>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</si>
  <si>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</si>
  <si>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</si>
  <si>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</si>
  <si>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</si>
  <si>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</si>
  <si>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</si>
  <si>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</si>
  <si>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</si>
  <si>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</si>
  <si>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</si>
  <si>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</si>
  <si>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</si>
  <si>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</si>
  <si>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</si>
  <si>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</si>
  <si>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</si>
  <si>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</si>
  <si>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</si>
  <si>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</si>
  <si>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</si>
  <si>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</si>
  <si>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</si>
  <si>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</si>
  <si>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</si>
  <si>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</si>
  <si>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</si>
  <si>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</si>
  <si>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</si>
  <si>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</si>
  <si>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</si>
  <si>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</si>
  <si>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</si>
  <si>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</si>
  <si>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</si>
  <si>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</si>
  <si>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</si>
  <si>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</si>
  <si>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</si>
  <si>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</si>
  <si>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</si>
  <si>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</si>
  <si>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</si>
  <si>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</si>
  <si>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</si>
  <si>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</si>
  <si>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</si>
  <si>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</si>
  <si>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</si>
  <si>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</si>
  <si>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</si>
  <si>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</si>
  <si>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</si>
  <si>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</si>
  <si>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</si>
  <si>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</si>
  <si>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</si>
  <si>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</si>
  <si>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</si>
  <si>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</si>
  <si>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</si>
  <si>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</si>
  <si>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</si>
  <si>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</si>
  <si>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</si>
  <si>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</si>
  <si>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</si>
  <si>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</si>
  <si>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</si>
  <si>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</si>
  <si>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</si>
  <si>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</si>
  <si>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</si>
  <si>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</si>
  <si>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</si>
  <si>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</si>
  <si>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</si>
  <si>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</si>
  <si>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</si>
  <si>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</si>
  <si>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</si>
  <si>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</si>
  <si>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</si>
  <si>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</si>
  <si>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</si>
  <si>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</si>
  <si>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</si>
  <si>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</si>
  <si>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</si>
  <si>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</si>
  <si>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</si>
  <si>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</si>
  <si>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</si>
  <si>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</si>
  <si>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</si>
  <si>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</si>
  <si>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</si>
  <si>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</si>
  <si>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</si>
  <si>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</si>
  <si>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</si>
  <si>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</si>
  <si>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</si>
  <si>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</si>
  <si>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</si>
  <si>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</si>
  <si>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</si>
  <si>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</si>
  <si>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</si>
  <si>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</si>
  <si>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</si>
  <si>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</si>
  <si>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</si>
  <si>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</si>
  <si>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</si>
  <si>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</si>
  <si>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</si>
  <si>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</si>
  <si>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</si>
  <si>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</si>
  <si>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</si>
  <si>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</si>
  <si>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</si>
  <si>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</si>
  <si>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</si>
  <si>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</si>
  <si>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</si>
  <si>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</si>
  <si>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</si>
  <si>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</si>
  <si>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</si>
  <si>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</si>
  <si>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</si>
  <si>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</si>
  <si>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</si>
  <si>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</si>
  <si>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</si>
  <si>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</si>
  <si>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</si>
  <si>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</si>
  <si>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</si>
  <si>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</si>
  <si>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</si>
  <si>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</si>
  <si>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</si>
  <si>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</si>
  <si>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</si>
  <si>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</si>
  <si>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</si>
  <si>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</si>
  <si>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</si>
  <si>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</si>
  <si>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</si>
  <si>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</si>
  <si>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</si>
  <si>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</si>
  <si>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</si>
  <si>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</si>
  <si>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</si>
  <si>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</si>
  <si>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</si>
  <si>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</si>
  <si>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</si>
  <si>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</si>
  <si>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</si>
  <si>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</si>
  <si>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</si>
  <si>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</si>
  <si>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</si>
  <si>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</si>
  <si>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</si>
  <si>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</si>
  <si>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</si>
  <si>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</si>
  <si>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</si>
  <si>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</si>
  <si>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</si>
  <si>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</si>
  <si>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</si>
  <si>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</si>
  <si>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</si>
  <si>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</si>
  <si>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</si>
  <si>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</si>
  <si>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</si>
  <si>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</si>
  <si>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</si>
  <si>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</si>
  <si>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</si>
  <si>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</si>
  <si>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</si>
  <si>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</si>
  <si>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</si>
  <si>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</si>
  <si>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</si>
  <si>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</si>
  <si>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</si>
  <si>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</si>
  <si>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</si>
  <si>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</si>
  <si>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</si>
  <si>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</si>
  <si>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</si>
  <si>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</si>
  <si>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</si>
  <si>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</si>
  <si>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</si>
  <si>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</si>
  <si>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</si>
  <si>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</si>
  <si>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</si>
  <si>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</si>
  <si>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</si>
  <si>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</si>
  <si>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</si>
  <si>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</si>
  <si>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</si>
  <si>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</si>
  <si>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</si>
  <si>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</si>
  <si>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</si>
  <si>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</si>
  <si>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</si>
  <si>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</si>
  <si>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</si>
  <si>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</si>
  <si>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</si>
  <si>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</si>
  <si>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</si>
  <si>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</si>
  <si>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</si>
  <si>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</si>
  <si>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</si>
  <si>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</si>
  <si>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</si>
  <si>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</si>
  <si>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</si>
  <si>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</si>
  <si>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</si>
  <si>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</si>
  <si>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</si>
  <si>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</si>
  <si>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</si>
  <si>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</si>
  <si>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</si>
  <si>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</si>
  <si>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</si>
  <si>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</si>
  <si>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</si>
  <si>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</si>
  <si>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</si>
  <si>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</si>
  <si>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</si>
  <si>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</si>
  <si>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</si>
  <si>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</si>
  <si>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</si>
  <si>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</si>
  <si>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</si>
  <si>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</si>
  <si>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</si>
  <si>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</si>
  <si>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</si>
  <si>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</si>
  <si>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</si>
  <si>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</si>
  <si>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</si>
  <si>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</si>
  <si>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</si>
  <si>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</si>
  <si>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</si>
  <si>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</si>
  <si>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</si>
  <si>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</si>
  <si>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</si>
  <si>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</si>
  <si>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</si>
  <si>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</si>
  <si>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</si>
  <si>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</si>
  <si>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</si>
  <si>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</si>
  <si>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</si>
  <si>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</si>
  <si>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</si>
  <si>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</si>
  <si>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</si>
  <si>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</si>
  <si>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</si>
  <si>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</si>
  <si>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</si>
  <si>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</si>
  <si>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</si>
  <si>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</si>
  <si>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</si>
  <si>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</si>
  <si>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</si>
  <si>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</si>
  <si>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</si>
  <si>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</si>
  <si>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</si>
  <si>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</si>
  <si>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</si>
  <si>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</si>
  <si>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</si>
  <si>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</si>
  <si>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</si>
  <si>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</si>
  <si>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</si>
  <si>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</si>
  <si>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</si>
  <si>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</si>
  <si>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</si>
  <si>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</si>
  <si>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</si>
  <si>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</si>
  <si>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</si>
  <si>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</si>
  <si>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</si>
  <si>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</si>
  <si>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</si>
  <si>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</si>
  <si>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</si>
  <si>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</si>
  <si>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</si>
  <si>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</si>
  <si>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</si>
  <si>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</si>
  <si>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</si>
  <si>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</si>
  <si>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</si>
  <si>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</si>
  <si>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</si>
  <si>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</si>
  <si>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</si>
  <si>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</si>
  <si>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</si>
  <si>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</si>
  <si>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</si>
  <si>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</si>
  <si>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</si>
  <si>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</si>
  <si>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</si>
  <si>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</si>
  <si>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</si>
  <si>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</si>
  <si>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</si>
  <si>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</si>
  <si>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</si>
  <si>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</si>
  <si>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</si>
  <si>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</si>
  <si>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</si>
  <si>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</si>
  <si>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</si>
  <si>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</si>
  <si>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</si>
  <si>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</si>
  <si>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</si>
  <si>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</si>
  <si>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</si>
  <si>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</si>
  <si>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</si>
  <si>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</si>
  <si>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</si>
  <si>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</si>
  <si>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</si>
  <si>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</si>
  <si>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</si>
  <si>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</si>
  <si>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</si>
  <si>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</si>
  <si>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</si>
  <si>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</si>
  <si>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</si>
  <si>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</si>
  <si>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</si>
  <si>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</si>
  <si>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</si>
  <si>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</si>
  <si>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</si>
  <si>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</si>
  <si>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</si>
  <si>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</si>
  <si>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</si>
  <si>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</si>
  <si>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</si>
  <si>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</si>
  <si>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</si>
  <si>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</si>
  <si>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</si>
  <si>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</si>
  <si>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</si>
  <si>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</si>
  <si>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</si>
  <si>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</si>
  <si>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</si>
  <si>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</si>
  <si>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</si>
  <si>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</si>
  <si>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</si>
  <si>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</si>
  <si>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</si>
  <si>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</si>
  <si>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</si>
  <si>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</si>
  <si>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</si>
  <si>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</si>
  <si>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</si>
  <si>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</si>
  <si>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</si>
  <si>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</si>
  <si>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</si>
  <si>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</si>
  <si>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</si>
  <si>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</si>
  <si>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</si>
  <si>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</si>
  <si>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</si>
  <si>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</si>
  <si>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</si>
  <si>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</si>
  <si>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</si>
  <si>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</si>
  <si>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</si>
  <si>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</si>
  <si>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</si>
  <si>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</si>
  <si>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</si>
  <si>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</si>
  <si>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</si>
  <si>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</si>
  <si>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</si>
  <si>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</si>
  <si>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</si>
  <si>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</si>
  <si>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</si>
  <si>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</si>
  <si>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</si>
  <si>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</si>
  <si>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</si>
  <si>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</si>
  <si>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</si>
  <si>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</si>
  <si>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</si>
  <si>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</si>
  <si>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</si>
  <si>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</si>
  <si>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</si>
  <si>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</si>
  <si>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</si>
  <si>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</si>
  <si>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</si>
  <si>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</si>
  <si>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</si>
  <si>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</si>
  <si>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</si>
  <si>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</si>
  <si>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</si>
  <si>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</si>
  <si>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</si>
  <si>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</si>
  <si>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</si>
  <si>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</si>
  <si>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</si>
  <si>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</si>
  <si>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</si>
  <si>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</si>
  <si>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</si>
  <si>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</si>
  <si>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</si>
  <si>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</si>
  <si>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</si>
  <si>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</si>
  <si>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</si>
  <si>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</si>
  <si>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</si>
  <si>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</si>
  <si>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</si>
  <si>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</si>
  <si>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</si>
  <si>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</si>
  <si>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</si>
  <si>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</si>
  <si>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</si>
  <si>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</si>
  <si>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</si>
  <si>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</si>
  <si>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</si>
  <si>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</si>
  <si>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</si>
  <si>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</si>
  <si>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</si>
  <si>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</si>
  <si>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</si>
  <si>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</si>
  <si>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</si>
  <si>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</si>
  <si>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</si>
  <si>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</si>
  <si>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</si>
  <si>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</si>
  <si>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</si>
  <si>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</si>
  <si>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</si>
  <si>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</si>
  <si>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</si>
  <si>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</si>
  <si>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</si>
  <si>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</si>
  <si>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</si>
  <si>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</si>
  <si>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</si>
  <si>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</si>
  <si>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</si>
  <si>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</si>
  <si>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</si>
  <si>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</si>
  <si>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</si>
  <si>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</si>
  <si>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</si>
  <si>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</si>
  <si>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</si>
  <si>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</si>
  <si>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</si>
  <si>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</si>
  <si>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</si>
  <si>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</si>
  <si>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</si>
  <si>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</si>
  <si>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</si>
  <si>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</si>
  <si>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</si>
  <si>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</si>
  <si>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</si>
  <si>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</si>
  <si>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</si>
  <si>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</si>
  <si>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</si>
  <si>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</si>
  <si>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</si>
  <si>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</si>
  <si>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</si>
  <si>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</si>
  <si>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</si>
  <si>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</si>
  <si>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</si>
  <si>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</si>
  <si>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</si>
  <si>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</si>
  <si>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</si>
  <si>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</si>
  <si>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</si>
  <si>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</si>
  <si>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</si>
  <si>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</si>
  <si>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</si>
  <si>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</si>
  <si>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</si>
  <si>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</si>
  <si>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</si>
  <si>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</si>
  <si>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</si>
  <si>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</si>
  <si>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</si>
  <si>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</si>
  <si>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</si>
  <si>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</si>
  <si>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</si>
  <si>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</si>
  <si>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</si>
  <si>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</si>
  <si>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</si>
  <si>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</si>
  <si>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</si>
  <si>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</si>
  <si>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</si>
  <si>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</si>
  <si>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</si>
  <si>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</si>
  <si>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</si>
  <si>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</si>
  <si>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</si>
  <si>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</si>
  <si>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</si>
  <si>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</si>
  <si>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</si>
  <si>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</si>
  <si>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</si>
  <si>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</si>
  <si>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</si>
  <si>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</si>
  <si>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</si>
  <si>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</si>
  <si>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</si>
  <si>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</si>
  <si>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</si>
  <si>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</si>
  <si>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</si>
  <si>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</si>
  <si>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</si>
  <si>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</si>
  <si>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</si>
  <si>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</si>
  <si>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</si>
  <si>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</si>
  <si>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</si>
  <si>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</si>
  <si>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</si>
  <si>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</si>
  <si>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</si>
  <si>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</si>
  <si>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</si>
  <si>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</si>
  <si>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</si>
  <si>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</si>
  <si>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</si>
  <si>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</si>
  <si>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</si>
  <si>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</si>
  <si>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</si>
  <si>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</si>
  <si>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</si>
  <si>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</si>
  <si>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</si>
  <si>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</si>
  <si>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</si>
  <si>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</si>
  <si>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</si>
  <si>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</si>
  <si>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</si>
  <si>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</si>
  <si>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</si>
  <si>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</si>
  <si>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</si>
  <si>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</si>
  <si>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</si>
  <si>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</si>
  <si>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</si>
  <si>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</si>
  <si>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</si>
  <si>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</si>
  <si>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</si>
  <si>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</si>
  <si>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</si>
  <si>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</si>
  <si>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</si>
  <si>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</si>
  <si>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</si>
  <si>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</si>
  <si>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</si>
  <si>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</si>
  <si>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</si>
  <si>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</si>
  <si>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</si>
  <si>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</si>
  <si>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</si>
  <si>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</si>
  <si>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</si>
  <si>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</si>
  <si>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</si>
  <si>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</si>
  <si>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</si>
  <si>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</si>
  <si>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</si>
  <si>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</si>
  <si>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</si>
  <si>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</si>
  <si>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</si>
  <si>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</si>
  <si>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</si>
  <si>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</si>
  <si>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</si>
  <si>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</si>
  <si>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</si>
  <si>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</si>
  <si>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</si>
  <si>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</si>
  <si>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</si>
  <si>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</si>
  <si>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</si>
  <si>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</si>
  <si>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</si>
  <si>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</si>
  <si>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</si>
  <si>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</si>
  <si>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</si>
  <si>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</si>
  <si>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</si>
  <si>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</si>
  <si>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</si>
  <si>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</si>
  <si>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</si>
  <si>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</si>
  <si>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</si>
  <si>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</si>
  <si>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</si>
  <si>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</si>
  <si>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</si>
  <si>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</si>
  <si>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</si>
  <si>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</si>
  <si>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</si>
  <si>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</si>
  <si>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</si>
  <si>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</si>
  <si>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</si>
  <si>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</si>
  <si>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</si>
  <si>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</si>
  <si>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</si>
  <si>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</si>
  <si>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</si>
  <si>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</si>
  <si>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</si>
  <si>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</si>
  <si>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</si>
  <si>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</si>
  <si>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</si>
  <si>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</si>
  <si>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</si>
  <si>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</si>
  <si>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</si>
  <si>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</si>
  <si>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</si>
  <si>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</si>
  <si>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</si>
  <si>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</si>
  <si>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</si>
  <si>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</si>
  <si>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</si>
  <si>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</si>
  <si>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</si>
  <si>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</si>
  <si>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</si>
  <si>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</si>
  <si>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</si>
  <si>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</si>
  <si>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</si>
  <si>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</si>
  <si>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</si>
  <si>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</si>
  <si>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</si>
  <si>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</si>
  <si>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</si>
  <si>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</si>
  <si>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</si>
  <si>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</si>
  <si>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</si>
  <si>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</si>
  <si>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</si>
  <si>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</si>
  <si>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</si>
  <si>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</si>
  <si>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</si>
  <si>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</si>
  <si>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</si>
  <si>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</si>
  <si>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</si>
  <si>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</si>
  <si>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</si>
  <si>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</si>
  <si>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</si>
  <si>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</si>
  <si>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</si>
  <si>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</si>
  <si>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</si>
  <si>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</si>
  <si>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</si>
  <si>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</si>
  <si>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</si>
  <si>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</si>
  <si>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</si>
  <si>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</si>
  <si>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</si>
  <si>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</si>
  <si>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</si>
  <si>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</si>
  <si>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</si>
  <si>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</si>
  <si>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</si>
  <si>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</si>
  <si>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</si>
  <si>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</si>
  <si>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</si>
  <si>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</si>
  <si>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</si>
  <si>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</si>
  <si>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</si>
  <si>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</si>
  <si>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</si>
  <si>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</si>
  <si>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</si>
  <si>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</si>
  <si>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</si>
  <si>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</si>
  <si>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</si>
  <si>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</si>
  <si>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</si>
  <si>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</si>
  <si>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</si>
  <si>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</si>
  <si>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</si>
  <si>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</si>
  <si>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</si>
  <si>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</si>
  <si>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</si>
  <si>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</si>
  <si>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</si>
  <si>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</si>
  <si>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</si>
  <si>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</si>
  <si>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</si>
  <si>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</si>
  <si>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</si>
  <si>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</si>
  <si>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</si>
  <si>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</si>
  <si>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</si>
  <si>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</si>
  <si>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</si>
  <si>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</si>
  <si>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</si>
  <si>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</si>
  <si>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</si>
  <si>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</si>
  <si>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</si>
  <si>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</si>
  <si>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</si>
  <si>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</si>
  <si>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</si>
  <si>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</si>
  <si>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</si>
  <si>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</si>
  <si>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</si>
  <si>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</si>
  <si>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</si>
  <si>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</si>
  <si>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</si>
  <si>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</si>
  <si>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</si>
  <si>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</si>
  <si>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</si>
  <si>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</si>
  <si>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</si>
  <si>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</si>
  <si>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</si>
  <si>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</si>
  <si>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</si>
  <si>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</si>
  <si>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</si>
  <si>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</si>
  <si>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</si>
  <si>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</si>
  <si>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</si>
  <si>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</si>
  <si>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</si>
  <si>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</si>
  <si>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</si>
  <si>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</si>
  <si>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</si>
  <si>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</si>
  <si>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</si>
  <si>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</si>
  <si>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</si>
  <si>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</si>
  <si>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</si>
  <si>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</si>
  <si>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</si>
  <si>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</si>
  <si>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</si>
  <si>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</si>
  <si>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</si>
  <si>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</si>
  <si>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</si>
  <si>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</si>
  <si>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</si>
  <si>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</si>
  <si>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</si>
  <si>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</si>
  <si>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</si>
  <si>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</si>
  <si>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</si>
  <si>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</si>
  <si>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</si>
  <si>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</si>
  <si>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</si>
  <si>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</si>
  <si>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</si>
  <si>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</si>
  <si>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</si>
  <si>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</si>
  <si>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</si>
  <si>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</si>
  <si>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</si>
  <si>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</si>
  <si>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</si>
  <si>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</si>
  <si>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</si>
  <si>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</si>
  <si>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</si>
  <si>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</si>
  <si>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</si>
  <si>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</si>
  <si>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</si>
  <si>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</si>
  <si>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</si>
  <si>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</si>
  <si>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</si>
  <si>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</si>
  <si>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</si>
  <si>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</si>
  <si>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</si>
  <si>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</si>
  <si>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</si>
  <si>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</si>
  <si>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</si>
  <si>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</si>
  <si>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</si>
  <si>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</si>
  <si>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</si>
  <si>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</si>
  <si>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</si>
  <si>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</si>
  <si>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</si>
  <si>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</si>
  <si>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</si>
  <si>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</si>
  <si>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</si>
  <si>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</si>
  <si>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</si>
  <si>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</si>
  <si>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</si>
  <si>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</si>
  <si>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</si>
  <si>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</si>
  <si>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</si>
  <si>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</si>
  <si>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</si>
  <si>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</si>
  <si>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</si>
  <si>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</si>
  <si>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</si>
  <si>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</si>
  <si>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</si>
  <si>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</si>
  <si>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</si>
  <si>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</si>
  <si>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</si>
  <si>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</si>
  <si>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</si>
  <si>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</si>
  <si>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</si>
  <si>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</si>
  <si>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</si>
  <si>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</si>
  <si>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</si>
  <si>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</si>
  <si>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</si>
  <si>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</si>
  <si>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</si>
  <si>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</si>
  <si>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</si>
  <si>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</si>
  <si>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</si>
  <si>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</si>
  <si>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</si>
  <si>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</si>
  <si>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</si>
  <si>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</si>
  <si>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</si>
  <si>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</si>
  <si>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</si>
  <si>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</si>
  <si>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</si>
  <si>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</si>
  <si>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</si>
  <si>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</si>
  <si>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</si>
  <si>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</si>
  <si>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</si>
  <si>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</si>
  <si>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</si>
  <si>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</si>
  <si>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</si>
  <si>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</si>
  <si>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</si>
  <si>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</si>
  <si>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</si>
  <si>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</si>
  <si>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</si>
  <si>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</si>
  <si>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</si>
  <si>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</si>
  <si>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</si>
  <si>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</si>
  <si>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</si>
  <si>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</si>
  <si>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</si>
  <si>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</si>
  <si>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</si>
  <si>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</si>
  <si>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</si>
  <si>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</si>
  <si>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</si>
  <si>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</si>
  <si>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</si>
  <si>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</si>
  <si>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</si>
  <si>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</si>
  <si>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</si>
  <si>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</si>
  <si>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</si>
  <si>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</si>
  <si>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</si>
  <si>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</si>
  <si>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</si>
  <si>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</si>
  <si>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</si>
  <si>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</si>
  <si>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</si>
  <si>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</si>
  <si>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</si>
  <si>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</si>
  <si>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</si>
  <si>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</si>
  <si>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</si>
  <si>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</si>
  <si>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</si>
  <si>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</si>
  <si>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</si>
  <si>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</si>
  <si>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</si>
  <si>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</si>
  <si>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</si>
  <si>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</si>
  <si>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</si>
  <si>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</si>
  <si>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</si>
  <si>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</si>
  <si>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</si>
  <si>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</si>
  <si>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</si>
  <si>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</si>
  <si>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</si>
  <si>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</si>
  <si>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</si>
  <si>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</si>
  <si>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</si>
  <si>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</si>
  <si>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</si>
  <si>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</si>
  <si>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</si>
  <si>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</si>
  <si>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</si>
  <si>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</si>
  <si>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</si>
  <si>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</si>
  <si>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</si>
  <si>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</si>
  <si>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</si>
  <si>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</si>
  <si>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</si>
  <si>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</si>
  <si>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</si>
  <si>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</si>
  <si>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</si>
  <si>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</si>
  <si>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</si>
  <si>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</si>
  <si>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</si>
  <si>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</si>
  <si>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</si>
  <si>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</si>
  <si>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</si>
  <si>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</si>
  <si>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</si>
  <si>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</si>
  <si>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</si>
  <si>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</si>
  <si>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</si>
  <si>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</si>
  <si>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</si>
  <si>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</si>
  <si>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</si>
  <si>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</si>
  <si>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</si>
  <si>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</si>
  <si>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</si>
  <si>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</si>
  <si>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</si>
  <si>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</si>
  <si>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</si>
  <si>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</si>
  <si>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</si>
  <si>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</si>
  <si>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</si>
  <si>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</si>
  <si>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</si>
  <si>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</si>
  <si>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</si>
  <si>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</si>
  <si>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</si>
  <si>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</si>
  <si>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</si>
  <si>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</si>
  <si>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</si>
  <si>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</si>
  <si>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</si>
  <si>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</si>
  <si>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</si>
  <si>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</si>
  <si>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</si>
  <si>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</si>
  <si>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</si>
  <si>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</si>
  <si>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</si>
  <si>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</si>
  <si>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</si>
  <si>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</si>
  <si>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</si>
  <si>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</si>
  <si>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</si>
  <si>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</si>
  <si>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</si>
  <si>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</si>
  <si>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</si>
  <si>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</si>
  <si>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</si>
  <si>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</si>
  <si>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</si>
  <si>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</si>
  <si>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</si>
  <si>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</si>
  <si>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</si>
  <si>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</si>
  <si>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</si>
  <si>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</si>
  <si>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</si>
  <si>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</si>
  <si>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</si>
  <si>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</si>
  <si>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</si>
  <si>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</si>
  <si>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</si>
  <si>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</si>
  <si>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</si>
  <si>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</si>
  <si>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</si>
  <si>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</si>
  <si>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</si>
  <si>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</si>
  <si>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</si>
  <si>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</si>
  <si>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</si>
  <si>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</si>
  <si>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</si>
  <si>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</si>
  <si>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</si>
  <si>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</si>
  <si>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</si>
  <si>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</si>
  <si>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</si>
  <si>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</si>
  <si>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</si>
  <si>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</si>
  <si>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</si>
  <si>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</si>
  <si>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</si>
  <si>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</si>
  <si>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</si>
  <si>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</si>
  <si>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</si>
  <si>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</si>
  <si>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</si>
  <si>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</si>
  <si>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</si>
  <si>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</si>
  <si>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</si>
  <si>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</si>
  <si>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</si>
  <si>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</si>
  <si>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</si>
  <si>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</si>
  <si>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</si>
  <si>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</si>
  <si>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</si>
  <si>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</si>
  <si>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</si>
  <si>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</si>
  <si>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</si>
  <si>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</si>
  <si>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</si>
  <si>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</si>
  <si>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</si>
  <si>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</si>
  <si>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</si>
  <si>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</si>
  <si>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</si>
  <si>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</si>
  <si>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</si>
  <si>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</si>
  <si>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</si>
  <si>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</si>
  <si>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</si>
  <si>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</si>
  <si>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</si>
  <si>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</si>
  <si>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</si>
  <si>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</si>
  <si>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</si>
  <si>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</si>
  <si>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</si>
  <si>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</si>
  <si>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</si>
  <si>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</si>
  <si>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</si>
  <si>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</si>
  <si>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</si>
  <si>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</si>
  <si>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</si>
  <si>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</si>
  <si>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</si>
  <si>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</si>
  <si>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</si>
  <si>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</si>
  <si>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</si>
  <si>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</si>
  <si>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</si>
  <si>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</si>
  <si>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</si>
  <si>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</si>
  <si>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</si>
  <si>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</si>
  <si>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</si>
  <si>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</si>
  <si>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</si>
  <si>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</si>
  <si>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</si>
  <si>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</si>
  <si>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</si>
  <si>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</si>
  <si>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</si>
  <si>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</si>
  <si>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</si>
  <si>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</si>
  <si>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</si>
  <si>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</si>
  <si>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</si>
  <si>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</si>
  <si>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</si>
  <si>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</si>
  <si>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</si>
  <si>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</si>
  <si>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</si>
  <si>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</si>
  <si>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</si>
  <si>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</si>
  <si>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</si>
  <si>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</si>
  <si>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</si>
  <si>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</si>
  <si>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</si>
  <si>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</si>
  <si>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</si>
  <si>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</si>
  <si>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</si>
  <si>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</si>
  <si>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</si>
  <si>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</si>
  <si>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</si>
  <si>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</si>
  <si>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</si>
  <si>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</si>
  <si>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</si>
  <si>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</si>
  <si>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</si>
  <si>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</si>
  <si>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</si>
  <si>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</si>
  <si>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</si>
  <si>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</si>
  <si>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</si>
  <si>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</si>
  <si>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</si>
  <si>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</si>
  <si>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</si>
  <si>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</si>
  <si>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</si>
  <si>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</si>
  <si>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</si>
  <si>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</si>
  <si>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</si>
  <si>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</si>
  <si>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</si>
  <si>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</si>
  <si>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</si>
  <si>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</si>
  <si>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</si>
  <si>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</si>
  <si>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</si>
  <si>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</si>
  <si>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</si>
  <si>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</si>
  <si>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</si>
  <si>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</si>
  <si>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</si>
  <si>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</si>
  <si>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</si>
  <si>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</si>
  <si>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</si>
  <si>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</si>
  <si>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</si>
  <si>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</si>
  <si>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</si>
  <si>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</si>
  <si>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</si>
  <si>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</si>
  <si>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</si>
  <si>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</si>
  <si>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</si>
  <si>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</si>
  <si>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</si>
  <si>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</si>
  <si>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</si>
  <si>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</si>
  <si>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</si>
  <si>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</si>
  <si>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</si>
  <si>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</si>
  <si>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</si>
  <si>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</si>
  <si>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原件</t>
  </si>
  <si>
    <t>无</t>
  </si>
  <si>
    <t>现房</t>
  </si>
  <si>
    <t>通路</t>
  </si>
  <si>
    <t>通电</t>
  </si>
  <si>
    <t>通讯</t>
  </si>
  <si>
    <t>通上水</t>
  </si>
  <si>
    <t>通下水</t>
  </si>
  <si>
    <t>通热</t>
  </si>
  <si>
    <t>燃气</t>
  </si>
  <si>
    <t>是</t>
  </si>
  <si>
    <t>地上</t>
  </si>
  <si>
    <t>住宅</t>
  </si>
  <si>
    <t>住宅楼</t>
  </si>
  <si>
    <t>成新度</t>
  </si>
  <si>
    <t>收益法</t>
  </si>
  <si>
    <t>周边有夏威夷·蓝湾、美丽乡村别墅、金谷iSOHO等居住社区，综合评价居住社区成熟度较好</t>
    <phoneticPr fontId="41" type="noConversion"/>
  </si>
  <si>
    <t>估价对象位于燕郊，周边商业氛围成熟度一般，多集中于住宅底商，人流量较小，商业繁华度较差</t>
    <phoneticPr fontId="25" type="noConversion"/>
  </si>
  <si>
    <t>周边有302、快速直达专线102路等公交线路，交通便捷度一般。</t>
    <phoneticPr fontId="41" type="noConversion"/>
  </si>
  <si>
    <t>估价对象周边无银行、商场、学校、医院，有社区超市等，公共配套设施较差。</t>
    <phoneticPr fontId="41" type="noConversion"/>
  </si>
  <si>
    <t>估价对象所在区域基础设施水平达七通</t>
    <phoneticPr fontId="25" type="noConversion"/>
  </si>
  <si>
    <t>周边绿化均为城市绿化，无高等教育机构等，综合评价环境状况一般</t>
    <phoneticPr fontId="3" type="noConversion"/>
  </si>
  <si>
    <t>城市次干道——迎宾路</t>
    <phoneticPr fontId="3"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</si>
  <si>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</si>
  <si>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</si>
  <si>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</si>
  <si>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</si>
  <si>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</si>
  <si>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</si>
  <si>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</si>
  <si>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</si>
  <si>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</si>
  <si>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</si>
  <si>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</si>
  <si>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</si>
  <si>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</si>
  <si>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</si>
  <si>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</si>
  <si>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</si>
  <si>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</si>
  <si>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</si>
  <si>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</si>
  <si>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</si>
  <si>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</si>
  <si>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</si>
  <si>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</si>
  <si>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</si>
  <si>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</si>
  <si>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</si>
  <si>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</si>
  <si>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</si>
  <si>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</si>
  <si>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</si>
  <si>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</si>
  <si>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</si>
  <si>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</si>
  <si>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</si>
  <si>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</si>
  <si>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</si>
  <si>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</si>
  <si>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</si>
  <si>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2017-1-1008-F02DYGJ1</t>
    <phoneticPr fontId="6" type="noConversion"/>
  </si>
  <si>
    <t>三河天洋城房地产开发有限公司</t>
    <phoneticPr fontId="6" type="noConversion"/>
  </si>
  <si>
    <t>商业</t>
    <phoneticPr fontId="6" type="noConversion"/>
  </si>
  <si>
    <t>35.47年</t>
    <phoneticPr fontId="6" type="noConversion"/>
  </si>
  <si>
    <t>《房屋所有权证》</t>
  </si>
  <si>
    <t>《房屋所有权证》[三河市房权证燕字第225601号]</t>
    <phoneticPr fontId="6" type="noConversion"/>
  </si>
  <si>
    <t>《国有土地使用权》</t>
  </si>
  <si>
    <t>《国有土地使用权》[三国用（2013）第083号]</t>
    <phoneticPr fontId="6" type="noConversion"/>
  </si>
  <si>
    <t>复印件</t>
  </si>
  <si>
    <t>有</t>
    <phoneticPr fontId="6" type="noConversion"/>
  </si>
  <si>
    <t>商业项目</t>
  </si>
  <si>
    <r>
      <t>S9</t>
    </r>
    <r>
      <rPr>
        <sz val="10"/>
        <color indexed="8"/>
        <rFont val="宋体"/>
        <family val="3"/>
        <charset val="134"/>
      </rPr>
      <t>商业楼</t>
    </r>
    <phoneticPr fontId="3" type="noConversion"/>
  </si>
  <si>
    <t>独栋</t>
  </si>
  <si>
    <t>商业楼</t>
  </si>
  <si>
    <t>商业楼</t>
    <phoneticPr fontId="7" type="noConversion"/>
  </si>
  <si>
    <t>天洋城4代S9商业</t>
    <phoneticPr fontId="3" type="noConversion"/>
  </si>
  <si>
    <t>美林湾</t>
    <phoneticPr fontId="3" type="noConversion"/>
  </si>
  <si>
    <t>较好</t>
    <phoneticPr fontId="31" type="noConversion"/>
  </si>
  <si>
    <t>1-2</t>
  </si>
  <si>
    <t>1-2</t>
    <phoneticPr fontId="31" type="noConversion"/>
  </si>
  <si>
    <t>独栋商业</t>
  </si>
  <si>
    <t>商业街商铺</t>
  </si>
  <si>
    <t>住宅底商</t>
  </si>
  <si>
    <t>钢混</t>
    <phoneticPr fontId="31" type="noConversion"/>
  </si>
  <si>
    <t>精装</t>
    <phoneticPr fontId="31" type="noConversion"/>
  </si>
  <si>
    <t>普通装修</t>
  </si>
  <si>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</si>
  <si>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</si>
  <si>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</si>
  <si>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</si>
  <si>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</si>
  <si>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</si>
  <si>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</si>
  <si>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</si>
  <si>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</si>
  <si>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</si>
  <si>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</si>
  <si>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</si>
  <si>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</si>
  <si>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</si>
  <si>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</si>
  <si>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</si>
  <si>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</si>
  <si>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</si>
  <si>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</si>
  <si>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</si>
  <si>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不临街</t>
    <phoneticPr fontId="31"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</si>
  <si>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</si>
  <si>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</si>
  <si>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</si>
  <si>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</si>
  <si>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</si>
  <si>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</si>
  <si>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</si>
  <si>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</si>
  <si>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</si>
  <si>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</si>
  <si>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</si>
  <si>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</si>
  <si>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</si>
  <si>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</si>
  <si>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廊坊市三河市燕郊开发区迎宾南路东侧、南城大街南侧天洋城4代商业·荷塘月色时尚街区S9号楼</t>
    <phoneticPr fontId="6" type="noConversion"/>
  </si>
  <si>
    <t>好</t>
  </si>
  <si>
    <t>独栋商业</t>
    <phoneticPr fontId="3" type="noConversion"/>
  </si>
  <si>
    <t>商业街商铺</t>
    <phoneticPr fontId="3" type="noConversion"/>
  </si>
  <si>
    <t>写字楼底商</t>
    <phoneticPr fontId="3" type="noConversion"/>
  </si>
  <si>
    <t>住宅底商</t>
    <phoneticPr fontId="3" type="noConversion"/>
  </si>
  <si>
    <t>购物中心</t>
    <phoneticPr fontId="3" type="noConversion"/>
  </si>
  <si>
    <t>单面临街</t>
  </si>
  <si>
    <t>单面临街</t>
    <phoneticPr fontId="31" type="noConversion"/>
  </si>
  <si>
    <t xml:space="preserve"> </t>
    <phoneticPr fontId="31" type="noConversion"/>
  </si>
  <si>
    <t>3-8</t>
    <phoneticPr fontId="3" type="noConversion"/>
  </si>
  <si>
    <t>2</t>
    <phoneticPr fontId="3" type="noConversion"/>
  </si>
  <si>
    <t xml:space="preserve"> </t>
    <phoneticPr fontId="3" type="noConversion"/>
  </si>
  <si>
    <t>差</t>
  </si>
  <si>
    <t>已注销</t>
  </si>
  <si>
    <t>注销后放款</t>
  </si>
  <si>
    <t>20-30（含）</t>
  </si>
  <si>
    <t>自定义</t>
  </si>
  <si>
    <t>2.估价师知悉的除抵押担保权以外的法定优先受偿款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</si>
</sst>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49" fontId="225" fillId="0" borderId="4" xfId="0" applyNumberFormat="1" applyFont="1" applyFill="1" applyBorder="1" applyAlignment="1" applyProtection="1">
      <alignment horizontal="left" vertical="center"/>
      <protection locked="0"/>
    </xf>
    <xf numFmtId="0" fontId="47" fillId="11" borderId="2" xfId="0" applyFont="1" applyFill="1" applyBorder="1" applyAlignment="1" applyProtection="1">
      <alignment horizontal="center" vertical="center" wrapText="1"/>
      <protection locked="0"/>
    </xf>
    <xf numFmtId="176" fontId="47" fillId="11" borderId="1" xfId="0" applyNumberFormat="1" applyFont="1" applyFill="1" applyBorder="1" applyAlignment="1" applyProtection="1">
      <alignment vertical="center" wrapText="1"/>
      <protection locked="0"/>
    </xf>
    <xf numFmtId="0" fontId="47" fillId="11" borderId="23"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79"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河北省廊坊市三河市燕郊开发区迎宾南路东侧、南城大街南侧天洋城4代商业·荷塘月色时尚街区S9号楼房地产抵押价值预评估</v>
      </c>
    </row>
    <row r="3" spans="1:2" s="1594" customFormat="1">
      <c r="A3" s="1592" t="s">
        <v>1222</v>
      </c>
      <c r="B3" s="1593" t="str">
        <f>'预评函-封皮'!B40</f>
        <v>三河天洋城房地产开发有限公司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康正预评字2017-1-1008-F02DYGJ1号</v>
      </c>
    </row>
    <row r="6" spans="1:2" s="1591" customFormat="1" ht="15" thickTop="1">
      <c r="A6" s="1589" t="s">
        <v>1225</v>
      </c>
      <c r="B6" s="1590" t="str">
        <f>'预评函-1'!A4</f>
        <v>受贵公司委托，我公司对河北省廊坊市三河市燕郊开发区迎宾南路东侧、南城大街南侧天洋城4代商业·荷塘月色时尚街区S9号楼房地产抵押价值进行了预评估。</v>
      </c>
    </row>
    <row r="7" spans="1:2" s="1594" customFormat="1">
      <c r="A7" s="1592" t="s">
        <v>1265</v>
      </c>
      <c r="B7" s="1593" t="str">
        <f>'预评函-1'!A7</f>
        <v>估价对象为河北省廊坊市三河市燕郊开发区迎宾南路东侧、南城大街南侧天洋城4代商业·荷塘月色时尚街区S9号楼房地产，为三河天洋城房地产开发有限公司所有。根据《国有土地使用权》[三国用（2013）第083号]，估价对象（分摊）出让国有建设用地使用权面积为6541.77平方米，建筑面积为4145.53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迎宾南路东侧、南城大街南侧天洋城4代商业·荷塘月色时尚街区S9号楼房地产,为三河天洋城房地产开发有限公司开发建设的商业项目，该项目尚在开发建设中。根据《国有土地使用权》[三国用（2013）第083号]，估价对象（分摊）出让国有建设用地使用权面积为6541.77平方米，规划建筑面积为4145.53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35.47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35.47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本次评估采用的主估价方法为基准地价系数修正法和收益法。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9531</v>
      </c>
    </row>
    <row r="21" spans="1:2" s="1594" customFormat="1">
      <c r="A21" s="1592" t="s">
        <v>1236</v>
      </c>
      <c r="B21" s="1593">
        <f ca="1">'预评函-2'!D7</f>
        <v>22991</v>
      </c>
    </row>
    <row r="22" spans="1:2" s="1594" customFormat="1">
      <c r="A22" s="1592" t="s">
        <v>1237</v>
      </c>
      <c r="B22" s="1593" t="str">
        <f ca="1">'预评函-2'!D6</f>
        <v>玖仟伍佰叁拾壹万元整</v>
      </c>
    </row>
    <row r="23" spans="1:2" s="1594" customFormat="1">
      <c r="A23" s="1592" t="s">
        <v>1288</v>
      </c>
      <c r="B23" s="1593" t="str">
        <f>'预评函-2'!B8</f>
        <v>2.估价师知悉的除抵押担保权以外的法定优先受偿款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8000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v>
      </c>
    </row>
    <row r="30" spans="1:2" s="1594" customFormat="1">
      <c r="A30" s="1592" t="s">
        <v>1293</v>
      </c>
      <c r="B30" s="1593" t="str">
        <f>'预评函-2'!D13</f>
        <v>——</v>
      </c>
    </row>
    <row r="31" spans="1:2" s="1594" customFormat="1">
      <c r="A31" s="1592" t="s">
        <v>1275</v>
      </c>
      <c r="B31" s="1593" t="e">
        <f>'预评函-2'!D15</f>
        <v>#VALUE!</v>
      </c>
    </row>
    <row r="32" spans="1:2" s="1594" customFormat="1">
      <c r="A32" s="1592" t="s">
        <v>1242</v>
      </c>
      <c r="B32" s="1593" t="e">
        <f>'预评函-2'!D14</f>
        <v>#VALUE!</v>
      </c>
    </row>
    <row r="33" spans="1:2" s="1594" customFormat="1">
      <c r="A33" s="1592" t="s">
        <v>1277</v>
      </c>
      <c r="B33" s="1593" t="str">
        <f>'预评函-2'!B16</f>
        <v>3.抵押担保权已注销时的房地产抵押价值</v>
      </c>
    </row>
    <row r="34" spans="1:2" s="1594" customFormat="1">
      <c r="A34" s="1592" t="s">
        <v>1295</v>
      </c>
      <c r="B34" s="1593">
        <f ca="1">'预评函-2'!D16</f>
        <v>9531</v>
      </c>
    </row>
    <row r="35" spans="1:2" s="1594" customFormat="1">
      <c r="A35" s="1592" t="s">
        <v>1276</v>
      </c>
      <c r="B35" s="1593">
        <f ca="1">'预评函-2'!D18</f>
        <v>22991</v>
      </c>
    </row>
    <row r="36" spans="1:2" s="1594" customFormat="1">
      <c r="A36" s="1592" t="s">
        <v>1243</v>
      </c>
      <c r="B36" s="1593" t="str">
        <f ca="1">'预评函-2'!D17</f>
        <v>玖仟伍佰叁拾壹万元整</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河北省廊坊市三河市燕郊开发区迎宾南路东侧、南城大街南侧天洋城4代商业·荷塘月色时尚街区S9号楼房地产</v>
      </c>
    </row>
    <row r="42" spans="1:2" s="1594" customFormat="1">
      <c r="A42" s="1592" t="s">
        <v>1289</v>
      </c>
      <c r="B42" s="1593" t="str">
        <f>'预评函-3'!B2</f>
        <v>建筑面积</v>
      </c>
    </row>
    <row r="43" spans="1:2" s="1594" customFormat="1">
      <c r="A43" s="1592" t="s">
        <v>1290</v>
      </c>
      <c r="B43" s="1593">
        <f>'预评函-3'!B4</f>
        <v>4145.53</v>
      </c>
    </row>
    <row r="44" spans="1:2" s="1594" customFormat="1">
      <c r="A44" s="1592" t="s">
        <v>1274</v>
      </c>
      <c r="B44" s="1593" t="str">
        <f>'预评函-3'!C2</f>
        <v>(分摊)土地面积</v>
      </c>
    </row>
    <row r="45" spans="1:2" s="1594" customFormat="1">
      <c r="A45" s="1592" t="s">
        <v>1246</v>
      </c>
      <c r="B45" s="1593">
        <f>'预评函-3'!C4</f>
        <v>6541.77</v>
      </c>
    </row>
    <row r="46" spans="1:2" s="1594" customFormat="1">
      <c r="A46" s="1592" t="s">
        <v>1272</v>
      </c>
      <c r="B46" s="1593" t="str">
        <f>'预评函-3'!D2</f>
        <v>出让国有建设用地使用权价值</v>
      </c>
    </row>
    <row r="47" spans="1:2" s="1594" customFormat="1">
      <c r="A47" s="1592" t="s">
        <v>1247</v>
      </c>
      <c r="B47" s="1593">
        <f ca="1">'预评函-3'!D4</f>
        <v>8312</v>
      </c>
    </row>
    <row r="48" spans="1:2" s="1594" customFormat="1">
      <c r="A48" s="1592" t="s">
        <v>1248</v>
      </c>
      <c r="B48" s="1593">
        <f ca="1">'预评函-3'!E4</f>
        <v>20051</v>
      </c>
    </row>
    <row r="49" spans="1:2" s="1594" customFormat="1">
      <c r="A49" s="1592" t="s">
        <v>1249</v>
      </c>
      <c r="B49" s="1593" t="str">
        <f ca="1">'预评函-3'!D5</f>
        <v>捌仟叁佰壹拾贰万元整</v>
      </c>
    </row>
    <row r="50" spans="1:2" s="1594" customFormat="1">
      <c r="A50" s="1592" t="s">
        <v>1273</v>
      </c>
      <c r="B50" s="1593" t="str">
        <f>'预评函-3'!F2</f>
        <v>建筑物价值</v>
      </c>
    </row>
    <row r="51" spans="1:2" s="1594" customFormat="1">
      <c r="A51" s="1592" t="s">
        <v>1250</v>
      </c>
      <c r="B51" s="1593">
        <f ca="1">'预评函-3'!F4</f>
        <v>1219</v>
      </c>
    </row>
    <row r="52" spans="1:2" s="1594" customFormat="1">
      <c r="A52" s="1592" t="s">
        <v>1251</v>
      </c>
      <c r="B52" s="1593">
        <f ca="1">'预评函-3'!G4</f>
        <v>2941</v>
      </c>
    </row>
    <row r="53" spans="1:2" s="1594" customFormat="1">
      <c r="A53" s="1592" t="s">
        <v>1279</v>
      </c>
      <c r="B53" s="1593" t="str">
        <f ca="1">'预评函-3'!F5</f>
        <v>壹仟贰佰壹拾玖万元整</v>
      </c>
    </row>
    <row r="54" spans="1:2" s="1594" customFormat="1">
      <c r="A54" s="1592" t="s">
        <v>1297</v>
      </c>
      <c r="B54" s="1593" t="str">
        <f>'预评函-3'!A8</f>
        <v/>
      </c>
    </row>
    <row r="55" spans="1:2" s="1594" customFormat="1">
      <c r="A55" s="1592" t="s">
        <v>1280</v>
      </c>
      <c r="B55" s="1593" t="str">
        <f>'预评函-3'!A10</f>
        <v>抵押担保权已注销时的房地产抵押价值</v>
      </c>
    </row>
    <row r="56" spans="1:2" s="1594" customFormat="1">
      <c r="A56" s="1592" t="s">
        <v>1281</v>
      </c>
      <c r="B56" s="1593" t="str">
        <f>'预评函-3'!A12</f>
        <v/>
      </c>
    </row>
    <row r="57" spans="1:2" s="1588" customFormat="1" ht="15" thickBot="1">
      <c r="A57" s="1595" t="s">
        <v>1298</v>
      </c>
      <c r="B57" s="1596" t="str">
        <f>'预评函-3'!A6</f>
        <v>估价师知悉的除抵押担保权以外的法定优先受偿款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（1）根据估价对象《房屋所有权证》复印件、《国有土地使用权》原件，截至价值时点，估价对象抵押权未见登记。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故，本次评估不存在估价师知悉的除抵押担保权以外的法定优先受偿款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3149</v>
      </c>
      <c r="C17" s="2016"/>
    </row>
    <row r="18" spans="1:3">
      <c r="A18" s="2015" t="s">
        <v>1769</v>
      </c>
      <c r="B18" s="2015" t="s">
        <v>757</v>
      </c>
      <c r="C18" s="2016"/>
    </row>
    <row r="19" spans="1:3">
      <c r="A19" s="2015" t="s">
        <v>1770</v>
      </c>
      <c r="B19" s="2015" t="s">
        <v>757</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天洋城房地产开发有限公司拟使用河北省廊坊市三河市燕郊开发区迎宾南路东侧、南城大街南侧天洋城4代商业·荷塘月色时尚街区S9号楼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2997"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7"/>
      <c r="B54" s="2023" t="s">
        <v>864</v>
      </c>
      <c r="C54" s="2020" t="s">
        <v>1282</v>
      </c>
    </row>
    <row r="55" spans="1:4">
      <c r="A55" s="2997"/>
      <c r="B55" s="2023" t="s">
        <v>865</v>
      </c>
      <c r="C55" s="2020" t="s">
        <v>1283</v>
      </c>
    </row>
    <row r="56" spans="1:4">
      <c r="A56" s="2997"/>
      <c r="B56" s="2023" t="s">
        <v>866</v>
      </c>
      <c r="C56" s="2020" t="s">
        <v>1287</v>
      </c>
    </row>
    <row r="57" spans="1:4">
      <c r="A57" s="2997"/>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7" sqref="C27"/>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006" t="str">
        <f>IF(B10="北京市","北京市",C10)&amp;F10&amp;IF(结果表!G1="在建","出让国有建设用地使用权及在建建筑物",IF(结果表!G1="土地","出让国有建设用地使用权",))&amp;B9&amp;"预评估"</f>
        <v>河北省廊坊市三河市燕郊开发区迎宾南路东侧、南城大街南侧天洋城4代商业·荷塘月色时尚街区S9号楼房地产抵押价值预评估</v>
      </c>
      <c r="C1" s="3007"/>
      <c r="D1" s="3007"/>
      <c r="E1" s="3007"/>
      <c r="F1" s="3007"/>
      <c r="G1" s="3007"/>
      <c r="H1" s="3007"/>
      <c r="I1" s="300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河北省廊坊市三河市燕郊开发区迎宾南路东侧、南城大街南侧天洋城4代商业·荷塘月色时尚街区S9号楼房地产抵押价值</v>
      </c>
    </row>
    <row r="2" spans="1:19" ht="18" customHeight="1">
      <c r="A2" s="2027" t="s">
        <v>1779</v>
      </c>
      <c r="B2" s="1040" t="s">
        <v>3091</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河北省廊坊市三河市燕郊开发区迎宾南路东侧、南城大街南侧天洋城4代商业·荷塘月色时尚街区S9号楼房地产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3020</v>
      </c>
      <c r="C4" s="1038">
        <f ca="1">SUMIF(注册房地产估价师,B4,估价师及机构信息!B3:B24)</f>
        <v>1120000080</v>
      </c>
      <c r="D4" s="2040" t="s">
        <v>3021</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4" t="s">
        <v>3092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3022</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三河天洋城房地产开发有限公司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3023</v>
      </c>
      <c r="C8" s="2056"/>
      <c r="D8" s="3009" t="s">
        <v>1787</v>
      </c>
      <c r="E8" s="2057" t="s">
        <v>3166</v>
      </c>
      <c r="F8" s="2058"/>
      <c r="G8" s="2027"/>
      <c r="H8" s="2027"/>
      <c r="I8" s="2027"/>
      <c r="J8" s="2043"/>
      <c r="K8" s="2044"/>
      <c r="L8" s="2029"/>
      <c r="M8" s="2029"/>
      <c r="N8" s="2030"/>
      <c r="O8" s="2031"/>
      <c r="P8" s="2030"/>
      <c r="Q8" s="2030"/>
      <c r="R8" s="2030"/>
    </row>
    <row r="9" spans="1:19" ht="18" customHeight="1" thickBot="1">
      <c r="A9" s="2041" t="s">
        <v>1788</v>
      </c>
      <c r="B9" s="2059" t="s">
        <v>3024</v>
      </c>
      <c r="C9" s="2060"/>
      <c r="D9" s="3010"/>
      <c r="E9" s="2059"/>
      <c r="F9" s="2061"/>
      <c r="G9" s="2062"/>
      <c r="H9" s="2062"/>
      <c r="I9" s="2062"/>
      <c r="J9" s="2043"/>
      <c r="K9" s="2054"/>
      <c r="L9" s="2029"/>
      <c r="M9" s="2029"/>
      <c r="N9" s="2030"/>
      <c r="O9" s="2031"/>
      <c r="P9" s="2030"/>
      <c r="Q9" s="2030"/>
      <c r="R9" s="2030"/>
    </row>
    <row r="10" spans="1:19" ht="18" customHeight="1" thickTop="1">
      <c r="A10" s="2063" t="s">
        <v>1789</v>
      </c>
      <c r="B10" s="2064" t="s">
        <v>3025</v>
      </c>
      <c r="C10" s="2065" t="s">
        <v>3026</v>
      </c>
      <c r="D10" s="2047"/>
      <c r="E10" s="2066" t="s">
        <v>1790</v>
      </c>
      <c r="F10" s="2924" t="s">
        <v>3152</v>
      </c>
      <c r="G10" s="2067"/>
      <c r="H10" s="2068"/>
      <c r="I10" s="2047"/>
      <c r="J10" s="2043"/>
      <c r="K10" s="2054"/>
      <c r="L10" s="2029"/>
      <c r="M10" s="2029"/>
      <c r="N10" s="2030"/>
      <c r="O10" s="2031"/>
      <c r="P10" s="2030"/>
      <c r="Q10" s="2030"/>
      <c r="R10" s="2030"/>
    </row>
    <row r="11" spans="1:19" ht="18" customHeight="1">
      <c r="A11" s="2069" t="s">
        <v>1791</v>
      </c>
      <c r="B11" s="2070" t="s">
        <v>3027</v>
      </c>
      <c r="C11" s="2071" t="str">
        <f>B7</f>
        <v>三河天洋城房地产开发有限公司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3028</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55999</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35.47</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016" t="s">
        <v>3093</v>
      </c>
      <c r="C16" s="3017"/>
      <c r="D16" s="3018"/>
      <c r="E16" s="2085" t="s">
        <v>1804</v>
      </c>
      <c r="F16" s="3019" t="s">
        <v>3094</v>
      </c>
      <c r="G16" s="3020"/>
      <c r="H16" s="3020"/>
      <c r="I16" s="3021"/>
      <c r="J16" s="2030"/>
      <c r="K16" s="2082"/>
      <c r="L16" s="2083"/>
      <c r="M16" s="2083"/>
      <c r="N16" s="2084"/>
      <c r="O16" s="2083"/>
      <c r="P16" s="2084"/>
      <c r="Q16" s="2030"/>
      <c r="R16" s="2030"/>
    </row>
    <row r="17" spans="1:22" ht="18" customHeight="1">
      <c r="A17" s="2086" t="s">
        <v>1805</v>
      </c>
      <c r="B17" s="2036" t="s">
        <v>1806</v>
      </c>
      <c r="C17" s="1055">
        <f>'数据-汇总表'!E3</f>
        <v>4145.53</v>
      </c>
      <c r="D17" s="2087" t="s">
        <v>1807</v>
      </c>
      <c r="E17" s="3022" t="s">
        <v>3096</v>
      </c>
      <c r="F17" s="3023"/>
      <c r="G17" s="3023"/>
      <c r="H17" s="3023"/>
      <c r="I17" s="3024"/>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6541.77</v>
      </c>
      <c r="D18" s="2090" t="s">
        <v>1807</v>
      </c>
      <c r="E18" s="3022" t="s">
        <v>3098</v>
      </c>
      <c r="F18" s="3023"/>
      <c r="G18" s="3023"/>
      <c r="H18" s="3023"/>
      <c r="I18" s="3024"/>
      <c r="J18" s="2030"/>
      <c r="K18" s="2088"/>
      <c r="L18" s="2083"/>
      <c r="M18" s="2083"/>
      <c r="N18" s="2084"/>
      <c r="O18" s="2083"/>
      <c r="P18" s="2084"/>
      <c r="Q18" s="2030"/>
      <c r="R18" s="2030"/>
      <c r="S18" s="2030"/>
      <c r="T18" s="2030"/>
      <c r="U18" s="2030"/>
      <c r="V18" s="2030"/>
    </row>
    <row r="19" spans="1:22" ht="37.5" customHeight="1" thickTop="1" thickBot="1">
      <c r="A19" s="373" t="s">
        <v>1810</v>
      </c>
      <c r="B19" s="352" t="s">
        <v>1811</v>
      </c>
      <c r="C19" s="2091" t="s">
        <v>3029</v>
      </c>
      <c r="D19" s="2092" t="s">
        <v>1812</v>
      </c>
      <c r="E19" s="2093" t="s">
        <v>3029</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1813</v>
      </c>
      <c r="B20" s="3012" t="s">
        <v>1814</v>
      </c>
      <c r="C20" s="3013"/>
      <c r="D20" s="3014" t="s">
        <v>1815</v>
      </c>
      <c r="E20" s="3015"/>
      <c r="F20" s="2097" t="s">
        <v>1816</v>
      </c>
      <c r="G20" s="2043"/>
      <c r="H20" s="2043"/>
      <c r="I20" s="2043"/>
      <c r="J20" s="2043"/>
      <c r="K20" s="3011" t="s">
        <v>1817</v>
      </c>
      <c r="L20" s="746"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3095</v>
      </c>
      <c r="C21" s="2099" t="s">
        <v>3099</v>
      </c>
      <c r="D21" s="2100" t="s">
        <v>3100</v>
      </c>
      <c r="E21" s="2101" t="s">
        <v>3099</v>
      </c>
      <c r="F21" s="2102"/>
      <c r="G21" s="2043"/>
      <c r="H21" s="2043"/>
      <c r="I21" s="2043"/>
      <c r="J21" s="2043"/>
      <c r="K21" s="301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3097</v>
      </c>
      <c r="C22" s="2099" t="s">
        <v>3030</v>
      </c>
      <c r="D22" s="2027"/>
      <c r="E22" s="2027"/>
      <c r="F22" s="2104"/>
      <c r="G22" s="2043"/>
      <c r="H22" s="2043"/>
      <c r="I22" s="2043"/>
      <c r="J22" s="2043"/>
      <c r="K22" s="301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v>8000</v>
      </c>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2999" t="s">
        <v>1824</v>
      </c>
      <c r="B27" s="2063" t="s">
        <v>1825</v>
      </c>
      <c r="C27" s="2119" t="s">
        <v>3101</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2999"/>
      <c r="B28" s="2036" t="s">
        <v>1826</v>
      </c>
      <c r="C28" s="2121" t="s">
        <v>3031</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2999"/>
      <c r="B29" s="2036" t="s">
        <v>1827</v>
      </c>
      <c r="C29" s="2124" t="s">
        <v>3029</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00"/>
      <c r="B30" s="2036" t="s">
        <v>1828</v>
      </c>
      <c r="C30" s="3001"/>
      <c r="D30" s="3002"/>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03" t="s">
        <v>1829</v>
      </c>
      <c r="B31" s="2126" t="s">
        <v>3032</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004"/>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004"/>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3033</v>
      </c>
      <c r="C34" s="2133" t="s">
        <v>3034</v>
      </c>
      <c r="D34" s="2133" t="s">
        <v>3035</v>
      </c>
      <c r="E34" s="2133" t="s">
        <v>3036</v>
      </c>
      <c r="F34" s="2133" t="s">
        <v>3037</v>
      </c>
      <c r="G34" s="2133" t="s">
        <v>3038</v>
      </c>
      <c r="H34" s="2133" t="s">
        <v>3039</v>
      </c>
      <c r="I34" s="2043"/>
      <c r="J34" s="2043"/>
      <c r="K34" s="1796">
        <f>COUNTIF(B34:H34,"——")</f>
        <v>0</v>
      </c>
      <c r="L34" s="2074" t="s">
        <v>1831</v>
      </c>
      <c r="M34" s="2074" t="s">
        <v>1832</v>
      </c>
      <c r="N34" s="2074" t="s">
        <v>1833</v>
      </c>
      <c r="O34" s="2074" t="s">
        <v>1834</v>
      </c>
      <c r="P34" s="2074" t="s">
        <v>1835</v>
      </c>
      <c r="Q34" s="2074" t="s">
        <v>1836</v>
      </c>
      <c r="R34" s="2074" t="s">
        <v>1837</v>
      </c>
      <c r="S34" s="2998" t="s">
        <v>1838</v>
      </c>
      <c r="T34" s="2134" t="str">
        <f>NUMBERSTRING(7-K34,1)&amp;"通"</f>
        <v>七通</v>
      </c>
      <c r="U34" s="2030"/>
      <c r="V34" s="2030"/>
    </row>
    <row r="35" spans="1:22" ht="18" customHeight="1">
      <c r="A35" s="2135"/>
      <c r="B35" s="3005" t="s">
        <v>1839</v>
      </c>
      <c r="C35" s="3005"/>
      <c r="D35" s="3005"/>
      <c r="E35" s="3005"/>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2998"/>
      <c r="T35" s="47" t="str">
        <f>IF(T34="一通",L35,IF(T34="二通",M35,IF(T34="三通",N35,IF(T34="四通",O35,IF(T34="五通",P35,IF(T34="六通",Q35,R35))))))</f>
        <v>通路、通电、通讯、通上水、通下水、通热、燃气</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5">
        <f>ROUND(B3/B17*50541,2)</f>
        <v>6541.77</v>
      </c>
      <c r="B3" s="13">
        <f>IF(C3="否",G5-AT5,G5)</f>
        <v>4145.53</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1875</v>
      </c>
      <c r="B5" s="1804"/>
      <c r="C5" s="1804"/>
      <c r="D5" s="1807"/>
      <c r="E5" s="15" t="s">
        <v>1</v>
      </c>
      <c r="F5" s="15">
        <f>SUM(F13:F587)</f>
        <v>0</v>
      </c>
      <c r="G5" s="15">
        <f>SUM(G13:G587)</f>
        <v>4145.53</v>
      </c>
      <c r="H5" s="15">
        <f t="shared" ref="H5:AT5" si="0">SUM(H13:H656)</f>
        <v>4145.53</v>
      </c>
      <c r="I5" s="15">
        <f t="shared" si="0"/>
        <v>4145.53</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1875</v>
      </c>
      <c r="AW5" s="1804"/>
      <c r="AX5" s="1804"/>
      <c r="AY5" s="16" t="s">
        <v>3</v>
      </c>
      <c r="AZ5" s="17">
        <f t="shared" ref="AZ5:BT5" si="1">SUM(AZ13:AZ656)</f>
        <v>4145.53</v>
      </c>
      <c r="BA5" s="17">
        <f t="shared" si="1"/>
        <v>4145.53</v>
      </c>
      <c r="BB5" s="17">
        <f t="shared" si="1"/>
        <v>4145.53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1876</v>
      </c>
      <c r="B6" s="2174"/>
      <c r="C6" s="2174"/>
      <c r="D6" s="2175"/>
      <c r="E6" s="15">
        <f>H6+AC6+AT6</f>
        <v>6541.77</v>
      </c>
      <c r="F6" s="15" t="s">
        <v>1</v>
      </c>
      <c r="G6" s="15" t="s">
        <v>2</v>
      </c>
      <c r="H6" s="19">
        <f>SUMIF(I$12:AB$12,"总值",I6:AB6)</f>
        <v>6541.77</v>
      </c>
      <c r="I6" s="15">
        <f t="shared" ref="I6:AB6" si="2">ROUND($A$3*I5/$B$3,2)</f>
        <v>6541.77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1876</v>
      </c>
      <c r="AW6" s="2174"/>
      <c r="AX6" s="2174"/>
      <c r="AY6" s="20">
        <f>IF(AY3&gt;0,AY3,ROUND($A$3*AZ5/$B$3,2))</f>
        <v>6541.77</v>
      </c>
      <c r="AZ6" s="15" t="s">
        <v>3</v>
      </c>
      <c r="BA6" s="15">
        <f>ROUND($AY$6*BA5/$AZ$5,2)</f>
        <v>6541.77</v>
      </c>
      <c r="BB6" s="15">
        <f>ROUND($AY$6*BB5/$AZ$5,2)</f>
        <v>6541.77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2" t="s">
        <v>1885</v>
      </c>
      <c r="AW7" s="2166" t="s">
        <v>1886</v>
      </c>
      <c r="AX7" s="22"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2" t="s">
        <v>1890</v>
      </c>
      <c r="AD8" s="2188"/>
      <c r="AE8" s="2180"/>
      <c r="AF8" s="1819"/>
      <c r="AG8" s="1819"/>
      <c r="AH8" s="1819"/>
      <c r="AI8" s="1819"/>
      <c r="AJ8" s="1819"/>
      <c r="AK8" s="1819"/>
      <c r="AL8" s="1819"/>
      <c r="AM8" s="1819"/>
      <c r="AN8" s="1819"/>
      <c r="AO8" s="1819"/>
      <c r="AP8" s="1819"/>
      <c r="AQ8" s="1819"/>
      <c r="AR8" s="1819"/>
      <c r="AS8" s="1819"/>
      <c r="AT8" s="1292" t="s">
        <v>1891</v>
      </c>
      <c r="AU8" s="2182" t="s">
        <v>1892</v>
      </c>
      <c r="AV8" s="1292"/>
      <c r="AW8" s="2165"/>
      <c r="AX8" s="1292"/>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1895</v>
      </c>
      <c r="I9" s="2191" t="s">
        <v>3041</v>
      </c>
      <c r="J9" s="982"/>
      <c r="K9" s="2191"/>
      <c r="L9" s="982"/>
      <c r="M9" s="2191"/>
      <c r="N9" s="982"/>
      <c r="O9" s="2191"/>
      <c r="P9" s="982"/>
      <c r="Q9" s="2191"/>
      <c r="R9" s="982"/>
      <c r="S9" s="2191"/>
      <c r="T9" s="982"/>
      <c r="U9" s="2191"/>
      <c r="V9" s="982"/>
      <c r="W9" s="2191"/>
      <c r="X9" s="2192"/>
      <c r="Y9" s="2191"/>
      <c r="Z9" s="982"/>
      <c r="AA9" s="2191"/>
      <c r="AB9" s="982"/>
      <c r="AC9" s="2183" t="s">
        <v>1895</v>
      </c>
      <c r="AD9" s="14" t="s">
        <v>1896</v>
      </c>
      <c r="AE9" s="1298"/>
      <c r="AF9" s="14" t="s">
        <v>1897</v>
      </c>
      <c r="AG9" s="1298"/>
      <c r="AH9" s="14" t="s">
        <v>1896</v>
      </c>
      <c r="AI9" s="1298"/>
      <c r="AJ9" s="14" t="s">
        <v>1897</v>
      </c>
      <c r="AK9" s="1298"/>
      <c r="AL9" s="14" t="s">
        <v>1896</v>
      </c>
      <c r="AM9" s="1298"/>
      <c r="AN9" s="14" t="s">
        <v>1897</v>
      </c>
      <c r="AO9" s="1298"/>
      <c r="AP9" s="14" t="s">
        <v>1896</v>
      </c>
      <c r="AQ9" s="1298"/>
      <c r="AR9" s="14" t="s">
        <v>1897</v>
      </c>
      <c r="AS9" s="2193"/>
      <c r="AT9" s="2182"/>
      <c r="AU9" s="2182" t="s">
        <v>1898</v>
      </c>
      <c r="AV9" s="1292"/>
      <c r="AW9" s="2165"/>
      <c r="AX9" s="1292"/>
      <c r="AY9" s="27"/>
      <c r="AZ9" s="27" t="s">
        <v>1888</v>
      </c>
      <c r="BA9" s="2194" t="s">
        <v>1899</v>
      </c>
      <c r="BB9" s="2195"/>
      <c r="BC9" s="1338"/>
      <c r="BD9" s="1338"/>
      <c r="BE9" s="1338"/>
      <c r="BF9" s="1338"/>
      <c r="BG9" s="1338"/>
      <c r="BH9" s="1338"/>
      <c r="BI9" s="1338"/>
      <c r="BJ9" s="1338"/>
      <c r="BK9" s="2196"/>
      <c r="BL9" s="14" t="s">
        <v>1900</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1901</v>
      </c>
      <c r="AE10" s="2198"/>
      <c r="AF10" s="14" t="s">
        <v>1901</v>
      </c>
      <c r="AG10" s="2198"/>
      <c r="AH10" s="14" t="s">
        <v>1902</v>
      </c>
      <c r="AI10" s="2198"/>
      <c r="AJ10" s="14" t="s">
        <v>1902</v>
      </c>
      <c r="AK10" s="2198"/>
      <c r="AL10" s="14" t="s">
        <v>1903</v>
      </c>
      <c r="AM10" s="1298"/>
      <c r="AN10" s="14" t="s">
        <v>1903</v>
      </c>
      <c r="AO10" s="1298"/>
      <c r="AP10" s="14" t="s">
        <v>1904</v>
      </c>
      <c r="AQ10" s="1298"/>
      <c r="AR10" s="14" t="s">
        <v>1904</v>
      </c>
      <c r="AS10" s="1298"/>
      <c r="AT10" s="2182"/>
      <c r="AU10" s="2182"/>
      <c r="AV10" s="1292"/>
      <c r="AW10" s="2165"/>
      <c r="AX10" s="1292"/>
      <c r="AY10" s="27"/>
      <c r="AZ10" s="27"/>
      <c r="BA10" s="2199" t="s">
        <v>1895</v>
      </c>
      <c r="BB10" s="2200" t="str">
        <f>I9</f>
        <v>地上</v>
      </c>
      <c r="BC10" s="28">
        <f>K9</f>
        <v>0</v>
      </c>
      <c r="BD10" s="28">
        <f>M9</f>
        <v>0</v>
      </c>
      <c r="BE10" s="28">
        <f>O9</f>
        <v>0</v>
      </c>
      <c r="BF10" s="28">
        <f>Q9</f>
        <v>0</v>
      </c>
      <c r="BG10" s="28">
        <f>S9</f>
        <v>0</v>
      </c>
      <c r="BH10" s="28">
        <f>U9</f>
        <v>0</v>
      </c>
      <c r="BI10" s="28">
        <f>W9</f>
        <v>0</v>
      </c>
      <c r="BJ10" s="28">
        <f>Y9</f>
        <v>0</v>
      </c>
      <c r="BK10" s="28">
        <f>AA9</f>
        <v>0</v>
      </c>
      <c r="BL10" s="24" t="s">
        <v>1895</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3103</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7" t="s">
        <v>1908</v>
      </c>
      <c r="AT12" s="2210"/>
      <c r="AU12" s="2207"/>
      <c r="AV12" s="30"/>
      <c r="AW12" s="2166"/>
      <c r="AX12" s="30"/>
      <c r="AY12" s="2211"/>
      <c r="AZ12" s="27"/>
      <c r="BA12" s="2199"/>
      <c r="BB12" s="23" t="str">
        <f>I11</f>
        <v>独栋</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v>1</v>
      </c>
      <c r="B13" s="1272">
        <v>6120</v>
      </c>
      <c r="C13" s="1272" t="s">
        <v>3102</v>
      </c>
      <c r="D13" s="2213" t="s">
        <v>3040</v>
      </c>
      <c r="E13" s="15">
        <f>IF($C$3="是",ROUND($A$3*G13/$B$3,2),ROUND($A$3*(G13-AT13)/$B$3,2))</f>
        <v>6541.77</v>
      </c>
      <c r="F13" s="31"/>
      <c r="G13" s="32">
        <f>H13+AC13+AT13</f>
        <v>4145.53</v>
      </c>
      <c r="H13" s="19">
        <f>SUMIF(I$12:AB$12,"总值",I13:AB13)</f>
        <v>4145.53</v>
      </c>
      <c r="I13" s="2214">
        <v>4145.53</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1</v>
      </c>
      <c r="AW13" s="11">
        <f t="shared" si="6"/>
        <v>6120</v>
      </c>
      <c r="AX13" s="11" t="str">
        <f t="shared" si="6"/>
        <v>S9商业楼</v>
      </c>
      <c r="AY13" s="1807">
        <f>ROUND($AY$6*AZ13/$AZ$5,2)</f>
        <v>6541.77</v>
      </c>
      <c r="AZ13" s="15">
        <f>BA13+BL13</f>
        <v>4145.53</v>
      </c>
      <c r="BA13" s="15">
        <f>SUM(BB13:BK13)</f>
        <v>4145.53</v>
      </c>
      <c r="BB13" s="15">
        <f>IF($D13="是",I13-J13,0)</f>
        <v>4145.53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2952" t="s">
        <v>3163</v>
      </c>
      <c r="B14" s="1272">
        <v>6562.4</v>
      </c>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t="str">
        <f t="shared" si="6"/>
        <v>2</v>
      </c>
      <c r="AW14" s="11">
        <f t="shared" si="6"/>
        <v>6562.4</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2952" t="s">
        <v>3162</v>
      </c>
      <c r="B15" s="1272">
        <v>15200</v>
      </c>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t="str">
        <f t="shared" si="6"/>
        <v>3-8</v>
      </c>
      <c r="AW15" s="11">
        <f t="shared" si="6"/>
        <v>15200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v>9</v>
      </c>
      <c r="B16" s="2953">
        <f>B3</f>
        <v>4145.53</v>
      </c>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9</v>
      </c>
      <c r="AW16" s="11">
        <f t="shared" si="6"/>
        <v>4145.53</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t="s">
        <v>3164</v>
      </c>
      <c r="B17" s="2953">
        <f>B16+B15+B14+B13</f>
        <v>32027.93</v>
      </c>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t="str">
        <f t="shared" si="6"/>
        <v xml:space="preserve"> </v>
      </c>
      <c r="AW17" s="11">
        <f t="shared" si="6"/>
        <v>32027.93</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5"/>
      <c r="D249" s="2213"/>
      <c r="E249" s="34">
        <f t="shared" si="123"/>
        <v>0</v>
      </c>
      <c r="F249" s="35"/>
      <c r="G249" s="36">
        <f t="shared" si="124"/>
        <v>0</v>
      </c>
      <c r="H249" s="37">
        <f t="shared" si="125"/>
        <v>0</v>
      </c>
      <c r="I249" s="2926"/>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36" t="s">
        <v>1935</v>
      </c>
      <c r="B2" s="3036"/>
      <c r="C2" s="3036"/>
      <c r="D2" s="968" t="s">
        <v>1911</v>
      </c>
      <c r="E2" s="2227" t="s">
        <v>1912</v>
      </c>
      <c r="F2" s="1392"/>
      <c r="G2" s="2228"/>
      <c r="H2" s="2229"/>
      <c r="I2" s="2230" t="s">
        <v>1936</v>
      </c>
      <c r="J2" s="1392"/>
      <c r="K2" s="1392"/>
      <c r="L2" s="1392"/>
      <c r="M2" s="1392"/>
      <c r="N2" s="1427"/>
      <c r="O2" s="1392"/>
      <c r="P2" s="1392"/>
    </row>
    <row r="3" spans="1:16" ht="15.75" thickBot="1">
      <c r="A3" s="3037" t="s">
        <v>1909</v>
      </c>
      <c r="B3" s="3037"/>
      <c r="C3" s="3037"/>
      <c r="D3" s="2942">
        <f>'数据-基础表'!AY6</f>
        <v>6541.77</v>
      </c>
      <c r="E3" s="45">
        <f>'数据-基础表'!AZ5</f>
        <v>4145.53</v>
      </c>
      <c r="F3" s="1392"/>
      <c r="G3" s="1399"/>
      <c r="H3" s="1247" t="s">
        <v>1910</v>
      </c>
      <c r="I3" s="54">
        <f>ROUND('数据-基础表'!B3/'数据-基础表'!A3,2)</f>
        <v>0.63</v>
      </c>
      <c r="J3" s="1392"/>
      <c r="K3" s="1392"/>
      <c r="L3" s="1392"/>
      <c r="M3" s="1392"/>
      <c r="N3" s="1427"/>
      <c r="O3" s="1392"/>
      <c r="P3" s="1392"/>
    </row>
    <row r="4" spans="1:16" ht="15">
      <c r="A4" s="3038"/>
      <c r="B4" s="3039"/>
      <c r="C4" s="3040"/>
      <c r="D4" s="2231" t="s">
        <v>1911</v>
      </c>
      <c r="E4" s="2232" t="s">
        <v>1912</v>
      </c>
      <c r="F4" s="1392"/>
      <c r="G4" s="2233" t="s">
        <v>1937</v>
      </c>
      <c r="H4" s="1247" t="s">
        <v>1917</v>
      </c>
      <c r="I4" s="54">
        <f>ROUND(SUMIF('数据-基础表'!I9:AS9,"地上",'数据-基础表'!I5:AS5)/'数据-基础表'!A3,2)</f>
        <v>0.63</v>
      </c>
      <c r="J4" s="1392"/>
      <c r="K4" s="1392"/>
      <c r="L4" s="1392"/>
      <c r="M4" s="1392"/>
      <c r="N4" s="1427"/>
      <c r="O4" s="1392"/>
      <c r="P4" s="1392"/>
    </row>
    <row r="5" spans="1:16">
      <c r="A5" s="46" t="s">
        <v>1913</v>
      </c>
      <c r="B5" s="3041" t="s">
        <v>1914</v>
      </c>
      <c r="C5" s="3041"/>
      <c r="D5" s="47">
        <f>ROUND($D$3*E5/$E$3,2)</f>
        <v>0</v>
      </c>
      <c r="E5" s="48">
        <f>SUMIF('数据-基础表'!$11:$11,"住宅",'数据-基础表'!$5:$5)</f>
        <v>0</v>
      </c>
      <c r="F5" s="1392"/>
      <c r="G5" s="1399"/>
      <c r="H5" s="1247" t="s">
        <v>1910</v>
      </c>
      <c r="I5" s="54">
        <f>ROUND(E31/D31,2)</f>
        <v>0.63</v>
      </c>
      <c r="J5" s="1392"/>
      <c r="K5" s="1392"/>
      <c r="L5" s="1392"/>
      <c r="M5" s="1392"/>
      <c r="N5" s="1392"/>
      <c r="O5" s="1392"/>
      <c r="P5" s="1392"/>
    </row>
    <row r="6" spans="1:16" ht="15" thickBot="1">
      <c r="A6" s="2234"/>
      <c r="B6" s="3041" t="s">
        <v>1915</v>
      </c>
      <c r="C6" s="3041"/>
      <c r="D6" s="47">
        <f>ROUND($D$3*E6/$E$3,2)</f>
        <v>6541.77</v>
      </c>
      <c r="E6" s="48">
        <f>E3-E5</f>
        <v>4145.53</v>
      </c>
      <c r="F6" s="1392"/>
      <c r="G6" s="2235" t="s">
        <v>1916</v>
      </c>
      <c r="H6" s="1399" t="s">
        <v>1917</v>
      </c>
      <c r="I6" s="940">
        <f>ROUND(F31/D31,2)</f>
        <v>0.63</v>
      </c>
      <c r="J6" s="1392"/>
      <c r="K6" s="1392"/>
      <c r="L6" s="1392"/>
      <c r="M6" s="1392"/>
      <c r="N6" s="1392"/>
      <c r="O6" s="1392"/>
      <c r="P6" s="1392"/>
    </row>
    <row r="7" spans="1:16" ht="15">
      <c r="A7" s="3033"/>
      <c r="B7" s="3034"/>
      <c r="C7" s="3035"/>
      <c r="D7" s="2231" t="s">
        <v>1911</v>
      </c>
      <c r="E7" s="2236" t="s">
        <v>1918</v>
      </c>
      <c r="F7" s="1392"/>
      <c r="G7" s="2228" t="s">
        <v>1919</v>
      </c>
      <c r="H7" s="63"/>
      <c r="I7" s="420"/>
      <c r="J7" s="1392"/>
      <c r="K7" s="1392"/>
      <c r="L7" s="1392"/>
      <c r="M7" s="1392"/>
      <c r="N7" s="1392"/>
      <c r="O7" s="1392"/>
      <c r="P7" s="1392"/>
    </row>
    <row r="8" spans="1:16">
      <c r="A8" s="46" t="s">
        <v>1920</v>
      </c>
      <c r="B8" s="49" t="s">
        <v>1921</v>
      </c>
      <c r="C8" s="47" t="s">
        <v>1922</v>
      </c>
      <c r="D8" s="47">
        <f t="shared" ref="D8:D15" si="0">ROUND($D$3*E8/$E$3,2)</f>
        <v>6541.77</v>
      </c>
      <c r="E8" s="50">
        <f>SUMIF('数据-基础表'!BB10:BK10,"地上",'数据-基础表'!BB5:BK5)</f>
        <v>4145.53</v>
      </c>
      <c r="F8" s="1392"/>
      <c r="G8" s="2237"/>
      <c r="H8" s="2237"/>
      <c r="I8" s="1392"/>
      <c r="J8" s="1392"/>
      <c r="K8" s="1392"/>
      <c r="L8" s="1392"/>
      <c r="M8" s="1392"/>
      <c r="N8" s="1392"/>
      <c r="O8" s="1392"/>
      <c r="P8" s="1392"/>
    </row>
    <row r="9" spans="1:16">
      <c r="A9" s="2238"/>
      <c r="B9" s="2239"/>
      <c r="C9" s="47" t="s">
        <v>1923</v>
      </c>
      <c r="D9" s="47">
        <f t="shared" si="0"/>
        <v>0</v>
      </c>
      <c r="E9" s="51">
        <v>0</v>
      </c>
      <c r="F9" s="1392"/>
      <c r="G9" s="2237"/>
      <c r="H9" s="2237"/>
      <c r="I9" s="1392"/>
      <c r="J9" s="1392"/>
      <c r="K9" s="1392"/>
      <c r="L9" s="1392"/>
      <c r="M9" s="1392"/>
      <c r="N9" s="1392"/>
      <c r="O9" s="1392"/>
      <c r="P9" s="1392"/>
    </row>
    <row r="10" spans="1:16">
      <c r="A10" s="2238"/>
      <c r="B10" s="2239"/>
      <c r="C10" s="47" t="s">
        <v>1932</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1924</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1925</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1926</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1938</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1933</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1927</v>
      </c>
      <c r="D16" s="49">
        <f>SUM(D8:D15)</f>
        <v>6541.77</v>
      </c>
      <c r="E16" s="52">
        <f>SUM(E8:E15)</f>
        <v>4145.53</v>
      </c>
      <c r="F16" s="1392"/>
      <c r="G16" s="2237"/>
      <c r="H16" s="2240" t="s">
        <v>1939</v>
      </c>
      <c r="I16" s="2241"/>
      <c r="J16" s="1392"/>
      <c r="K16" s="3030" t="s">
        <v>1939</v>
      </c>
      <c r="L16" s="3031"/>
      <c r="M16" s="3031"/>
      <c r="N16" s="3031"/>
      <c r="O16" s="3031"/>
      <c r="P16" s="3032"/>
    </row>
    <row r="17" spans="1:19" ht="15">
      <c r="A17" s="2242" t="s">
        <v>1940</v>
      </c>
      <c r="B17" s="2243" t="s">
        <v>1941</v>
      </c>
      <c r="C17" s="2244" t="s">
        <v>1942</v>
      </c>
      <c r="D17" s="2245" t="s">
        <v>1930</v>
      </c>
      <c r="E17" s="2246" t="s">
        <v>1931</v>
      </c>
      <c r="F17" s="2247"/>
      <c r="G17" s="2248"/>
      <c r="H17" s="2249" t="s">
        <v>1943</v>
      </c>
      <c r="I17" s="2250" t="s">
        <v>1928</v>
      </c>
      <c r="J17" s="1392"/>
      <c r="K17" s="3027" t="s">
        <v>1944</v>
      </c>
      <c r="L17" s="3028"/>
      <c r="M17" s="3029"/>
      <c r="N17" s="3027" t="s">
        <v>1945</v>
      </c>
      <c r="O17" s="3028"/>
      <c r="P17" s="3029"/>
      <c r="R17" s="2228" t="s">
        <v>1946</v>
      </c>
      <c r="S17" s="63"/>
    </row>
    <row r="18" spans="1:19" ht="15">
      <c r="A18" s="2238"/>
      <c r="B18" s="2251"/>
      <c r="C18" s="2252"/>
      <c r="D18" s="2253"/>
      <c r="E18" s="2254" t="s">
        <v>1947</v>
      </c>
      <c r="F18" s="2255" t="s">
        <v>1948</v>
      </c>
      <c r="G18" s="2256" t="s">
        <v>1949</v>
      </c>
      <c r="H18" s="1262" t="s">
        <v>1950</v>
      </c>
      <c r="I18" s="2257" t="s">
        <v>1951</v>
      </c>
      <c r="J18" s="1392"/>
      <c r="K18" s="1262" t="s">
        <v>1952</v>
      </c>
      <c r="L18" s="2258" t="s">
        <v>1953</v>
      </c>
      <c r="M18" s="1047" t="s">
        <v>1954</v>
      </c>
      <c r="N18" s="1262" t="s">
        <v>1952</v>
      </c>
      <c r="O18" s="2258" t="s">
        <v>1953</v>
      </c>
      <c r="P18" s="1047" t="s">
        <v>1954</v>
      </c>
      <c r="R18" s="1247" t="s">
        <v>1955</v>
      </c>
      <c r="S18" s="1247" t="s">
        <v>1956</v>
      </c>
    </row>
    <row r="19" spans="1:19">
      <c r="A19" s="2259"/>
      <c r="B19" s="49" t="s">
        <v>1929</v>
      </c>
      <c r="C19" s="2260" t="s">
        <v>3105</v>
      </c>
      <c r="D19" s="47">
        <f>ROUND($D$3*E19/$E$3,2)</f>
        <v>6541.77</v>
      </c>
      <c r="E19" s="55">
        <f t="shared" ref="E19:E26" si="1">SUM(F19:G19)</f>
        <v>4145.53</v>
      </c>
      <c r="F19" s="56">
        <f>'数据-基础表'!I5</f>
        <v>4145.53</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6541.77</v>
      </c>
      <c r="S19" s="1248">
        <f t="shared" si="5"/>
        <v>4145.53</v>
      </c>
    </row>
    <row r="20" spans="1:19">
      <c r="A20" s="2263"/>
      <c r="B20" s="49" t="s">
        <v>1957</v>
      </c>
      <c r="C20" s="2260"/>
      <c r="D20" s="47">
        <f t="shared" ref="D20:D26" si="6">ROUND($D$3*E20/$E$3,2)</f>
        <v>0</v>
      </c>
      <c r="E20" s="55">
        <f t="shared" si="1"/>
        <v>0</v>
      </c>
      <c r="F20" s="56"/>
      <c r="G20" s="57"/>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49" t="s">
        <v>1957</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1957</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1957</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1957</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1957</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1957</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1958</v>
      </c>
      <c r="D27" s="1393">
        <f>SUM(D19:D26)</f>
        <v>6541.77</v>
      </c>
      <c r="E27" s="1394">
        <f>IF(SUM(E19:E26)='数据-基础表'!BA5,SUM(E19:E26),IF(F27="地上面积有误","面积有误","地下面积有误"))</f>
        <v>4145.53</v>
      </c>
      <c r="F27" s="1393">
        <f>IF(SUM(F19:F26)=E8,SUM(F19:F26),"地上面积有误")</f>
        <v>4145.53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6541.77</v>
      </c>
      <c r="S27" s="1247">
        <f>IF(SUM(S19:S26)=$E$3,SUM(S19:S26),SUM(S19:S26)&amp;"误差"&amp;ROUND(SUM(S19:S26)-E3,2))</f>
        <v>4145.53</v>
      </c>
    </row>
    <row r="28" spans="1:19">
      <c r="A28" s="2263"/>
      <c r="B28" s="49" t="s">
        <v>1959</v>
      </c>
      <c r="C28" s="1259" t="s">
        <v>1960</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1959</v>
      </c>
      <c r="C29" s="2267" t="s">
        <v>1961</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1962</v>
      </c>
      <c r="D31" s="727">
        <f>D27+D30</f>
        <v>6541.77</v>
      </c>
      <c r="E31" s="727">
        <f>E27+E30</f>
        <v>4145.53</v>
      </c>
      <c r="F31" s="728">
        <f>F27+F30</f>
        <v>4145.53</v>
      </c>
      <c r="G31" s="729">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3044</v>
      </c>
      <c r="O5" s="2296" t="s">
        <v>1985</v>
      </c>
      <c r="P5" s="2299" t="s">
        <v>1986</v>
      </c>
      <c r="Q5" s="68" t="s">
        <v>1987</v>
      </c>
      <c r="R5" s="2300" t="s">
        <v>1988</v>
      </c>
      <c r="S5" s="2301" t="s">
        <v>1989</v>
      </c>
      <c r="T5" s="2302" t="s">
        <v>1990</v>
      </c>
      <c r="U5" s="1267" t="s">
        <v>1991</v>
      </c>
      <c r="V5" s="1268" t="s">
        <v>1992</v>
      </c>
      <c r="W5" s="1268" t="s">
        <v>1993</v>
      </c>
      <c r="X5" s="70"/>
      <c r="Y5" s="69" t="s">
        <v>1994</v>
      </c>
      <c r="Z5" s="2303" t="s">
        <v>1991</v>
      </c>
      <c r="AA5" s="1268" t="s">
        <v>1992</v>
      </c>
      <c r="AB5" s="1268" t="s">
        <v>1993</v>
      </c>
      <c r="AC5" s="70"/>
      <c r="AD5" s="70" t="s">
        <v>1994</v>
      </c>
      <c r="AE5" s="1267" t="s">
        <v>1995</v>
      </c>
      <c r="AF5" s="1268" t="s">
        <v>1996</v>
      </c>
      <c r="AG5" s="69" t="s">
        <v>1997</v>
      </c>
      <c r="AH5" s="1267" t="s">
        <v>1998</v>
      </c>
      <c r="AI5" s="2303" t="s">
        <v>1999</v>
      </c>
      <c r="AJ5" s="2303" t="s">
        <v>2000</v>
      </c>
      <c r="AK5" s="1268" t="s">
        <v>2001</v>
      </c>
      <c r="AL5" s="1268" t="s">
        <v>2002</v>
      </c>
      <c r="AM5" s="69"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商业楼</v>
      </c>
      <c r="B6" s="2307" t="str">
        <f>IF(A6=0,"","经营性")</f>
        <v>经营性</v>
      </c>
      <c r="C6" s="2308" t="s">
        <v>1378</v>
      </c>
      <c r="D6" s="1052">
        <f>SUMIF(项目基本情况!D$12:I$12,C6,项目基本情况!D$14:I$14)</f>
        <v>40</v>
      </c>
      <c r="E6" s="1049">
        <f>IF(B6="","",SUMIF(项目基本情况!D$12:I$12,C6,项目基本情况!D$13:I$13))</f>
        <v>55999</v>
      </c>
      <c r="F6" s="71">
        <f>SUMIF(项目基本情况!D$12:I$12,C6,项目基本情况!D$15:I$15)</f>
        <v>35.47</v>
      </c>
      <c r="G6" s="72">
        <f>IF(ISERROR(ROUND(POWER(1+H6,D6-F6)*(POWER(1+H6,F6)-1)/(POWER(1+H6,D6)-1),3)),0,ROUND(POWER(1+H6,D6-F6)*(POWER(1+H6,F6)-1)/(POWER(1+H6,D6)-1),3))</f>
        <v>0.94899999999999995</v>
      </c>
      <c r="H6" s="800">
        <v>0.04</v>
      </c>
      <c r="I6" s="800">
        <v>0.06</v>
      </c>
      <c r="J6" s="73">
        <v>8.5000000000000006E-2</v>
      </c>
      <c r="K6" s="1251">
        <f>SUMIF('数据-汇总表'!C$19:C$33,A6,'数据-汇总表'!E$19:E$33)</f>
        <v>4145.53</v>
      </c>
      <c r="L6" s="801">
        <v>2000</v>
      </c>
      <c r="M6" s="74">
        <f t="shared" ref="M6:M14" si="0">ROUND(K6*L6/10000,0)</f>
        <v>829</v>
      </c>
      <c r="N6" s="2941">
        <f>ROUND(1-(1-0%)*(2017-2014)/60,2)</f>
        <v>0.95</v>
      </c>
      <c r="O6" s="74" t="str">
        <f>IF($N$5="成新度","——",ROUND(M6*N6,0))</f>
        <v>——</v>
      </c>
      <c r="P6" s="75" t="str">
        <f>IF($N$5="成新度","——",M6-O6)</f>
        <v>——</v>
      </c>
      <c r="Q6" s="802">
        <v>0.2</v>
      </c>
      <c r="R6" s="76">
        <f ca="1">SUMIF('数据-汇总表'!C$19:C$33,A6,'数据-汇总表'!R$19:R$27)</f>
        <v>6541.77</v>
      </c>
      <c r="S6" s="53">
        <f>IF('数据-汇总表'!$I$17="按面积比例",SUMIF('数据-汇总表'!C$19:C$33,A6,'数据-汇总表'!K$19:K$33),SUMIF('数据-汇总表'!C$19:C$33,A6,'数据-汇总表'!N$19:N$33))</f>
        <v>0</v>
      </c>
      <c r="T6" s="1443">
        <f>ROUND($L$14*S6/10000,0)</f>
        <v>0</v>
      </c>
      <c r="U6" s="2927">
        <v>2.8</v>
      </c>
      <c r="V6" s="78">
        <v>0.03</v>
      </c>
      <c r="W6" s="78">
        <v>0.1</v>
      </c>
      <c r="X6" s="1261"/>
      <c r="Y6" s="79">
        <f>N6</f>
        <v>0.95</v>
      </c>
      <c r="Z6" s="80"/>
      <c r="AA6" s="73"/>
      <c r="AB6" s="73"/>
      <c r="AC6" s="1261"/>
      <c r="AD6" s="81"/>
      <c r="AE6" s="1262">
        <f ca="1">IF(AN6="",0,SUMIF(INDIRECT("'"&amp;AN6&amp;"'"&amp;"!E:E"),$AE$5,INDIRECT("'"&amp;AN6&amp;"'"&amp;"!F:F")))</f>
        <v>35.47</v>
      </c>
      <c r="AF6" s="1805"/>
      <c r="AG6" s="146">
        <f>IF(AF6="",0,AE6-AF6)</f>
        <v>0</v>
      </c>
      <c r="AH6" s="82"/>
      <c r="AI6" s="84">
        <v>365</v>
      </c>
      <c r="AJ6" s="85"/>
      <c r="AK6" s="86">
        <v>5.0000000000000001E-3</v>
      </c>
      <c r="AL6" s="87">
        <v>1E-3</v>
      </c>
      <c r="AM6" s="88">
        <v>0.01</v>
      </c>
      <c r="AN6" s="2309" t="s">
        <v>3045</v>
      </c>
      <c r="AO6" s="54">
        <f ca="1">SUMIF(INDIRECT("'"&amp;AN6&amp;"'"&amp;"!A:A"),"总价",INDIRECT("'"&amp;AN6&amp;"'"&amp;"!B:B"))</f>
        <v>7133</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51">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5"/>
      <c r="AG7" s="146">
        <f t="shared" ref="AG7:AG13" si="7">IF(AF7="",0,AE7-AF7)</f>
        <v>0</v>
      </c>
      <c r="AH7" s="82"/>
      <c r="AI7" s="84"/>
      <c r="AJ7" s="85"/>
      <c r="AK7" s="86"/>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6"/>
      <c r="C16" s="1006"/>
      <c r="D16" s="2314"/>
      <c r="E16" s="96"/>
      <c r="F16" s="96"/>
      <c r="G16" s="97">
        <f>ROUND(SUMPRODUCT(G6:G13,K6:K13)/SUMPRODUCT((G6:G13&gt;0)*(K6:K13)),3)</f>
        <v>0.94899999999999995</v>
      </c>
      <c r="H16" s="98">
        <f>ROUND(SUMPRODUCT(H6:H13,K6:K13)/SUMPRODUCT((H6:H13&gt;0)*(K6:K13)),3)</f>
        <v>0.04</v>
      </c>
      <c r="I16" s="99"/>
      <c r="J16" s="99"/>
      <c r="K16" s="100">
        <f>SUM(K6:K15)</f>
        <v>4145.53</v>
      </c>
      <c r="L16" s="101">
        <f>ROUND(M16*10000/SUM(K6:K14),0)</f>
        <v>2000</v>
      </c>
      <c r="M16" s="101">
        <f>SUM(M6:M14)</f>
        <v>829</v>
      </c>
      <c r="N16" s="102">
        <f>ROUND(SUMPRODUCT(M6:M14,N6:N14)/M16,3)</f>
        <v>0.95</v>
      </c>
      <c r="O16" s="101">
        <f>SUM(O6:O14)</f>
        <v>0</v>
      </c>
      <c r="P16" s="101">
        <f>SUM(P6:P14)</f>
        <v>0</v>
      </c>
      <c r="Q16" s="103">
        <f>ROUND(SUMPRODUCT(Q6:Q13,K6:K13)/SUMPRODUCT((Q6:Q13&gt;0)*(K6:K13)),2)</f>
        <v>0.2</v>
      </c>
      <c r="R16" s="1255">
        <f ca="1">SUM(R6:R13)</f>
        <v>6541.77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1">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2">
        <v>1</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2">
        <v>1</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3">
        <f>B19+B20</f>
        <v>1</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3">
        <f>B19+B21</f>
        <v>1</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5"/>
      <c r="C27" s="1765" t="s">
        <v>2027</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2028</v>
      </c>
      <c r="B28" s="118"/>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2029</v>
      </c>
      <c r="B29" s="120"/>
      <c r="C29" s="1765" t="s">
        <v>2030</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2031</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2032</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2033</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2034</v>
      </c>
      <c r="B33" s="724">
        <v>0.03</v>
      </c>
      <c r="C33" s="1764" t="s">
        <v>2035</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2036</v>
      </c>
      <c r="B34" s="121">
        <v>0</v>
      </c>
      <c r="C34" s="1764" t="s">
        <v>2037</v>
      </c>
      <c r="D34" s="2278" t="s">
        <v>2038</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2039</v>
      </c>
      <c r="B35" s="118">
        <v>200</v>
      </c>
      <c r="C35" s="1764" t="s">
        <v>2040</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2041</v>
      </c>
      <c r="B36" s="122">
        <v>1.4999999999999999E-2</v>
      </c>
      <c r="C36" s="1764" t="s">
        <v>2042</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2043</v>
      </c>
      <c r="B37" s="123">
        <v>0.02</v>
      </c>
      <c r="C37" s="1764" t="s">
        <v>2044</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2045</v>
      </c>
      <c r="B38" s="121">
        <v>0.02</v>
      </c>
      <c r="C38" s="1764" t="s">
        <v>2044</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2046</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2047</v>
      </c>
      <c r="B40" s="1300">
        <f ca="1">存贷款利率!G1</f>
        <v>4.3499999999999997E-2</v>
      </c>
      <c r="C40" s="1764" t="s">
        <v>2048</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2049</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2050</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2051</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2052</v>
      </c>
      <c r="B44" s="127">
        <v>7.0000000000000007E-2</v>
      </c>
      <c r="C44" s="1764" t="s">
        <v>2053</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2054</v>
      </c>
      <c r="B45" s="125">
        <v>0.03</v>
      </c>
      <c r="C45" s="1765" t="s">
        <v>2055</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2056</v>
      </c>
      <c r="B46" s="125">
        <v>0.02</v>
      </c>
      <c r="C46" s="1765" t="s">
        <v>2057</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2058</v>
      </c>
      <c r="B47" s="128">
        <v>0</v>
      </c>
      <c r="C47" s="1765" t="s">
        <v>2059</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2060</v>
      </c>
      <c r="B48" s="129">
        <v>0.04</v>
      </c>
      <c r="C48" s="1772" t="s">
        <v>2061</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2062</v>
      </c>
      <c r="B49" s="125">
        <v>5.0000000000000001E-4</v>
      </c>
      <c r="C49" s="1772" t="s">
        <v>2063</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2064</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2065</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2066</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2067</v>
      </c>
      <c r="B53" s="2336" t="s">
        <v>56</v>
      </c>
      <c r="C53" s="1427" t="s">
        <v>2068</v>
      </c>
      <c r="D53" s="2337" t="s">
        <v>2069</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3" sqref="F13"/>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42" t="s">
        <v>2080</v>
      </c>
      <c r="B1" s="3043"/>
      <c r="C1" s="3043"/>
      <c r="D1" s="3043"/>
      <c r="E1" s="3043"/>
      <c r="F1" s="3043"/>
      <c r="G1" s="304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928" t="s">
        <v>3046</v>
      </c>
      <c r="D3" s="2370"/>
      <c r="E3" s="431" t="s">
        <v>2083</v>
      </c>
      <c r="F3" s="2371" t="s">
        <v>2085</v>
      </c>
      <c r="G3" s="2372"/>
      <c r="H3" s="2368"/>
      <c r="I3" s="2368"/>
      <c r="J3" s="2368"/>
      <c r="K3" s="2368"/>
      <c r="L3" s="2368"/>
      <c r="M3" s="2368"/>
      <c r="N3" s="2368"/>
      <c r="O3" s="2368"/>
      <c r="P3" s="2368"/>
      <c r="Q3" s="2368"/>
      <c r="R3" s="2368"/>
    </row>
    <row r="4" spans="1:29" ht="54">
      <c r="A4" s="431"/>
      <c r="B4" s="1796" t="s">
        <v>2086</v>
      </c>
      <c r="C4" s="2929" t="s">
        <v>3047</v>
      </c>
      <c r="D4" s="2370"/>
      <c r="E4" s="2374"/>
      <c r="F4" s="41" t="s">
        <v>2087</v>
      </c>
      <c r="G4" s="2375"/>
      <c r="H4" s="2368"/>
      <c r="I4" s="2368"/>
      <c r="J4" s="2368"/>
      <c r="K4" s="2368"/>
      <c r="L4" s="2368"/>
      <c r="M4" s="2368"/>
      <c r="N4" s="2368"/>
      <c r="O4" s="2368"/>
      <c r="P4" s="2368"/>
      <c r="Q4" s="2368"/>
      <c r="R4" s="2368"/>
    </row>
    <row r="5" spans="1:29" ht="15">
      <c r="A5" s="431"/>
      <c r="B5" s="1796" t="s">
        <v>2088</v>
      </c>
      <c r="C5" s="2373"/>
      <c r="D5" s="2370"/>
      <c r="E5" s="2374"/>
      <c r="F5" s="1796" t="s">
        <v>2089</v>
      </c>
      <c r="G5" s="2375"/>
      <c r="H5" s="2368"/>
      <c r="I5" s="2368"/>
      <c r="J5" s="2368"/>
      <c r="K5" s="2368"/>
      <c r="L5" s="2368"/>
      <c r="M5" s="2368"/>
      <c r="N5" s="2368"/>
      <c r="O5" s="2368"/>
      <c r="P5" s="2368"/>
      <c r="Q5" s="2368"/>
      <c r="R5" s="2368"/>
    </row>
    <row r="6" spans="1:29" ht="40.5">
      <c r="A6" s="431"/>
      <c r="B6" s="1796" t="s">
        <v>2090</v>
      </c>
      <c r="C6" s="2930" t="s">
        <v>3048</v>
      </c>
      <c r="D6" s="2370"/>
      <c r="E6" s="2374"/>
      <c r="F6" s="1796" t="s">
        <v>2091</v>
      </c>
      <c r="G6" s="2375"/>
      <c r="H6" s="2368"/>
      <c r="I6" s="2368"/>
      <c r="J6" s="2368"/>
      <c r="K6" s="2368"/>
      <c r="L6" s="2368"/>
      <c r="M6" s="2368"/>
      <c r="N6" s="2368"/>
      <c r="O6" s="2368"/>
      <c r="P6" s="2368"/>
      <c r="Q6" s="2368"/>
      <c r="R6" s="2368"/>
    </row>
    <row r="7" spans="1:29" ht="41.25" thickBot="1">
      <c r="A7" s="431"/>
      <c r="B7" s="1796" t="s">
        <v>2089</v>
      </c>
      <c r="C7" s="2930" t="s">
        <v>3049</v>
      </c>
      <c r="D7" s="2376"/>
      <c r="E7" s="2377"/>
      <c r="F7" s="2378" t="s">
        <v>2092</v>
      </c>
      <c r="G7" s="2379"/>
      <c r="H7" s="2368"/>
      <c r="I7" s="2368"/>
      <c r="J7" s="2368"/>
      <c r="K7" s="2368"/>
      <c r="L7" s="2368"/>
      <c r="M7" s="2368"/>
      <c r="N7" s="2368"/>
      <c r="O7" s="2368"/>
      <c r="P7" s="2368"/>
      <c r="Q7" s="2368"/>
      <c r="R7" s="2368"/>
    </row>
    <row r="8" spans="1:29" ht="27">
      <c r="A8" s="431"/>
      <c r="B8" s="1796" t="s">
        <v>2091</v>
      </c>
      <c r="C8" s="2930" t="s">
        <v>3050</v>
      </c>
      <c r="D8" s="2376"/>
      <c r="E8" s="2376"/>
      <c r="F8" s="1133"/>
      <c r="G8" s="1133"/>
      <c r="H8" s="2368"/>
      <c r="I8" s="2368"/>
      <c r="J8" s="2368"/>
      <c r="K8" s="2368"/>
      <c r="L8" s="2368"/>
      <c r="M8" s="2368"/>
      <c r="N8" s="2368"/>
      <c r="O8" s="2368"/>
      <c r="P8" s="2368"/>
      <c r="Q8" s="2368"/>
      <c r="R8" s="2368"/>
    </row>
    <row r="9" spans="1:29" ht="40.5">
      <c r="A9" s="431"/>
      <c r="B9" s="1796" t="s">
        <v>2093</v>
      </c>
      <c r="C9" s="2931" t="s">
        <v>3051</v>
      </c>
      <c r="D9" s="2370"/>
      <c r="E9" s="2376"/>
      <c r="F9" s="1133"/>
      <c r="G9" s="1133"/>
      <c r="H9" s="2368"/>
      <c r="I9" s="2368"/>
      <c r="J9" s="2368"/>
      <c r="K9" s="2368"/>
      <c r="L9" s="2368"/>
      <c r="M9" s="2368"/>
      <c r="N9" s="2368"/>
      <c r="O9" s="2368"/>
      <c r="P9" s="2368"/>
      <c r="Q9" s="2368"/>
      <c r="R9" s="2368"/>
    </row>
    <row r="10" spans="1:29" s="116" customFormat="1" ht="15.75" thickBot="1">
      <c r="A10" s="2380"/>
      <c r="B10" s="2381" t="s">
        <v>2094</v>
      </c>
      <c r="C10" s="2932" t="s">
        <v>3052</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0"/>
      <c r="E14" s="2400"/>
      <c r="F14" s="2400"/>
      <c r="G14" s="2365" t="s">
        <v>2097</v>
      </c>
    </row>
    <row r="15" spans="1:29" ht="57">
      <c r="A15" s="67" t="s">
        <v>2098</v>
      </c>
      <c r="B15" s="1267" t="s">
        <v>2084</v>
      </c>
      <c r="C15" s="2401" t="str">
        <f>C3</f>
        <v>周边有夏威夷·蓝湾、美丽乡村别墅、金谷iSOHO等居住社区，综合评价居住社区成熟度较好</v>
      </c>
      <c r="D15" s="2370"/>
      <c r="E15" s="2402" t="s">
        <v>2099</v>
      </c>
      <c r="F15" s="1267" t="s">
        <v>2100</v>
      </c>
      <c r="G15" s="134">
        <f>G3</f>
        <v>0</v>
      </c>
    </row>
    <row r="16" spans="1:29" ht="57">
      <c r="A16" s="643"/>
      <c r="B16" s="2403" t="s">
        <v>2086</v>
      </c>
      <c r="C16" s="2404" t="str">
        <f>C4</f>
        <v>估价对象位于燕郊，周边商业氛围成熟度一般，多集中于住宅底商，人流量较小，商业繁华度较差</v>
      </c>
      <c r="D16" s="2370"/>
      <c r="E16" s="2405"/>
      <c r="F16" s="2406" t="s">
        <v>2087</v>
      </c>
      <c r="G16" s="135">
        <f>G4</f>
        <v>0</v>
      </c>
    </row>
    <row r="17" spans="1:18" ht="15">
      <c r="A17" s="643"/>
      <c r="B17" s="2403" t="s">
        <v>2088</v>
      </c>
      <c r="C17" s="2404">
        <f>C5</f>
        <v>0</v>
      </c>
      <c r="D17" s="2376"/>
      <c r="E17" s="2405"/>
      <c r="F17" s="2406" t="s">
        <v>2101</v>
      </c>
      <c r="G17" s="1570"/>
    </row>
    <row r="18" spans="1:18" ht="42.75">
      <c r="A18" s="643"/>
      <c r="B18" s="2406" t="s">
        <v>2090</v>
      </c>
      <c r="C18" s="135" t="str">
        <f>C6</f>
        <v>周边有302、快速直达专线102路等公交线路，交通便捷度一般。</v>
      </c>
      <c r="D18" s="2376"/>
      <c r="E18" s="2405"/>
      <c r="F18" s="2406" t="s">
        <v>2092</v>
      </c>
      <c r="G18" s="135">
        <f>G7</f>
        <v>0</v>
      </c>
    </row>
    <row r="19" spans="1:18" ht="15">
      <c r="A19" s="643"/>
      <c r="B19" s="2406" t="s">
        <v>2102</v>
      </c>
      <c r="C19" s="1570"/>
      <c r="D19" s="2370"/>
      <c r="E19" s="2405"/>
      <c r="F19" s="1796" t="s">
        <v>2089</v>
      </c>
      <c r="G19" s="135">
        <f>G5</f>
        <v>0</v>
      </c>
    </row>
    <row r="20" spans="1:18" ht="42.75">
      <c r="A20" s="643"/>
      <c r="B20" s="2406" t="s">
        <v>2103</v>
      </c>
      <c r="C20" s="2404" t="str">
        <f>C9</f>
        <v>周边绿化均为城市绿化，无高等教育机构等，综合评价环境状况一般</v>
      </c>
      <c r="D20" s="2376"/>
      <c r="E20" s="2405"/>
      <c r="F20" s="1796" t="s">
        <v>2104</v>
      </c>
      <c r="G20" s="135">
        <f>G6</f>
        <v>0</v>
      </c>
    </row>
    <row r="21" spans="1:18" ht="42.75">
      <c r="A21" s="643"/>
      <c r="B21" s="1796" t="s">
        <v>2089</v>
      </c>
      <c r="C21" s="135" t="str">
        <f>C7</f>
        <v>估价对象周边无银行、商场、学校、医院，有社区超市等，公共配套设施较差。</v>
      </c>
      <c r="D21" s="2370"/>
      <c r="E21" s="2405"/>
      <c r="F21" s="2406" t="s">
        <v>2105</v>
      </c>
      <c r="G21" s="2407"/>
    </row>
    <row r="22" spans="1:18" ht="13.5" customHeight="1">
      <c r="A22" s="643"/>
      <c r="B22" s="1796" t="s">
        <v>2091</v>
      </c>
      <c r="C22" s="135" t="str">
        <f>C8</f>
        <v>估价对象所在区域基础设施水平达七通</v>
      </c>
      <c r="D22" s="2370"/>
      <c r="E22" s="2405"/>
      <c r="F22" s="2406" t="s">
        <v>2094</v>
      </c>
      <c r="G22" s="1570"/>
    </row>
    <row r="23" spans="1:18" s="2368" customFormat="1" ht="15.75" thickBot="1">
      <c r="A23" s="643"/>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t="str">
        <f>C10</f>
        <v>城市次干道——迎宾路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4145.53</v>
      </c>
      <c r="C1" s="1743"/>
      <c r="D1" s="1743"/>
      <c r="E1" s="1743"/>
      <c r="F1" s="1743"/>
      <c r="G1" s="1741"/>
    </row>
    <row r="2" spans="1:10" ht="16.5">
      <c r="A2" s="1744" t="s">
        <v>1354</v>
      </c>
      <c r="B2" s="1744">
        <f>SUM(C14:C23)</f>
        <v>6541.77</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9531</v>
      </c>
      <c r="C5" s="1744">
        <f ca="1">ROUND(B5*10000/$B$1,0)</f>
        <v>22991</v>
      </c>
      <c r="D5" s="1744">
        <f ca="1">ROUND(B5*10000/$B$2,0)</f>
        <v>14569</v>
      </c>
      <c r="E5" s="1743"/>
      <c r="F5" s="1741"/>
      <c r="G5" s="1741"/>
    </row>
    <row r="6" spans="1:10" ht="16.5">
      <c r="A6" s="1744" t="s">
        <v>1357</v>
      </c>
      <c r="B6" s="1744">
        <f>SUM(G14:G23)</f>
        <v>0</v>
      </c>
      <c r="C6" s="1744">
        <f>ROUND(B6*10000/$B$1,0)</f>
        <v>0</v>
      </c>
      <c r="D6" s="1744">
        <f>ROUND(B6*10000/$B$2,0)</f>
        <v>0</v>
      </c>
      <c r="E6" s="1743"/>
      <c r="F6" s="1741"/>
      <c r="G6" s="1741"/>
    </row>
    <row r="7" spans="1:10" ht="16.5">
      <c r="A7" s="1744" t="s">
        <v>1365</v>
      </c>
      <c r="B7" s="1744">
        <f ca="1">SUM(H14:H23)</f>
        <v>9531</v>
      </c>
      <c r="C7" s="1744">
        <f ca="1">ROUND(B7*10000/$B$1,0)</f>
        <v>22991</v>
      </c>
      <c r="D7" s="1744">
        <f ca="1">ROUND(B7*10000/$B$2,0)</f>
        <v>14569</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4145.53</v>
      </c>
      <c r="C14" s="1742">
        <f>结果表!C118</f>
        <v>6541.77</v>
      </c>
      <c r="D14" s="1742">
        <f ca="1">结果表!H118</f>
        <v>9531</v>
      </c>
      <c r="E14" s="1742">
        <f ca="1">ROUND(D14*10000/B14,0)</f>
        <v>22991</v>
      </c>
      <c r="F14" s="1742">
        <f ca="1">ROUND(D14*10000/C14,0)</f>
        <v>14569</v>
      </c>
      <c r="G14" s="1742" t="str">
        <f>结果表!D122</f>
        <v>——</v>
      </c>
      <c r="H14" s="1742">
        <f ca="1">结果表!D124</f>
        <v>9531</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9" zoomScaleNormal="100" zoomScaleSheetLayoutView="100" zoomScalePageLayoutView="80" workbookViewId="0">
      <selection activeCell="H118" sqref="H118"/>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2108</v>
      </c>
      <c r="B1" s="2417"/>
      <c r="C1" s="2418"/>
      <c r="D1" s="2417"/>
      <c r="E1" s="2417"/>
      <c r="F1" s="2419" t="s">
        <v>2109</v>
      </c>
      <c r="G1" s="2070" t="s">
        <v>3032</v>
      </c>
      <c r="H1" s="2420" t="str">
        <f>IF(G1="现房","——","估价对象范围")</f>
        <v>——</v>
      </c>
      <c r="I1" s="2421" t="s">
        <v>3084</v>
      </c>
    </row>
    <row r="2" spans="1:12" ht="21.75" customHeight="1" thickBot="1">
      <c r="A2" s="3077" t="str">
        <f>项目基本情况!S2</f>
        <v>河北省廊坊市三河市燕郊开发区迎宾南路东侧、南城大街南侧天洋城4代商业·荷塘月色时尚街区S9号楼房地产</v>
      </c>
      <c r="B2" s="3078"/>
      <c r="C2" s="3078"/>
      <c r="D2" s="3078"/>
      <c r="E2" s="3078"/>
      <c r="F2" s="3078"/>
      <c r="G2" s="3078"/>
      <c r="H2" s="3078"/>
      <c r="I2" s="3079"/>
    </row>
    <row r="3" spans="1:12" ht="12.75">
      <c r="A3" s="3081" t="s">
        <v>2110</v>
      </c>
      <c r="B3" s="3082"/>
      <c r="C3" s="3082"/>
      <c r="D3" s="3082"/>
      <c r="E3" s="3082"/>
      <c r="F3" s="3082"/>
      <c r="G3" s="3082"/>
      <c r="H3" s="3082"/>
      <c r="I3" s="3082"/>
    </row>
    <row r="4" spans="1:12" ht="14.25">
      <c r="A4" s="2424" t="s">
        <v>2111</v>
      </c>
      <c r="B4" s="2425" t="s">
        <v>2112</v>
      </c>
      <c r="C4" s="2426" t="s">
        <v>3148</v>
      </c>
      <c r="D4" s="2426" t="s">
        <v>3045</v>
      </c>
      <c r="E4" s="3074" t="s">
        <v>2113</v>
      </c>
      <c r="F4" s="3075"/>
      <c r="G4" s="3075"/>
      <c r="H4" s="3075"/>
      <c r="I4" s="3083"/>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57" t="s">
        <v>2114</v>
      </c>
      <c r="B5" s="2998">
        <v>25</v>
      </c>
      <c r="C5" s="3060">
        <v>20</v>
      </c>
      <c r="D5" s="3080">
        <v>12</v>
      </c>
      <c r="E5" s="139" t="s">
        <v>2115</v>
      </c>
      <c r="F5" s="2428"/>
      <c r="G5" s="2428"/>
      <c r="H5" s="2428"/>
      <c r="I5" s="1832"/>
    </row>
    <row r="6" spans="1:12" ht="12.75">
      <c r="A6" s="3057"/>
      <c r="B6" s="2998"/>
      <c r="C6" s="3061"/>
      <c r="D6" s="3080"/>
      <c r="E6" s="139" t="s">
        <v>2116</v>
      </c>
      <c r="F6" s="2428"/>
      <c r="G6" s="2428"/>
      <c r="H6" s="2428"/>
      <c r="I6" s="1832"/>
    </row>
    <row r="7" spans="1:12" ht="12.75">
      <c r="A7" s="3057"/>
      <c r="B7" s="2998"/>
      <c r="C7" s="3062"/>
      <c r="D7" s="3080"/>
      <c r="E7" s="139" t="s">
        <v>2117</v>
      </c>
      <c r="F7" s="2428"/>
      <c r="G7" s="2428"/>
      <c r="H7" s="2428"/>
      <c r="I7" s="1832"/>
    </row>
    <row r="8" spans="1:12" ht="12.75">
      <c r="A8" s="3057" t="s">
        <v>2118</v>
      </c>
      <c r="B8" s="2998">
        <v>15</v>
      </c>
      <c r="C8" s="3060">
        <v>10</v>
      </c>
      <c r="D8" s="3080">
        <v>8</v>
      </c>
      <c r="E8" s="139" t="s">
        <v>2119</v>
      </c>
      <c r="F8" s="2428"/>
      <c r="G8" s="2428"/>
      <c r="H8" s="2428"/>
      <c r="I8" s="1832"/>
    </row>
    <row r="9" spans="1:12" ht="12.75">
      <c r="A9" s="3057"/>
      <c r="B9" s="2998"/>
      <c r="C9" s="3062"/>
      <c r="D9" s="3080"/>
      <c r="E9" s="139" t="s">
        <v>2120</v>
      </c>
      <c r="F9" s="2428"/>
      <c r="G9" s="2428"/>
      <c r="H9" s="2428"/>
      <c r="I9" s="1832"/>
    </row>
    <row r="10" spans="1:12" ht="12.75">
      <c r="A10" s="3057" t="s">
        <v>2121</v>
      </c>
      <c r="B10" s="2998">
        <v>15</v>
      </c>
      <c r="C10" s="3060">
        <v>10</v>
      </c>
      <c r="D10" s="3080">
        <v>8</v>
      </c>
      <c r="E10" s="139" t="s">
        <v>2122</v>
      </c>
      <c r="F10" s="2428"/>
      <c r="G10" s="2428"/>
      <c r="H10" s="2428"/>
      <c r="I10" s="1832"/>
    </row>
    <row r="11" spans="1:12" ht="12.75">
      <c r="A11" s="3057"/>
      <c r="B11" s="2998"/>
      <c r="C11" s="3062"/>
      <c r="D11" s="3080"/>
      <c r="E11" s="139" t="s">
        <v>2123</v>
      </c>
      <c r="F11" s="2428"/>
      <c r="G11" s="2428"/>
      <c r="H11" s="2428"/>
      <c r="I11" s="1832"/>
    </row>
    <row r="12" spans="1:12" ht="12.75">
      <c r="A12" s="3057" t="s">
        <v>2124</v>
      </c>
      <c r="B12" s="2998">
        <v>15</v>
      </c>
      <c r="C12" s="3060">
        <v>10</v>
      </c>
      <c r="D12" s="3080">
        <v>8</v>
      </c>
      <c r="E12" s="139" t="s">
        <v>2125</v>
      </c>
      <c r="F12" s="2428"/>
      <c r="G12" s="2428"/>
      <c r="H12" s="2428"/>
      <c r="I12" s="1832"/>
    </row>
    <row r="13" spans="1:12" ht="12.75">
      <c r="A13" s="3057"/>
      <c r="B13" s="2998"/>
      <c r="C13" s="3062"/>
      <c r="D13" s="3080"/>
      <c r="E13" s="139" t="s">
        <v>2126</v>
      </c>
      <c r="F13" s="2428"/>
      <c r="G13" s="2428"/>
      <c r="H13" s="2428"/>
      <c r="I13" s="1832"/>
    </row>
    <row r="14" spans="1:12" ht="12.75">
      <c r="A14" s="3057" t="s">
        <v>2127</v>
      </c>
      <c r="B14" s="2998">
        <v>30</v>
      </c>
      <c r="C14" s="3060">
        <v>20</v>
      </c>
      <c r="D14" s="3080">
        <v>10</v>
      </c>
      <c r="E14" s="139" t="s">
        <v>2128</v>
      </c>
      <c r="F14" s="2428"/>
      <c r="G14" s="2428"/>
      <c r="H14" s="2428"/>
      <c r="I14" s="1832"/>
    </row>
    <row r="15" spans="1:12" ht="12.75">
      <c r="A15" s="3057"/>
      <c r="B15" s="2998"/>
      <c r="C15" s="3061"/>
      <c r="D15" s="3080"/>
      <c r="E15" s="139" t="s">
        <v>2129</v>
      </c>
      <c r="F15" s="2428"/>
      <c r="G15" s="2428"/>
      <c r="H15" s="2428"/>
      <c r="I15" s="1832"/>
    </row>
    <row r="16" spans="1:12" ht="12.75">
      <c r="A16" s="3057"/>
      <c r="B16" s="2998"/>
      <c r="C16" s="3062"/>
      <c r="D16" s="3080"/>
      <c r="E16" s="139" t="s">
        <v>2130</v>
      </c>
      <c r="F16" s="2428"/>
      <c r="G16" s="2428"/>
      <c r="H16" s="2428"/>
      <c r="I16" s="1832"/>
    </row>
    <row r="17" spans="1:35" ht="15">
      <c r="A17" s="2429" t="s">
        <v>2131</v>
      </c>
      <c r="B17" s="63"/>
      <c r="C17" s="140">
        <f>SUM(C5:C16)</f>
        <v>70</v>
      </c>
      <c r="D17" s="140">
        <f>SUM(D5:D16)</f>
        <v>46</v>
      </c>
      <c r="E17" s="137"/>
      <c r="F17" s="137"/>
      <c r="G17" s="137"/>
      <c r="H17" s="137"/>
      <c r="I17" s="137"/>
      <c r="K17" s="2427"/>
      <c r="L17" s="2430" t="s">
        <v>2132</v>
      </c>
      <c r="M17" s="2430" t="s">
        <v>2133</v>
      </c>
    </row>
    <row r="18" spans="1:35" ht="15.75" thickBot="1">
      <c r="A18" s="2431" t="s">
        <v>2134</v>
      </c>
      <c r="B18" s="2432"/>
      <c r="C18" s="141">
        <f>ROUND(C17/SUM(C17:D17),2)</f>
        <v>0.6</v>
      </c>
      <c r="D18" s="141">
        <f>1-C18</f>
        <v>0.4</v>
      </c>
      <c r="E18" s="137"/>
      <c r="F18" s="137"/>
      <c r="G18" s="137"/>
      <c r="H18" s="137"/>
      <c r="I18" s="137"/>
      <c r="K18" s="2427" t="s">
        <v>2135</v>
      </c>
      <c r="L18" s="2427">
        <f>IF(C1="",'数据-汇总表'!E3,SUMIF(项目类型,C1,'数据-汇总表'!E17:E26)+SUMIF(项目类型,C1,'数据-汇总表'!I17:I26))</f>
        <v>4145.53</v>
      </c>
      <c r="M18" s="2427">
        <f>IF(C1="",'数据-汇总表'!E3,SUMIF(项目类型,C1,'数据-汇总表'!E17:E26))</f>
        <v>4145.53</v>
      </c>
    </row>
    <row r="19" spans="1:35" ht="15">
      <c r="A19" s="2433" t="s">
        <v>2136</v>
      </c>
      <c r="B19" s="2434" t="s">
        <v>2137</v>
      </c>
      <c r="C19" s="142">
        <f ca="1">SUMIF(INDIRECT("'"&amp;C4&amp;"'"&amp;"!A:A"),结果表!B19,INDIRECT("'"&amp;C4&amp;"'"&amp;"!B:B"))</f>
        <v>11129</v>
      </c>
      <c r="D19" s="143">
        <f ca="1">SUMIF(INDIRECT("'"&amp;D4&amp;"'"&amp;"!A:A"),结果表!B19,INDIRECT("'"&amp;D4&amp;"'"&amp;"!B:B"))</f>
        <v>7133</v>
      </c>
      <c r="E19" s="2433" t="s">
        <v>2138</v>
      </c>
      <c r="F19" s="2434" t="s">
        <v>2137</v>
      </c>
      <c r="G19" s="144">
        <f ca="1">ROUND(C19*$C$18+D19*$D$18,0)</f>
        <v>9531</v>
      </c>
      <c r="H19" s="2435" t="s">
        <v>2139</v>
      </c>
      <c r="I19" s="137"/>
      <c r="K19" s="2427" t="s">
        <v>2140</v>
      </c>
      <c r="L19" s="2427">
        <f>IF(C1="",'数据-汇总表'!D3,SUMIF(项目类型,C1,'数据-汇总表'!D17:D26)+SUMIF(项目类型,C1,'数据-汇总表'!H17:H27))</f>
        <v>6541.77</v>
      </c>
      <c r="M19" s="2427">
        <f>IF(C1="",'数据-汇总表'!D3,SUMIF(项目类型,C1,'数据-汇总表'!D17:D26))</f>
        <v>6541.77</v>
      </c>
    </row>
    <row r="20" spans="1:35" ht="15">
      <c r="A20" s="2436"/>
      <c r="B20" s="1247" t="s">
        <v>2141</v>
      </c>
      <c r="C20" s="145">
        <f ca="1">SUMIF(INDIRECT("'"&amp;C4&amp;"'"&amp;"!A:A"),结果表!B20,INDIRECT("'"&amp;C4&amp;"'"&amp;"!B:B"))</f>
        <v>26846</v>
      </c>
      <c r="D20" s="146">
        <f ca="1">SUMIF(INDIRECT("'"&amp;D4&amp;"'"&amp;"!A:A"),结果表!B20,INDIRECT("'"&amp;D4&amp;"'"&amp;"!B:B"))</f>
        <v>17206</v>
      </c>
      <c r="E20" s="2436"/>
      <c r="F20" s="1247" t="s">
        <v>2141</v>
      </c>
      <c r="G20" s="147">
        <f ca="1">ROUND(C20*$C$18+D20*$D$18,0)</f>
        <v>22990</v>
      </c>
      <c r="H20" s="981" t="s">
        <v>2142</v>
      </c>
      <c r="I20" s="137"/>
    </row>
    <row r="21" spans="1:35" ht="15" customHeight="1" thickBot="1">
      <c r="A21" s="1001"/>
      <c r="B21" s="2437" t="s">
        <v>2143</v>
      </c>
      <c r="C21" s="787">
        <f ca="1">ROUND(C19*10000/L19,0)</f>
        <v>17012</v>
      </c>
      <c r="D21" s="788">
        <f ca="1">ROUND(D19*10000/L19,0)</f>
        <v>10904</v>
      </c>
      <c r="E21" s="1001"/>
      <c r="F21" s="2437" t="s">
        <v>2143</v>
      </c>
      <c r="G21" s="148">
        <f ca="1">ROUND(G19*10000/L19,0)</f>
        <v>14569</v>
      </c>
      <c r="H21" s="2438" t="s">
        <v>2142</v>
      </c>
      <c r="I21" s="137"/>
    </row>
    <row r="22" spans="1:35" ht="15" thickBot="1">
      <c r="A22" s="2281" t="s">
        <v>2144</v>
      </c>
      <c r="B22" s="2439"/>
      <c r="C22" s="2440"/>
      <c r="D22" s="789">
        <f ca="1">IF(C19&lt;D19,D19/C19-1,C19/D19-1)</f>
        <v>0.56021309406981645</v>
      </c>
      <c r="E22" s="137"/>
      <c r="F22" s="137"/>
      <c r="G22" s="137"/>
      <c r="H22" s="137"/>
      <c r="I22" s="137"/>
    </row>
    <row r="23" spans="1:35" ht="13.5" thickBot="1">
      <c r="A23" s="2417"/>
      <c r="B23" s="2417"/>
      <c r="C23" s="2417"/>
      <c r="D23" s="2417"/>
      <c r="E23" s="137"/>
      <c r="F23" s="137"/>
      <c r="G23" s="137"/>
      <c r="H23" s="137"/>
      <c r="I23" s="137"/>
    </row>
    <row r="24" spans="1:35" ht="14.25" hidden="1">
      <c r="A24" s="3051" t="s">
        <v>2145</v>
      </c>
      <c r="B24" s="2434" t="s">
        <v>2137</v>
      </c>
      <c r="C24" s="144">
        <f>IF(B30=0,0,D30)</f>
        <v>0</v>
      </c>
      <c r="D24" s="2441"/>
      <c r="E24" s="137"/>
      <c r="F24" s="137"/>
      <c r="G24" s="137"/>
      <c r="H24" s="137"/>
      <c r="I24" s="137"/>
    </row>
    <row r="25" spans="1:35" ht="14.25" hidden="1">
      <c r="A25" s="3052"/>
      <c r="B25" s="1247" t="s">
        <v>2141</v>
      </c>
      <c r="C25" s="149">
        <f>IF(B30=0,0,C30)</f>
        <v>0</v>
      </c>
      <c r="D25" s="2442"/>
      <c r="E25" s="137"/>
      <c r="F25" s="137"/>
      <c r="G25" s="137"/>
      <c r="H25" s="137"/>
      <c r="I25" s="137"/>
    </row>
    <row r="26" spans="1:35" ht="13.5" hidden="1" customHeight="1">
      <c r="A26" s="2443" t="s">
        <v>2146</v>
      </c>
      <c r="B26" s="150" t="s">
        <v>2147</v>
      </c>
      <c r="C26" s="150" t="s">
        <v>2148</v>
      </c>
      <c r="D26" s="151" t="s">
        <v>2149</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2151</v>
      </c>
      <c r="B32" s="2447"/>
      <c r="C32" s="153">
        <f ca="1">IF(D32="总价",G19-C24,G20-C25)</f>
        <v>9531</v>
      </c>
      <c r="D32" s="2448" t="s">
        <v>2152</v>
      </c>
      <c r="E32" s="137"/>
      <c r="F32" s="137"/>
      <c r="G32" s="137"/>
      <c r="H32" s="137"/>
      <c r="I32" s="137"/>
    </row>
    <row r="33" spans="1:15" ht="15">
      <c r="A33" s="958" t="s">
        <v>2153</v>
      </c>
      <c r="B33" s="2449"/>
      <c r="C33" s="2450" t="s">
        <v>3169</v>
      </c>
      <c r="D33" s="2451" t="s">
        <v>3045</v>
      </c>
      <c r="E33" s="2452" t="s">
        <v>2154</v>
      </c>
      <c r="F33" s="2453" t="str">
        <f>IF(D32="楼面单价","取值（单价）","取值（总价）")</f>
        <v>取值（总价）</v>
      </c>
      <c r="G33" s="137"/>
      <c r="H33" s="137"/>
      <c r="I33" s="137"/>
    </row>
    <row r="34" spans="1:15" ht="15">
      <c r="A34" s="2454"/>
      <c r="B34" s="2455" t="s">
        <v>2155</v>
      </c>
      <c r="C34" s="157">
        <f ca="1">IF(C33="自定义",F34,C32-C35)</f>
        <v>8312</v>
      </c>
      <c r="D34" s="1056">
        <f ca="1">IF(C33="自定义",ROUND(C34/C32,3),IF(C33="收益比率",SUMIF(INDIRECT("'"&amp;D33&amp;"'"&amp;"!b:b"),"土地收益比率",INDIRECT("'"&amp;D33&amp;"'"&amp;"!c:c")),SUMIF(INDIRECT("'"&amp;D33&amp;"'"&amp;"!b:b"),"土地成本比率",INDIRECT("'"&amp;D33&amp;"'"&amp;"!c:c"))))</f>
        <v>0.872</v>
      </c>
      <c r="E34" s="2456" t="s">
        <v>2156</v>
      </c>
      <c r="F34" s="1737">
        <f ca="1">H118-F35</f>
        <v>8312</v>
      </c>
      <c r="G34" s="137"/>
      <c r="H34" s="137"/>
      <c r="I34" s="137"/>
    </row>
    <row r="35" spans="1:15" ht="15.75" thickBot="1">
      <c r="A35" s="2457"/>
      <c r="B35" s="2458" t="s">
        <v>2157</v>
      </c>
      <c r="C35" s="1441">
        <f ca="1">IF(C33="自定义",F35,ROUND(C32*D35,0))</f>
        <v>1219</v>
      </c>
      <c r="D35" s="1442">
        <f ca="1">IF(C33="自定义",ROUND(C35/C32,3),IF(C33="收益比率",SUMIF(INDIRECT("'"&amp;D33&amp;"'"&amp;"!b:b"),"建筑物收益比率",INDIRECT("'"&amp;D33&amp;"'"&amp;"!c:c")),SUMIF(INDIRECT("'"&amp;D33&amp;"'"&amp;"!b:b"),"建筑物成本比率",INDIRECT("'"&amp;D33&amp;"'"&amp;"!c:c"))))</f>
        <v>0.128</v>
      </c>
      <c r="E35" s="2459" t="s">
        <v>2158</v>
      </c>
      <c r="F35" s="163">
        <f ca="1">收益法!C13</f>
        <v>1219</v>
      </c>
      <c r="G35" s="137"/>
      <c r="H35" s="137"/>
      <c r="I35" s="137"/>
    </row>
    <row r="36" spans="1:15" ht="15.75" thickBot="1">
      <c r="A36" s="3069" t="s">
        <v>2159</v>
      </c>
      <c r="B36" s="2460" t="s">
        <v>2160</v>
      </c>
      <c r="C36" s="154">
        <v>8000</v>
      </c>
      <c r="D36" s="2461" t="s">
        <v>3167</v>
      </c>
      <c r="E36" s="2462"/>
      <c r="F36" s="2463"/>
      <c r="G36" s="137"/>
      <c r="H36" s="137"/>
      <c r="I36" s="137"/>
    </row>
    <row r="37" spans="1:15" ht="15.75" thickBot="1">
      <c r="A37" s="3070"/>
      <c r="B37" s="2267" t="s">
        <v>2161</v>
      </c>
      <c r="C37" s="156"/>
      <c r="D37" s="1392"/>
      <c r="E37" s="1392"/>
      <c r="F37" s="2463"/>
      <c r="G37" s="137"/>
      <c r="H37" s="137"/>
      <c r="I37" s="137"/>
    </row>
    <row r="38" spans="1:15" ht="15.75" thickBot="1">
      <c r="A38" s="3071"/>
      <c r="B38" s="2464" t="s">
        <v>2162</v>
      </c>
      <c r="C38" s="725"/>
      <c r="D38" s="2465" t="s">
        <v>2163</v>
      </c>
      <c r="E38" s="1392"/>
      <c r="F38" s="2463"/>
      <c r="G38" s="137"/>
      <c r="H38" s="137"/>
      <c r="I38" s="137"/>
    </row>
    <row r="39" spans="1:15" ht="15" hidden="1">
      <c r="A39" s="2436" t="s">
        <v>2164</v>
      </c>
      <c r="B39" s="2466" t="s">
        <v>2165</v>
      </c>
      <c r="C39" s="2467" t="s">
        <v>2166</v>
      </c>
      <c r="D39" s="2467" t="s">
        <v>2167</v>
      </c>
      <c r="E39" s="2468" t="s">
        <v>2168</v>
      </c>
      <c r="F39" s="2463"/>
      <c r="G39" s="137"/>
      <c r="H39" s="137"/>
      <c r="I39" s="137"/>
    </row>
    <row r="40" spans="1:15" ht="14.25" hidden="1">
      <c r="A40" s="2469" t="s">
        <v>2169</v>
      </c>
      <c r="B40" s="158"/>
      <c r="C40" s="159"/>
      <c r="D40" s="159"/>
      <c r="E40" s="160"/>
      <c r="F40" s="2463"/>
      <c r="G40" s="137"/>
      <c r="H40" s="137"/>
      <c r="I40" s="137"/>
    </row>
    <row r="41" spans="1:15" ht="14.25" hidden="1">
      <c r="A41" s="2469" t="s">
        <v>2170</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048" t="s">
        <v>2173</v>
      </c>
      <c r="B45" s="3049"/>
      <c r="C45" s="3050"/>
      <c r="D45" s="164">
        <f ca="1">ROUND(H101*F45,0)</f>
        <v>9531</v>
      </c>
      <c r="E45" s="165" t="s">
        <v>2174</v>
      </c>
      <c r="F45" s="166">
        <v>1</v>
      </c>
      <c r="G45" s="167" t="s">
        <v>2175</v>
      </c>
      <c r="H45" s="137"/>
      <c r="I45" s="137"/>
      <c r="J45" s="3108" t="s">
        <v>2176</v>
      </c>
      <c r="K45" s="3108"/>
      <c r="L45" s="3108"/>
      <c r="M45" s="3108"/>
      <c r="N45" s="3108"/>
      <c r="O45" s="3108"/>
    </row>
    <row r="46" spans="1:15" ht="14.25" hidden="1" customHeight="1">
      <c r="A46" s="3045" t="s">
        <v>2177</v>
      </c>
      <c r="B46" s="3046"/>
      <c r="C46" s="3046"/>
      <c r="D46" s="3046"/>
      <c r="E46" s="3046"/>
      <c r="F46" s="3046"/>
      <c r="G46" s="3047"/>
      <c r="H46" s="2479"/>
      <c r="I46" s="168"/>
      <c r="J46" s="1810">
        <v>1</v>
      </c>
      <c r="K46" s="3108" t="s">
        <v>2178</v>
      </c>
      <c r="L46" s="3108"/>
      <c r="M46" s="3128"/>
      <c r="N46" s="3128"/>
      <c r="O46" s="3128"/>
    </row>
    <row r="47" spans="1:15" ht="12" hidden="1" customHeight="1">
      <c r="A47" s="169" t="s">
        <v>2179</v>
      </c>
      <c r="B47" s="170"/>
      <c r="C47" s="171"/>
      <c r="D47" s="172" t="s">
        <v>2180</v>
      </c>
      <c r="E47" s="23" t="s">
        <v>2181</v>
      </c>
      <c r="F47" s="173" t="s">
        <v>2182</v>
      </c>
      <c r="G47" s="174" t="s">
        <v>2183</v>
      </c>
      <c r="H47" s="2479"/>
      <c r="I47" s="168"/>
      <c r="J47" s="1810">
        <v>2</v>
      </c>
      <c r="K47" s="3108" t="s">
        <v>2184</v>
      </c>
      <c r="L47" s="3108"/>
      <c r="M47" s="3129">
        <f>'数据-取费表'!B2</f>
        <v>43052</v>
      </c>
      <c r="N47" s="3129"/>
      <c r="O47" s="3129"/>
    </row>
    <row r="48" spans="1:15" ht="25.5" hidden="1">
      <c r="A48" s="3076" t="s">
        <v>2185</v>
      </c>
      <c r="B48" s="3059"/>
      <c r="C48" s="3059"/>
      <c r="D48" s="139">
        <f>IF(H48="情况1",0,IF(H48="情况2",D52,IF(H48="情况3",D53,IF(H48="情况4",D54))))</f>
        <v>0</v>
      </c>
      <c r="E48" s="1799" t="str">
        <f>IF(H48="情况4","(销售额-原购置价)×税（费）率","销售额×税（费）率")</f>
        <v>销售额×税（费）率</v>
      </c>
      <c r="F48" s="175" t="str">
        <f>IF(H48="情况1","免征",'数据-取费表'!B41)</f>
        <v>免征</v>
      </c>
      <c r="G48" s="2480" t="s">
        <v>2186</v>
      </c>
      <c r="H48" s="2481" t="s">
        <v>2187</v>
      </c>
      <c r="I48" s="2479"/>
      <c r="J48" s="1810">
        <v>3</v>
      </c>
      <c r="K48" s="3108" t="s">
        <v>2188</v>
      </c>
      <c r="L48" s="3108"/>
      <c r="M48" s="3130">
        <f ca="1">H101</f>
        <v>9531</v>
      </c>
      <c r="N48" s="3130"/>
      <c r="O48" s="3130"/>
    </row>
    <row r="49" spans="1:35" ht="25.5" hidden="1" customHeight="1">
      <c r="A49" s="176" t="s">
        <v>2189</v>
      </c>
      <c r="B49" s="3044" t="s">
        <v>2190</v>
      </c>
      <c r="C49" s="3044"/>
      <c r="D49" s="177">
        <v>0</v>
      </c>
      <c r="E49" s="22" t="s">
        <v>2191</v>
      </c>
      <c r="F49" s="27" t="s">
        <v>34</v>
      </c>
      <c r="G49" s="3114"/>
      <c r="H49" s="137"/>
      <c r="I49" s="2482"/>
      <c r="J49" s="1810">
        <v>4</v>
      </c>
      <c r="K49" s="3108" t="str">
        <f>IF(项目基本情况!E8="房地产抵押价值","房地产抵押价值","抵押担保权已注销时的房地产抵押价值")</f>
        <v>抵押担保权已注销时的房地产抵押价值</v>
      </c>
      <c r="L49" s="3108"/>
      <c r="M49" s="3130">
        <f ca="1">IF(项目基本情况!E8="房地产抵押价值",H107,H109)</f>
        <v>9531</v>
      </c>
      <c r="N49" s="3130"/>
      <c r="O49" s="3130"/>
    </row>
    <row r="50" spans="1:35" ht="25.5" hidden="1" customHeight="1">
      <c r="A50" s="178"/>
      <c r="B50" s="3044" t="s">
        <v>2192</v>
      </c>
      <c r="C50" s="3044"/>
      <c r="D50" s="179"/>
      <c r="E50" s="30"/>
      <c r="F50" s="180"/>
      <c r="G50" s="3115"/>
      <c r="H50" s="137"/>
      <c r="I50" s="2482"/>
      <c r="J50" s="3108" t="s">
        <v>2193</v>
      </c>
      <c r="K50" s="3108"/>
      <c r="L50" s="3108"/>
      <c r="M50" s="3108"/>
      <c r="N50" s="3108"/>
      <c r="O50" s="3108"/>
    </row>
    <row r="51" spans="1:35" ht="12" hidden="1" customHeight="1">
      <c r="A51" s="181"/>
      <c r="B51" s="3044" t="s">
        <v>2194</v>
      </c>
      <c r="C51" s="3044"/>
      <c r="D51" s="182"/>
      <c r="E51" s="29"/>
      <c r="F51" s="180"/>
      <c r="G51" s="3116"/>
      <c r="H51" s="137"/>
      <c r="I51" s="2482"/>
      <c r="J51" s="2483" t="s">
        <v>2195</v>
      </c>
      <c r="K51" s="3108" t="s">
        <v>2196</v>
      </c>
      <c r="L51" s="3108"/>
      <c r="M51" s="2483" t="s">
        <v>2197</v>
      </c>
      <c r="N51" s="2483" t="s">
        <v>2198</v>
      </c>
      <c r="O51" s="2483" t="s">
        <v>2199</v>
      </c>
    </row>
    <row r="52" spans="1:35" ht="24" hidden="1" customHeight="1">
      <c r="A52" s="183" t="s">
        <v>2200</v>
      </c>
      <c r="B52" s="3044" t="s">
        <v>2201</v>
      </c>
      <c r="C52" s="3044"/>
      <c r="D52" s="182">
        <f ca="1">ROUND(D45*'数据-取费表'!B41/(1+'数据-取费表'!C42),0)</f>
        <v>508</v>
      </c>
      <c r="E52" s="11" t="s">
        <v>2202</v>
      </c>
      <c r="F52" s="184">
        <f>'数据-取费表'!B41</f>
        <v>5.6000000000000001E-2</v>
      </c>
      <c r="G52" s="2484"/>
      <c r="H52" s="137"/>
      <c r="I52" s="2482"/>
      <c r="J52" s="1810">
        <v>1</v>
      </c>
      <c r="K52" s="3109" t="s">
        <v>2203</v>
      </c>
      <c r="L52" s="3109"/>
      <c r="M52" s="1752">
        <f>D48</f>
        <v>0</v>
      </c>
      <c r="N52" s="1810" t="str">
        <f>E48</f>
        <v>销售额×税（费）率</v>
      </c>
      <c r="O52" s="1753" t="str">
        <f>F48</f>
        <v>免征</v>
      </c>
    </row>
    <row r="53" spans="1:35" ht="12" hidden="1" customHeight="1">
      <c r="A53" s="183" t="s">
        <v>2204</v>
      </c>
      <c r="B53" s="3067" t="s">
        <v>2205</v>
      </c>
      <c r="C53" s="3068"/>
      <c r="D53" s="182">
        <f ca="1">ROUND(D45*'数据-取费表'!B41/(1+'数据-取费表'!C42),0)</f>
        <v>508</v>
      </c>
      <c r="E53" s="11" t="s">
        <v>2202</v>
      </c>
      <c r="F53" s="184">
        <f>'数据-取费表'!B41</f>
        <v>5.6000000000000001E-2</v>
      </c>
      <c r="G53" s="2484"/>
      <c r="H53" s="137"/>
      <c r="I53" s="2482"/>
      <c r="J53" s="1810">
        <v>2</v>
      </c>
      <c r="K53" s="3109" t="s">
        <v>2206</v>
      </c>
      <c r="L53" s="3109"/>
      <c r="M53" s="1752">
        <f t="shared" ref="M53:O54" ca="1" si="0">D55</f>
        <v>5</v>
      </c>
      <c r="N53" s="1810" t="str">
        <f t="shared" si="0"/>
        <v>销售额×税（费）率</v>
      </c>
      <c r="O53" s="1753">
        <f t="shared" si="0"/>
        <v>5.0000000000000001E-4</v>
      </c>
    </row>
    <row r="54" spans="1:35" ht="12" hidden="1" customHeight="1">
      <c r="A54" s="183" t="s">
        <v>2207</v>
      </c>
      <c r="B54" s="3067" t="s">
        <v>2208</v>
      </c>
      <c r="C54" s="3068"/>
      <c r="D54" s="182">
        <f ca="1">C68</f>
        <v>508</v>
      </c>
      <c r="E54" s="29" t="s">
        <v>2209</v>
      </c>
      <c r="F54" s="184">
        <f>'数据-取费表'!B41</f>
        <v>5.6000000000000001E-2</v>
      </c>
      <c r="G54" s="2484"/>
      <c r="H54" s="2485"/>
      <c r="I54" s="2482"/>
      <c r="J54" s="1810">
        <v>3</v>
      </c>
      <c r="K54" s="3109" t="s">
        <v>2210</v>
      </c>
      <c r="L54" s="3109"/>
      <c r="M54" s="1752">
        <f t="shared" ca="1" si="0"/>
        <v>5395</v>
      </c>
      <c r="N54" s="1810" t="str">
        <f t="shared" si="0"/>
        <v>增值额×税（费）率</v>
      </c>
      <c r="O54" s="1754" t="str">
        <f t="shared" si="0"/>
        <v>——</v>
      </c>
    </row>
    <row r="55" spans="1:35" ht="24" hidden="1" customHeight="1">
      <c r="A55" s="3058" t="s">
        <v>2211</v>
      </c>
      <c r="B55" s="3059"/>
      <c r="C55" s="3059"/>
      <c r="D55" s="185">
        <f ca="1">IF(H55="个人住宅",0,ROUND(D45*I55,0))</f>
        <v>5</v>
      </c>
      <c r="E55" s="11" t="s">
        <v>2212</v>
      </c>
      <c r="F55" s="184">
        <f>IF(H55="正常",I55,"免征")</f>
        <v>5.0000000000000001E-4</v>
      </c>
      <c r="G55" s="2484"/>
      <c r="H55" s="2481" t="s">
        <v>2213</v>
      </c>
      <c r="I55" s="186">
        <f>'数据-取费表'!B49</f>
        <v>5.0000000000000001E-4</v>
      </c>
      <c r="J55" s="1810" t="str">
        <f>IF(H59="非个人房产","",4)</f>
        <v/>
      </c>
      <c r="K55" s="3109" t="str">
        <f>IF(H59="非个人房产","——","个人所得税")</f>
        <v>——</v>
      </c>
      <c r="L55" s="3109"/>
      <c r="M55" s="1755" t="str">
        <f>D59</f>
        <v>——</v>
      </c>
      <c r="N55" s="1808" t="str">
        <f>E59</f>
        <v>——</v>
      </c>
      <c r="O55" s="1756" t="str">
        <f>F59</f>
        <v>——</v>
      </c>
    </row>
    <row r="56" spans="1:35" ht="24.75" hidden="1">
      <c r="A56" s="3058" t="s">
        <v>2214</v>
      </c>
      <c r="B56" s="3059"/>
      <c r="C56" s="3059"/>
      <c r="D56" s="185">
        <f ca="1">IF(H56="个人住宅",D57,D58)</f>
        <v>5395</v>
      </c>
      <c r="E56" s="11" t="s">
        <v>2215</v>
      </c>
      <c r="F56" s="184" t="str">
        <f>IF(H56="正常",F58,"免征")</f>
        <v>——</v>
      </c>
      <c r="G56" s="2486" t="s">
        <v>2216</v>
      </c>
      <c r="H56" s="2487" t="s">
        <v>2213</v>
      </c>
      <c r="I56" s="2488"/>
      <c r="J56" s="1810" t="str">
        <f>IF(项目基本情况!K6="上海银行",IF(J55="",4,J55+1),"")</f>
        <v/>
      </c>
      <c r="K56" s="3132" t="str">
        <f>IF(项目基本情况!K6="上海银行","其他处置费用","")</f>
        <v/>
      </c>
      <c r="L56" s="3133"/>
      <c r="M56" s="1752" t="str">
        <f>IF(项目基本情况!K6="上海银行",M69,"")</f>
        <v/>
      </c>
      <c r="N56" s="3135" t="str">
        <f>IF(项目基本情况!K6="上海银行","包含处置中涉及的律师、诉讼、拍卖、评估等费用","")</f>
        <v/>
      </c>
      <c r="O56" s="3136"/>
    </row>
    <row r="57" spans="1:35" ht="12.75" hidden="1">
      <c r="A57" s="183" t="s">
        <v>2189</v>
      </c>
      <c r="B57" s="3074" t="s">
        <v>2217</v>
      </c>
      <c r="C57" s="3083"/>
      <c r="D57" s="187">
        <v>0</v>
      </c>
      <c r="E57" s="22" t="s">
        <v>2191</v>
      </c>
      <c r="F57" s="155"/>
      <c r="G57" s="2484"/>
      <c r="H57" s="2488"/>
      <c r="I57" s="2488"/>
      <c r="J57" s="3109">
        <f>IF(AND(J55="",J56=""),4,IF(项目基本情况!K6="上海银行",结果表!J56+1,结果表!J55+1))</f>
        <v>4</v>
      </c>
      <c r="K57" s="3109" t="s">
        <v>2218</v>
      </c>
      <c r="L57" s="2489" t="s">
        <v>2219</v>
      </c>
      <c r="M57" s="1757"/>
      <c r="N57" s="1758">
        <f ca="1">SUMIF(M52:M56,"&lt;9e307")</f>
        <v>5400</v>
      </c>
      <c r="O57" s="2490"/>
      <c r="P57" s="1751">
        <f ca="1">N57/M49</f>
        <v>0.56657223796033995</v>
      </c>
    </row>
    <row r="58" spans="1:35" ht="24.75" hidden="1">
      <c r="A58" s="183" t="s">
        <v>2200</v>
      </c>
      <c r="B58" s="3074" t="s">
        <v>2220</v>
      </c>
      <c r="C58" s="3075"/>
      <c r="D58" s="185">
        <f ca="1">IF(H58="转让取得",C81,C97)</f>
        <v>5395</v>
      </c>
      <c r="E58" s="11" t="s">
        <v>2215</v>
      </c>
      <c r="F58" s="23" t="s">
        <v>34</v>
      </c>
      <c r="G58" s="2484"/>
      <c r="H58" s="2487" t="s">
        <v>2221</v>
      </c>
      <c r="I58" s="2488"/>
      <c r="J58" s="3109"/>
      <c r="K58" s="3109"/>
      <c r="L58" s="2489" t="s">
        <v>2222</v>
      </c>
      <c r="M58" s="1759"/>
      <c r="N58" s="2491" t="str">
        <f ca="1">NUMBERSTRING(INT(N57*10000),2)&amp;"元整"</f>
        <v>伍仟肆佰万元整</v>
      </c>
      <c r="O58" s="2492"/>
    </row>
    <row r="59" spans="1:35" ht="24.75" hidden="1" thickBot="1">
      <c r="A59" s="3112" t="s">
        <v>2223</v>
      </c>
      <c r="B59" s="3113"/>
      <c r="C59" s="3113"/>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110">
        <f>J57+1</f>
        <v>5</v>
      </c>
      <c r="K59" s="3109" t="s">
        <v>2225</v>
      </c>
      <c r="L59" s="1810" t="s">
        <v>2219</v>
      </c>
      <c r="M59" s="1760"/>
      <c r="N59" s="1761">
        <f ca="1">M49-N57</f>
        <v>4131</v>
      </c>
      <c r="O59" s="2494"/>
    </row>
    <row r="60" spans="1:35" ht="12" hidden="1" customHeight="1">
      <c r="A60" s="2495"/>
      <c r="B60" s="2417"/>
      <c r="C60" s="2417"/>
      <c r="D60" s="2417"/>
      <c r="E60" s="2166"/>
      <c r="F60" s="2488"/>
      <c r="G60" s="2488"/>
      <c r="H60" s="2496"/>
      <c r="I60" s="137"/>
      <c r="J60" s="3111"/>
      <c r="K60" s="3109"/>
      <c r="L60" s="2489" t="s">
        <v>2222</v>
      </c>
      <c r="M60" s="1759"/>
      <c r="N60" s="2491" t="str">
        <f ca="1">NUMBERSTRING(INT(N59*10000),2)&amp;"元整"</f>
        <v>肆仟壹佰叁拾壹万元整</v>
      </c>
      <c r="O60" s="2492"/>
    </row>
    <row r="61" spans="1:35" ht="13.5" hidden="1" thickBot="1">
      <c r="A61" s="3056" t="s">
        <v>2226</v>
      </c>
      <c r="B61" s="3056"/>
      <c r="C61" s="3056"/>
      <c r="D61" s="3056"/>
      <c r="E61" s="3056"/>
      <c r="F61" s="2488"/>
      <c r="G61" s="2488"/>
      <c r="H61" s="2496"/>
      <c r="I61" s="137"/>
      <c r="J61" s="1810">
        <f>J59+1</f>
        <v>6</v>
      </c>
      <c r="K61" s="3109" t="s">
        <v>2227</v>
      </c>
      <c r="L61" s="3109"/>
      <c r="M61" s="1762"/>
      <c r="N61" s="1763">
        <f ca="1">ROUND(N59*10000/'数据-汇总表'!E3,0)</f>
        <v>9965</v>
      </c>
      <c r="O61" s="2497"/>
    </row>
    <row r="62" spans="1:35" ht="12.75" hidden="1">
      <c r="A62" s="3072" t="s">
        <v>2228</v>
      </c>
      <c r="B62" s="3073"/>
      <c r="C62" s="1802"/>
      <c r="D62" s="1802" t="s">
        <v>2229</v>
      </c>
      <c r="E62" s="192" t="s">
        <v>2230</v>
      </c>
      <c r="F62" s="2488"/>
      <c r="G62" s="2488"/>
      <c r="H62" s="2496"/>
      <c r="I62" s="137"/>
    </row>
    <row r="63" spans="1:35" ht="12.75" hidden="1">
      <c r="A63" s="203" t="s">
        <v>775</v>
      </c>
      <c r="B63" s="193" t="s">
        <v>2231</v>
      </c>
      <c r="C63" s="194">
        <f ca="1">ROUND((C64+C65)/(1+'数据-取费表'!C42),0)</f>
        <v>9077</v>
      </c>
      <c r="D63" s="195"/>
      <c r="E63" s="196"/>
      <c r="F63" s="2488"/>
      <c r="G63" s="2488"/>
      <c r="H63" s="2496"/>
      <c r="I63" s="137"/>
      <c r="J63" s="3134" t="s">
        <v>2232</v>
      </c>
      <c r="K63" s="2498" t="s">
        <v>2233</v>
      </c>
      <c r="L63" s="1750">
        <f ca="1">IF(M49&gt;10000,M49*0.5%,IF(AND(M49&gt;1000,M49&lt;=10000),M49*1%,IF(AND(M49&gt;100,M49&lt;=1000),M49*3%,IF(AND(M49&gt;10,M49&lt;=100),M49*5%,M49*8%))))</f>
        <v>95.31</v>
      </c>
      <c r="M63" s="23">
        <f ca="1">ROUND(L63,1)</f>
        <v>95.3</v>
      </c>
      <c r="Z63" s="2422"/>
      <c r="AI63" s="2423"/>
    </row>
    <row r="64" spans="1:35" ht="14.25" hidden="1" customHeight="1">
      <c r="A64" s="197" t="s">
        <v>770</v>
      </c>
      <c r="B64" s="198" t="s">
        <v>2234</v>
      </c>
      <c r="C64" s="199">
        <f ca="1">D45</f>
        <v>9531</v>
      </c>
      <c r="D64" s="200" t="s">
        <v>32</v>
      </c>
      <c r="E64" s="201"/>
      <c r="F64" s="2488"/>
      <c r="G64" s="2488"/>
      <c r="H64" s="2496"/>
      <c r="I64" s="137"/>
      <c r="J64" s="3134"/>
      <c r="K64" s="2498" t="s">
        <v>2235</v>
      </c>
      <c r="L64" s="1750">
        <f ca="1">IF(M49&gt;2000,M49*0.5%,IF(AND(M49&gt;1000,M49&lt;=2000),M49*0.6%,IF(AND(M49&gt;500,M49&lt;=1000),M49*0.7%,IF(AND(M49&gt;200,M49&lt;=500),M49*0.8%,IF(AND(M49&gt;100,M49&lt;=200),M49*0.9%,IF(AND(M49&gt;50,M49&lt;=100),M49*1%,IF(AND(M49&gt;20,M49&lt;=50),M49*1.5%,IF(AND(M49&gt;10,M49&lt;=20),M49*2%,IF(AND(M49&gt;1,M49&lt;=10),M49*2.5%)))))))))</f>
        <v>47.655000000000001</v>
      </c>
      <c r="M64" s="23">
        <f t="shared" ref="M64:M65" ca="1" si="1">ROUND(L64,1)</f>
        <v>47.7</v>
      </c>
      <c r="N64" s="137" t="s">
        <v>2236</v>
      </c>
      <c r="Z64" s="2422"/>
      <c r="AI64" s="2423"/>
    </row>
    <row r="65" spans="1:35" ht="14.25" hidden="1" customHeight="1">
      <c r="A65" s="197" t="s">
        <v>771</v>
      </c>
      <c r="B65" s="198" t="s">
        <v>2237</v>
      </c>
      <c r="C65" s="202"/>
      <c r="D65" s="200"/>
      <c r="E65" s="201"/>
      <c r="F65" s="2488"/>
      <c r="G65" s="2488"/>
      <c r="H65" s="2496"/>
      <c r="I65" s="137"/>
      <c r="J65" s="3134"/>
      <c r="K65" s="2498" t="s">
        <v>2238</v>
      </c>
      <c r="L65" s="1750">
        <f ca="1">IF(M49&gt;1000,M49*0.1%,IF(AND(M49&gt;500,M49&lt;=1000),M49*0.5%,IF(AND(M49&gt;50,M49&lt;=500),M49*1%,IF(AND(M49&gt;1,M49&lt;=50),M49*1.5%))))</f>
        <v>9.5310000000000006</v>
      </c>
      <c r="M65" s="23">
        <f t="shared" ca="1" si="1"/>
        <v>9.5</v>
      </c>
      <c r="N65" s="137" t="s">
        <v>2236</v>
      </c>
      <c r="Z65" s="2422"/>
      <c r="AI65" s="2423"/>
    </row>
    <row r="66" spans="1:35" ht="14.25" hidden="1" customHeight="1">
      <c r="A66" s="203" t="s">
        <v>772</v>
      </c>
      <c r="B66" s="204" t="s">
        <v>2239</v>
      </c>
      <c r="C66" s="205"/>
      <c r="D66" s="206" t="s">
        <v>32</v>
      </c>
      <c r="E66" s="1774" t="s">
        <v>1372</v>
      </c>
      <c r="F66" s="2488"/>
      <c r="G66" s="2488"/>
      <c r="H66" s="2496"/>
      <c r="I66" s="137"/>
      <c r="J66" s="3134"/>
      <c r="K66" s="2498" t="s">
        <v>2240</v>
      </c>
      <c r="L66" s="1750">
        <f ca="1">M49*0.5%</f>
        <v>47.655000000000001</v>
      </c>
      <c r="M66" s="23">
        <f ca="1">IF(L66&gt;0.5,0.5,ROUND(L66,0))</f>
        <v>0.5</v>
      </c>
      <c r="N66" s="137" t="s">
        <v>2241</v>
      </c>
      <c r="Z66" s="2422"/>
      <c r="AI66" s="2423"/>
    </row>
    <row r="67" spans="1:35" ht="14.25" hidden="1" customHeight="1">
      <c r="A67" s="203" t="s">
        <v>773</v>
      </c>
      <c r="B67" s="204" t="s">
        <v>2242</v>
      </c>
      <c r="C67" s="207">
        <f ca="1">C63-C66</f>
        <v>9077</v>
      </c>
      <c r="D67" s="200" t="s">
        <v>32</v>
      </c>
      <c r="E67" s="201"/>
      <c r="F67" s="2488"/>
      <c r="G67" s="2488"/>
      <c r="H67" s="2496"/>
      <c r="I67" s="137"/>
      <c r="J67" s="3134"/>
      <c r="K67" s="2498" t="s">
        <v>2243</v>
      </c>
      <c r="L67" s="1750">
        <f ca="1">IF(M49&gt;=10000,(8.25+(M49-10000)*0.01%),IF(AND(M49&gt;=8000,M49&lt;10000),(7.85+(M49-8000)*0.02%),IF(AND(M49&gt;=5000,M49&lt;8000),(6.65+(M49-5000)*0.04%),IF(AND(M49&gt;=2000,M49&lt;5000),(4.25+(PM49-2000)*0.08%),IF(AND(M49&gt;=1000,M49&lt;2000),(2.75+(M49-1000)*0.15%),IF(AND(M49&gt;=100,M49&lt;1000),(0.5+(M49-100)*0.25%),IF(AND(M49&gt;0,M49&lt;100),M49*0.5%)))))))</f>
        <v>8.1562000000000001</v>
      </c>
      <c r="M67" s="23">
        <f ca="1">ROUND(L67*0.9,1)</f>
        <v>7.3</v>
      </c>
      <c r="Z67" s="2422"/>
      <c r="AI67" s="2423"/>
    </row>
    <row r="68" spans="1:35" ht="14.25" hidden="1" customHeight="1" thickBot="1">
      <c r="A68" s="208" t="s">
        <v>774</v>
      </c>
      <c r="B68" s="209" t="s">
        <v>2244</v>
      </c>
      <c r="C68" s="210">
        <f ca="1">IF(C67&lt;=0,0,ROUND(C67*D68,0))</f>
        <v>508</v>
      </c>
      <c r="D68" s="211">
        <f>'数据-取费表'!B41</f>
        <v>5.6000000000000001E-2</v>
      </c>
      <c r="E68" s="212"/>
      <c r="F68" s="2488"/>
      <c r="G68" s="2488"/>
      <c r="H68" s="2496"/>
      <c r="I68" s="137"/>
      <c r="J68" s="3134"/>
      <c r="K68" s="2498" t="s">
        <v>2245</v>
      </c>
      <c r="L68" s="1750">
        <f ca="1">IF(M49&gt;10000,M49*0.5%,IF(AND(M49&gt;5000,M49&lt;=10000),M49*1%,IF(AND(M49&gt;1000,M49&lt;=5000),M49*2%,IF(AND(M49&gt;200,M49&lt;=1000),M49*3%,M49*5%))))</f>
        <v>95.31</v>
      </c>
      <c r="M68" s="23">
        <f ca="1">ROUND(L68,1)</f>
        <v>95.3</v>
      </c>
      <c r="Z68" s="2422"/>
      <c r="AI68" s="2423"/>
    </row>
    <row r="69" spans="1:35" s="2445" customFormat="1" ht="16.5" hidden="1" customHeight="1">
      <c r="A69" s="2499"/>
      <c r="B69" s="2500"/>
      <c r="C69" s="2501"/>
      <c r="D69" s="2502"/>
      <c r="E69" s="2503"/>
      <c r="F69" s="2166"/>
      <c r="G69" s="2166"/>
      <c r="H69" s="2165"/>
      <c r="I69" s="2417"/>
      <c r="J69" s="3134"/>
      <c r="K69" s="2498" t="s">
        <v>2246</v>
      </c>
      <c r="L69" s="2504"/>
      <c r="M69" s="23">
        <f ca="1">ROUND(SUM(M63:M68),0)</f>
        <v>256</v>
      </c>
      <c r="N69" s="1751">
        <f ca="1">M69/M49</f>
        <v>2.6859720910712412E-2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093" t="s">
        <v>2247</v>
      </c>
      <c r="B70" s="3094"/>
      <c r="C70" s="3094"/>
      <c r="D70" s="3094"/>
      <c r="E70" s="3094"/>
      <c r="F70" s="3094"/>
      <c r="G70" s="3094"/>
      <c r="H70" s="309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072" t="s">
        <v>2228</v>
      </c>
      <c r="B71" s="3073"/>
      <c r="C71" s="1802"/>
      <c r="D71" s="1802"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9077</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54</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067" t="s">
        <v>2256</v>
      </c>
      <c r="F76" s="3044"/>
      <c r="G76" s="3044"/>
      <c r="H76" s="309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2" t="s">
        <v>2259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54</v>
      </c>
      <c r="D78" s="226">
        <f>'数据-取费表'!B43</f>
        <v>6.000000000000001E-3</v>
      </c>
      <c r="E78" s="3053" t="s">
        <v>2261</v>
      </c>
      <c r="F78" s="3054"/>
      <c r="G78" s="3054"/>
      <c r="H78" s="306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9023</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167.09259259259258</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5395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093" t="s">
        <v>2265</v>
      </c>
      <c r="B83" s="3094"/>
      <c r="C83" s="3094"/>
      <c r="D83" s="3094"/>
      <c r="E83" s="3094"/>
      <c r="F83" s="3094"/>
      <c r="G83" s="3094"/>
      <c r="H83" s="309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072" t="s">
        <v>2228</v>
      </c>
      <c r="B84" s="3073"/>
      <c r="C84" s="1802"/>
      <c r="D84" s="1802"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9077</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54</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798"/>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4.0500000000000001E-2</v>
      </c>
      <c r="E89" s="237" t="s">
        <v>2270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053" t="s">
        <v>2274</v>
      </c>
      <c r="F91" s="3054"/>
      <c r="G91" s="3054"/>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053" t="s">
        <v>2278</v>
      </c>
      <c r="F92" s="3054"/>
      <c r="G92" s="3054"/>
      <c r="H92" s="306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54</v>
      </c>
      <c r="D93" s="226">
        <f>'数据-取费表'!B43</f>
        <v>6.000000000000001E-3</v>
      </c>
      <c r="E93" s="3053" t="s">
        <v>2261</v>
      </c>
      <c r="F93" s="3054"/>
      <c r="G93" s="3054"/>
      <c r="H93" s="306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064" t="s">
        <v>2282</v>
      </c>
      <c r="F94" s="3065"/>
      <c r="G94" s="3065"/>
      <c r="H94" s="306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9023</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167.09259259259258</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5395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2283</v>
      </c>
      <c r="B99" s="2417"/>
      <c r="C99" s="2417"/>
      <c r="D99" s="2417"/>
      <c r="E99" s="2166"/>
      <c r="F99" s="2166"/>
      <c r="G99" s="2166"/>
      <c r="H99" s="2165"/>
      <c r="I99" s="137"/>
    </row>
    <row r="100" spans="1:35" ht="18.75" customHeight="1">
      <c r="A100" s="3038" t="s">
        <v>2284</v>
      </c>
      <c r="B100" s="3039"/>
      <c r="C100" s="3039"/>
      <c r="D100" s="3055"/>
      <c r="E100" s="3039" t="s">
        <v>2285</v>
      </c>
      <c r="F100" s="3039"/>
      <c r="G100" s="3039"/>
      <c r="H100" s="3055"/>
      <c r="I100" s="137"/>
    </row>
    <row r="101" spans="1:35" ht="18.75" customHeight="1">
      <c r="A101" s="3117" t="s">
        <v>2286</v>
      </c>
      <c r="B101" s="3118"/>
      <c r="C101" s="734" t="str">
        <f>C4</f>
        <v>典型户型修正</v>
      </c>
      <c r="D101" s="735" t="str">
        <f>D4</f>
        <v>收益法</v>
      </c>
      <c r="E101" s="3131" t="s">
        <v>2287</v>
      </c>
      <c r="F101" s="3085"/>
      <c r="G101" s="2519" t="s">
        <v>2288</v>
      </c>
      <c r="H101" s="1046">
        <f ca="1">H118</f>
        <v>9531</v>
      </c>
      <c r="I101" s="137"/>
    </row>
    <row r="102" spans="1:35" ht="18.75" customHeight="1">
      <c r="A102" s="3087" t="s">
        <v>2289</v>
      </c>
      <c r="B102" s="2519" t="s">
        <v>2288</v>
      </c>
      <c r="C102" s="734">
        <f ca="1">C19</f>
        <v>11129</v>
      </c>
      <c r="D102" s="735">
        <f ca="1">D19</f>
        <v>7133</v>
      </c>
      <c r="E102" s="3131"/>
      <c r="F102" s="3085"/>
      <c r="G102" s="2519" t="s">
        <v>2290</v>
      </c>
      <c r="H102" s="371">
        <f ca="1">I118</f>
        <v>22991</v>
      </c>
      <c r="I102" s="137"/>
    </row>
    <row r="103" spans="1:35" ht="42.75" customHeight="1">
      <c r="A103" s="3087"/>
      <c r="B103" s="2519" t="s">
        <v>2290</v>
      </c>
      <c r="C103" s="736">
        <f ca="1">C20</f>
        <v>26846</v>
      </c>
      <c r="D103" s="737">
        <f ca="1">D20</f>
        <v>17206</v>
      </c>
      <c r="E103" s="3126" t="s">
        <v>3170</v>
      </c>
      <c r="F103" s="3127"/>
      <c r="G103" s="2520" t="s">
        <v>2291</v>
      </c>
      <c r="H103" s="1046">
        <f>IF(D36="正常操作",H104+H105+H106,H105+H106)</f>
        <v>0</v>
      </c>
      <c r="I103" s="137"/>
    </row>
    <row r="104" spans="1:35" ht="18.75" customHeight="1">
      <c r="A104" s="3087" t="s">
        <v>2292</v>
      </c>
      <c r="B104" s="2521" t="s">
        <v>2288</v>
      </c>
      <c r="C104" s="738">
        <f ca="1">H118</f>
        <v>9531</v>
      </c>
      <c r="D104" s="739"/>
      <c r="E104" s="2267" t="s">
        <v>2293</v>
      </c>
      <c r="F104" s="2258"/>
      <c r="G104" s="2520" t="s">
        <v>2291</v>
      </c>
      <c r="H104" s="1047">
        <f>IF(D36="同一抵押权人同一抵押物续贷",C36&amp;"（未扣减，详见特别提示）",C36)</f>
        <v>8000</v>
      </c>
      <c r="I104" s="137"/>
    </row>
    <row r="105" spans="1:35" ht="18.75" customHeight="1" thickBot="1">
      <c r="A105" s="3088"/>
      <c r="B105" s="2522" t="s">
        <v>2290</v>
      </c>
      <c r="C105" s="740">
        <f ca="1">I118</f>
        <v>22991</v>
      </c>
      <c r="D105" s="741"/>
      <c r="E105" s="2267" t="s">
        <v>2294</v>
      </c>
      <c r="F105" s="2258"/>
      <c r="G105" s="2520" t="s">
        <v>2291</v>
      </c>
      <c r="H105" s="1047">
        <f>C37</f>
        <v>0</v>
      </c>
      <c r="I105" s="137"/>
    </row>
    <row r="106" spans="1:35" ht="18.75" customHeight="1">
      <c r="A106" s="2417" t="s">
        <v>2295</v>
      </c>
      <c r="B106" s="2417"/>
      <c r="C106" s="2417"/>
      <c r="D106" s="2417"/>
      <c r="E106" s="2523" t="s">
        <v>2296</v>
      </c>
      <c r="F106" s="2258"/>
      <c r="G106" s="2520" t="s">
        <v>2291</v>
      </c>
      <c r="H106" s="1047">
        <f>C38</f>
        <v>0</v>
      </c>
      <c r="I106" s="137"/>
    </row>
    <row r="107" spans="1:35" ht="18.75" hidden="1" customHeight="1">
      <c r="A107" s="137"/>
      <c r="B107" s="137"/>
      <c r="C107" s="137"/>
      <c r="D107" s="137"/>
      <c r="E107" s="3084" t="str">
        <f>IF(项目基本情况!E8="已注销","——","3.房地产抵押价值")</f>
        <v>——</v>
      </c>
      <c r="F107" s="3085"/>
      <c r="G107" s="2519" t="s">
        <v>2288</v>
      </c>
      <c r="H107" s="1046" t="str">
        <f>IF(E107="——","——",H101-H103)</f>
        <v>——</v>
      </c>
      <c r="I107" s="137"/>
    </row>
    <row r="108" spans="1:35" ht="18.75" hidden="1" customHeight="1">
      <c r="A108" s="137"/>
      <c r="B108" s="137"/>
      <c r="C108" s="137"/>
      <c r="D108" s="137"/>
      <c r="E108" s="3084"/>
      <c r="F108" s="3085"/>
      <c r="G108" s="2519" t="s">
        <v>2290</v>
      </c>
      <c r="H108" s="371" t="e">
        <f>ROUND(H107*10000/'数据-汇总表'!E3,0)</f>
        <v>#VALUE!</v>
      </c>
      <c r="I108" s="137"/>
    </row>
    <row r="109" spans="1:35" ht="18.75" customHeight="1">
      <c r="A109" s="137"/>
      <c r="B109" s="137"/>
      <c r="C109" s="137"/>
      <c r="D109" s="137"/>
      <c r="E109" s="3084" t="str">
        <f>IF(项目基本情况!E8="已注销及未注销","4.抵押担保权已注销时的房地产抵押价值",IF(项目基本情况!E8="已注销","3.抵押担保权已注销时的房地产抵押价值","——"))</f>
        <v>3.抵押担保权已注销时的房地产抵押价值</v>
      </c>
      <c r="F109" s="3085"/>
      <c r="G109" s="2519" t="s">
        <v>2288</v>
      </c>
      <c r="H109" s="348">
        <f ca="1">IF(E109="——","——",H101-H105-H106)</f>
        <v>9531</v>
      </c>
      <c r="I109" s="137"/>
    </row>
    <row r="110" spans="1:35" ht="18.75" customHeight="1" thickBot="1">
      <c r="A110" s="137"/>
      <c r="B110" s="137"/>
      <c r="C110" s="137"/>
      <c r="D110" s="137"/>
      <c r="E110" s="3084"/>
      <c r="F110" s="3085"/>
      <c r="G110" s="2519" t="s">
        <v>2290</v>
      </c>
      <c r="H110" s="371">
        <f ca="1">IF(H109="——","——",ROUND(H109*10000/'数据-汇总表'!E3,0))</f>
        <v>22991</v>
      </c>
      <c r="I110" s="137"/>
    </row>
    <row r="111" spans="1:35" ht="18.75" hidden="1" customHeight="1">
      <c r="A111" s="137"/>
      <c r="B111" s="137"/>
      <c r="C111" s="137"/>
      <c r="D111" s="137"/>
      <c r="E111" s="3119" t="str">
        <f>IF(项目基本情况!E9="抵押净值",IF(OR(项目基本情况!E8="已注销",项目基本情况!E8="房地产抵押价值"),"4.抵押净值","5.抵押净值"),"——")</f>
        <v>——</v>
      </c>
      <c r="F111" s="3120"/>
      <c r="G111" s="2519" t="s">
        <v>2288</v>
      </c>
      <c r="H111" s="1046" t="str">
        <f>IF(E111="——","——",N59)</f>
        <v>——</v>
      </c>
      <c r="I111" s="137"/>
    </row>
    <row r="112" spans="1:35" ht="18.75" hidden="1" customHeight="1" thickBot="1">
      <c r="A112" s="137"/>
      <c r="B112" s="137"/>
      <c r="C112" s="137"/>
      <c r="D112" s="137"/>
      <c r="E112" s="3121"/>
      <c r="F112" s="3122"/>
      <c r="G112" s="2524" t="s">
        <v>2290</v>
      </c>
      <c r="H112" s="788" t="str">
        <f>IF(E111="——","——",N61)</f>
        <v>——</v>
      </c>
      <c r="I112" s="137"/>
    </row>
    <row r="113" spans="1:11" ht="18.75" customHeight="1">
      <c r="A113" s="137"/>
      <c r="B113" s="137"/>
      <c r="C113" s="137"/>
      <c r="D113" s="137"/>
      <c r="E113" s="3089" t="s">
        <v>2295</v>
      </c>
      <c r="F113" s="3089"/>
      <c r="G113" s="3089"/>
      <c r="H113" s="3089"/>
      <c r="I113" s="137"/>
    </row>
    <row r="114" spans="1:11" ht="3.75" customHeight="1">
      <c r="A114" s="2417"/>
      <c r="B114" s="2417"/>
      <c r="C114" s="2417"/>
      <c r="D114" s="2417"/>
      <c r="E114" s="2495"/>
      <c r="F114" s="2495"/>
      <c r="G114" s="2495"/>
      <c r="H114" s="2495"/>
      <c r="I114" s="2417"/>
    </row>
    <row r="115" spans="1:11" ht="18.75" customHeight="1">
      <c r="A115" s="3102" t="s">
        <v>2297</v>
      </c>
      <c r="B115" s="3103"/>
      <c r="C115" s="3103"/>
      <c r="D115" s="3103"/>
      <c r="E115" s="3103"/>
      <c r="F115" s="3103"/>
      <c r="G115" s="3103"/>
      <c r="H115" s="3103"/>
      <c r="I115" s="3104"/>
    </row>
    <row r="116" spans="1:11" ht="27" customHeight="1">
      <c r="A116" s="2998" t="s">
        <v>2298</v>
      </c>
      <c r="B116" s="3090" t="s">
        <v>3085</v>
      </c>
      <c r="C116" s="3090" t="s">
        <v>3086</v>
      </c>
      <c r="D116" s="3106" t="s">
        <v>2299</v>
      </c>
      <c r="E116" s="3107"/>
      <c r="F116" s="3098" t="s">
        <v>3087</v>
      </c>
      <c r="G116" s="3098"/>
      <c r="H116" s="2998" t="s">
        <v>2300</v>
      </c>
      <c r="I116" s="2998"/>
    </row>
    <row r="117" spans="1:11" ht="18.75" customHeight="1">
      <c r="A117" s="2998"/>
      <c r="B117" s="3091"/>
      <c r="C117" s="3091"/>
      <c r="D117" s="1796" t="s">
        <v>2301</v>
      </c>
      <c r="E117" s="1796" t="s">
        <v>2302</v>
      </c>
      <c r="F117" s="1796" t="s">
        <v>2301</v>
      </c>
      <c r="G117" s="1796" t="s">
        <v>2303</v>
      </c>
      <c r="H117" s="1796" t="s">
        <v>2301</v>
      </c>
      <c r="I117" s="1796" t="s">
        <v>2303</v>
      </c>
    </row>
    <row r="118" spans="1:11" ht="24.75" customHeight="1">
      <c r="A118" s="2525" t="str">
        <f>项目基本情况!S2</f>
        <v>河北省廊坊市三河市燕郊开发区迎宾南路东侧、南城大街南侧天洋城4代商业·荷塘月色时尚街区S9号楼房地产</v>
      </c>
      <c r="B118" s="1796">
        <f>M18</f>
        <v>4145.53</v>
      </c>
      <c r="C118" s="1796">
        <f>M19</f>
        <v>6541.77</v>
      </c>
      <c r="D118" s="1796">
        <f ca="1">ROUND(IF(D32="总价",C34,E118*B118/10000),0)</f>
        <v>8312</v>
      </c>
      <c r="E118" s="1796">
        <f ca="1">ROUND(IF(C33="自定义",IF(D32="楼面单价",C34,D118*10000/B118),I118-G118),0)</f>
        <v>20051</v>
      </c>
      <c r="F118" s="1796">
        <f ca="1">ROUND(IF(D32="总价",C35,G118*B118/10000),0)</f>
        <v>1219</v>
      </c>
      <c r="G118" s="1796">
        <f ca="1">ROUND(IF(D32="楼面单价",C35,F118*10000/B118),0)</f>
        <v>2941</v>
      </c>
      <c r="H118" s="1796">
        <f ca="1">ROUND(IF(D32="总价",C32,I118*B118/10000),0)</f>
        <v>9531</v>
      </c>
      <c r="I118" s="1796">
        <f ca="1">ROUND(IF(D32="楼面单价",C32,H118*10000/B118),0)</f>
        <v>22991</v>
      </c>
    </row>
    <row r="119" spans="1:11" ht="18.75" customHeight="1">
      <c r="A119" s="2998" t="s">
        <v>2304</v>
      </c>
      <c r="B119" s="2998"/>
      <c r="C119" s="2998"/>
      <c r="D119" s="3095" t="str">
        <f ca="1">NUMBERSTRING(INT(D118*10000),2)&amp;"元整"</f>
        <v>捌仟叁佰壹拾贰万元整</v>
      </c>
      <c r="E119" s="3097"/>
      <c r="F119" s="3095" t="str">
        <f ca="1">NUMBERSTRING(INT(F118*10000),2)&amp;"元整"</f>
        <v>壹仟贰佰壹拾玖万元整</v>
      </c>
      <c r="G119" s="3097"/>
      <c r="H119" s="3095" t="str">
        <f ca="1">NUMBERSTRING(INT(H118*10000),2)&amp;"元整"</f>
        <v>玖仟伍佰叁拾壹万元整</v>
      </c>
      <c r="I119" s="3097"/>
    </row>
    <row r="120" spans="1:11" ht="18.75" customHeight="1">
      <c r="A120" s="3123" t="str">
        <f>IF(项目基本情况!B9="房地产市场价值","",MID(E103,3,LEN(E103)-2))</f>
        <v>估价师知悉的除抵押担保权以外的法定优先受偿款</v>
      </c>
      <c r="B120" s="3124"/>
      <c r="C120" s="3125"/>
      <c r="D120" s="3123">
        <f>H103</f>
        <v>0</v>
      </c>
      <c r="E120" s="3124"/>
      <c r="F120" s="3124"/>
      <c r="G120" s="3124"/>
      <c r="H120" s="3124"/>
      <c r="I120" s="3125"/>
      <c r="K120" s="2422" t="str">
        <f>IF(D120=0,"故，本次评估不存在"&amp;A120,"故，本次评估"&amp;A120&amp;"为人民币"&amp;D120&amp;"万元整。")</f>
        <v>故，本次评估不存在估价师知悉的除抵押担保权以外的法定优先受偿款</v>
      </c>
    </row>
    <row r="121" spans="1:11" ht="18.75" customHeight="1">
      <c r="A121" s="3099" t="s">
        <v>2304</v>
      </c>
      <c r="B121" s="3100"/>
      <c r="C121" s="3101"/>
      <c r="D121" s="3095" t="str">
        <f>IF(D120=0,"零元整",NUMBERSTRING(INT(D120*10000),2)&amp;"元整")</f>
        <v>零元整</v>
      </c>
      <c r="E121" s="3096"/>
      <c r="F121" s="3096"/>
      <c r="G121" s="3096"/>
      <c r="H121" s="3096"/>
      <c r="I121" s="3097"/>
    </row>
    <row r="122" spans="1:11" ht="18.75" hidden="1" customHeight="1">
      <c r="A122" s="3086" t="str">
        <f>IF(项目基本情况!B9="房地产市场价值","",MID(E107,3,LEN(E107)-2))</f>
        <v/>
      </c>
      <c r="B122" s="3086"/>
      <c r="C122" s="3086"/>
      <c r="D122" s="3123" t="str">
        <f>H107</f>
        <v>——</v>
      </c>
      <c r="E122" s="3124"/>
      <c r="F122" s="3124"/>
      <c r="G122" s="3124"/>
      <c r="H122" s="3124"/>
      <c r="I122" s="3125"/>
    </row>
    <row r="123" spans="1:11" ht="18.75" hidden="1" customHeight="1">
      <c r="A123" s="2998" t="s">
        <v>2304</v>
      </c>
      <c r="B123" s="2998"/>
      <c r="C123" s="2998"/>
      <c r="D123" s="3095" t="e">
        <f>NUMBERSTRING(INT(D122*10000),2)&amp;"元整"</f>
        <v>#VALUE!</v>
      </c>
      <c r="E123" s="3096"/>
      <c r="F123" s="3096"/>
      <c r="G123" s="3096"/>
      <c r="H123" s="3096"/>
      <c r="I123" s="3097"/>
    </row>
    <row r="124" spans="1:11" ht="18.75" customHeight="1">
      <c r="A124" s="3086" t="str">
        <f>IF(项目基本情况!B9="房地产市场价值","",MID(E109,3,LEN(E109)-2))</f>
        <v>抵押担保权已注销时的房地产抵押价值</v>
      </c>
      <c r="B124" s="3086"/>
      <c r="C124" s="3086"/>
      <c r="D124" s="3123">
        <f ca="1">H109</f>
        <v>9531</v>
      </c>
      <c r="E124" s="3124"/>
      <c r="F124" s="3124"/>
      <c r="G124" s="3124"/>
      <c r="H124" s="3124"/>
      <c r="I124" s="3125"/>
    </row>
    <row r="125" spans="1:11" ht="18.75" customHeight="1">
      <c r="A125" s="2998" t="s">
        <v>2304</v>
      </c>
      <c r="B125" s="2998"/>
      <c r="C125" s="2998"/>
      <c r="D125" s="3095" t="str">
        <f ca="1">NUMBERSTRING(INT(D124*10000),2)&amp;"元整"</f>
        <v>玖仟伍佰叁拾壹万元整</v>
      </c>
      <c r="E125" s="3096"/>
      <c r="F125" s="3096"/>
      <c r="G125" s="3096"/>
      <c r="H125" s="3096"/>
      <c r="I125" s="3097"/>
    </row>
    <row r="126" spans="1:11" ht="18.75" hidden="1" customHeight="1">
      <c r="A126" s="3086" t="str">
        <f>IF(项目基本情况!B9="房地产市场价值","",MID(E111,3,LEN(E111)-2))</f>
        <v/>
      </c>
      <c r="B126" s="3086"/>
      <c r="C126" s="3086"/>
      <c r="D126" s="3123" t="str">
        <f>H111</f>
        <v>——</v>
      </c>
      <c r="E126" s="3124"/>
      <c r="F126" s="3124"/>
      <c r="G126" s="3124"/>
      <c r="H126" s="3124"/>
      <c r="I126" s="3125"/>
    </row>
    <row r="127" spans="1:11" ht="18.75" hidden="1" customHeight="1">
      <c r="A127" s="2998" t="s">
        <v>2304</v>
      </c>
      <c r="B127" s="2998"/>
      <c r="C127" s="2998"/>
      <c r="D127" s="3095" t="e">
        <f>NUMBERSTRING(INT(D126*10000),2)&amp;"元整"</f>
        <v>#VALUE!</v>
      </c>
      <c r="E127" s="3096"/>
      <c r="F127" s="3096"/>
      <c r="G127" s="3096"/>
      <c r="H127" s="3096"/>
      <c r="I127" s="3097"/>
    </row>
    <row r="128" spans="1:11" ht="21.75" customHeight="1">
      <c r="A128" s="3105" t="s">
        <v>2305</v>
      </c>
      <c r="B128" s="3105"/>
      <c r="C128" s="3105"/>
      <c r="D128" s="3105"/>
      <c r="E128" s="3105"/>
      <c r="F128" s="3105"/>
      <c r="G128" s="3105"/>
      <c r="H128" s="3105"/>
      <c r="I128" s="3105"/>
    </row>
    <row r="129" spans="1:35" ht="21.75" customHeight="1">
      <c r="A129" s="2526" t="s">
        <v>2306</v>
      </c>
      <c r="B129" s="2527"/>
      <c r="C129" s="2528" t="s">
        <v>3088</v>
      </c>
      <c r="D129" s="2529"/>
      <c r="E129" s="2529"/>
      <c r="F129" s="2529"/>
      <c r="G129" s="2529"/>
      <c r="H129" s="2530"/>
      <c r="I129" s="2531"/>
    </row>
    <row r="130" spans="1:35" ht="21.75" hidden="1" customHeight="1">
      <c r="A130" s="2532" t="s">
        <v>3150</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2307</v>
      </c>
      <c r="G135" s="2543" t="s">
        <v>3089</v>
      </c>
      <c r="H135" s="2543"/>
      <c r="I135" s="2544" t="s">
        <v>3151</v>
      </c>
    </row>
    <row r="136" spans="1:35" ht="21.75" customHeight="1">
      <c r="A136" s="793"/>
      <c r="B136" s="2545" t="s">
        <v>2308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3090</v>
      </c>
    </row>
    <row r="139" spans="1:35" ht="21.75" customHeight="1">
      <c r="A139" s="793"/>
      <c r="B139" s="2545" t="s">
        <v>2309</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3090</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2310</v>
      </c>
      <c r="B1" s="1938"/>
      <c r="C1" s="242"/>
      <c r="D1" s="242"/>
      <c r="E1" s="242"/>
      <c r="F1" s="242"/>
      <c r="G1" s="1379">
        <f>MATCH(B1,'数据-取费表'!A6:A16,0)+5</f>
        <v>7</v>
      </c>
    </row>
    <row r="2" spans="1:9" s="244" customFormat="1" ht="18" customHeight="1">
      <c r="A2" s="245" t="s">
        <v>2311</v>
      </c>
      <c r="B2" s="246">
        <f ca="1">IF(D2="——",C52,C52-E2)</f>
        <v>1334</v>
      </c>
      <c r="C2" s="243" t="s">
        <v>2312</v>
      </c>
      <c r="D2" s="2548" t="s">
        <v>70</v>
      </c>
      <c r="E2" s="1440" t="e">
        <f ca="1">SUMIF(INDIRECT("'"&amp;G2&amp;"'"&amp;"!A:A"),"承租人权益价值",INDIRECT("'"&amp;G2&amp;"'"&amp;"!c:c"))</f>
        <v>#REF!</v>
      </c>
      <c r="F2" s="2549" t="s">
        <v>2312</v>
      </c>
      <c r="G2" s="2550"/>
    </row>
    <row r="3" spans="1:9" s="244" customFormat="1" ht="18" customHeight="1" thickBot="1">
      <c r="A3" s="247" t="s">
        <v>2313</v>
      </c>
      <c r="B3" s="248">
        <f ca="1">ROUND(B2*10000/(IF(B1="",'数据-汇总表'!E3,INDIRECT("'数据-取费表'!k"&amp;$G$1))),0)</f>
        <v>3218</v>
      </c>
      <c r="C3" s="243" t="s">
        <v>2314</v>
      </c>
      <c r="D3" s="243"/>
      <c r="E3" s="243"/>
      <c r="F3" s="243"/>
      <c r="G3" s="243"/>
    </row>
    <row r="4" spans="1:9" s="252" customFormat="1" ht="15.75">
      <c r="A4" s="249" t="s">
        <v>2315</v>
      </c>
      <c r="B4" s="250"/>
      <c r="C4" s="250"/>
      <c r="D4" s="250"/>
      <c r="E4" s="250"/>
      <c r="F4" s="250"/>
      <c r="G4" s="251"/>
    </row>
    <row r="5" spans="1:9" s="258" customFormat="1" ht="13.5" customHeight="1">
      <c r="A5" s="299" t="s">
        <v>2316</v>
      </c>
      <c r="B5" s="254" t="s">
        <v>2317</v>
      </c>
      <c r="C5" s="255">
        <f>C6+C7+C8</f>
        <v>0</v>
      </c>
      <c r="D5" s="255" t="s">
        <v>2318</v>
      </c>
      <c r="E5" s="256" t="s">
        <v>2319</v>
      </c>
      <c r="F5" s="256" t="s">
        <v>2320</v>
      </c>
      <c r="G5" s="257"/>
    </row>
    <row r="6" spans="1:9" s="258" customFormat="1" ht="13.5" customHeight="1">
      <c r="A6" s="950" t="s">
        <v>2321</v>
      </c>
      <c r="B6" s="259" t="s">
        <v>2322</v>
      </c>
      <c r="C6" s="260"/>
      <c r="D6" s="261"/>
      <c r="E6" s="262"/>
      <c r="F6" s="262"/>
      <c r="G6" s="263"/>
    </row>
    <row r="7" spans="1:9" s="258" customFormat="1" ht="13.5" customHeight="1">
      <c r="A7" s="950" t="s">
        <v>2323</v>
      </c>
      <c r="B7" s="259" t="s">
        <v>2324</v>
      </c>
      <c r="C7" s="264">
        <f>ROUND(C6*F7,0)</f>
        <v>0</v>
      </c>
      <c r="D7" s="264"/>
      <c r="E7" s="262"/>
      <c r="F7" s="265">
        <f>'数据-取费表'!B48+'数据-取费表'!B49</f>
        <v>4.0500000000000001E-2</v>
      </c>
      <c r="G7" s="263"/>
    </row>
    <row r="8" spans="1:9" s="267" customFormat="1">
      <c r="A8" s="950" t="s">
        <v>2325</v>
      </c>
      <c r="B8" s="259" t="s">
        <v>2326</v>
      </c>
      <c r="C8" s="264">
        <f>IF(G8="已包含在土地购买价格中","0",IF(B1="",'数据-取费表'!B29,IF(G9="全部缴纳",C9+C10,H9)))</f>
        <v>0</v>
      </c>
      <c r="D8" s="266"/>
      <c r="E8" s="264"/>
      <c r="F8" s="265"/>
      <c r="G8" s="2551"/>
    </row>
    <row r="9" spans="1:9" s="258" customFormat="1" ht="13.5" customHeight="1">
      <c r="A9" s="951" t="s">
        <v>800</v>
      </c>
      <c r="B9" s="268" t="s">
        <v>2327</v>
      </c>
      <c r="C9" s="269">
        <f ca="1">ROUND(D9*E9/10000,0)</f>
        <v>0</v>
      </c>
      <c r="D9" s="1033">
        <f ca="1">IF(B1="",'数据-汇总表'!E5,IF(INDIRECT("'数据-取费表'!c"&amp;$G$1)="住宅",INDIRECT("'数据-取费表'!k"&amp;$G$1),0))</f>
        <v>0</v>
      </c>
      <c r="E9" s="269">
        <f>'数据-取费表'!B27</f>
        <v>0</v>
      </c>
      <c r="F9" s="265"/>
      <c r="G9" s="2552"/>
      <c r="H9" s="1390"/>
      <c r="I9" s="2553" t="s">
        <v>2328</v>
      </c>
    </row>
    <row r="10" spans="1:9" s="258" customFormat="1" ht="13.5" customHeight="1">
      <c r="A10" s="951" t="s">
        <v>801</v>
      </c>
      <c r="B10" s="268" t="s">
        <v>2329</v>
      </c>
      <c r="C10" s="269">
        <f ca="1">ROUND(D10*E10/10000,0)</f>
        <v>0</v>
      </c>
      <c r="D10" s="1033">
        <f ca="1">IF(B1="",'数据-汇总表'!E6,IF(INDIRECT("'数据-取费表'!c"&amp;$G$1)="住宅",INDIRECT("'数据-取费表'!s"&amp;$G$1),INDIRECT("'数据-取费表'!k"&amp;$G$1)+INDIRECT("'数据-取费表'!s"&amp;$G$1)))</f>
        <v>4145.53</v>
      </c>
      <c r="E10" s="269">
        <f>'数据-取费表'!B28</f>
        <v>0</v>
      </c>
      <c r="F10" s="265"/>
      <c r="G10" s="270"/>
    </row>
    <row r="11" spans="1:9" s="258" customFormat="1" ht="13.5" hidden="1" customHeight="1">
      <c r="A11" s="271" t="s">
        <v>7</v>
      </c>
      <c r="B11" s="259" t="s">
        <v>2330</v>
      </c>
      <c r="C11" s="255"/>
      <c r="D11" s="1035"/>
      <c r="E11" s="262"/>
      <c r="F11" s="262"/>
      <c r="G11" s="263"/>
    </row>
    <row r="12" spans="1:9" s="258" customFormat="1" ht="13.5" hidden="1" customHeight="1">
      <c r="A12" s="271" t="s">
        <v>8</v>
      </c>
      <c r="B12" s="259" t="s">
        <v>2331</v>
      </c>
      <c r="C12" s="255">
        <v>0</v>
      </c>
      <c r="D12" s="1035"/>
      <c r="E12" s="272"/>
      <c r="F12" s="265">
        <v>3.0499999999999999E-2</v>
      </c>
      <c r="G12" s="263"/>
    </row>
    <row r="13" spans="1:9" s="258" customFormat="1" ht="13.5" hidden="1" customHeight="1">
      <c r="A13" s="271" t="s">
        <v>9</v>
      </c>
      <c r="B13" s="259" t="s">
        <v>2332</v>
      </c>
      <c r="C13" s="255"/>
      <c r="D13" s="1035"/>
      <c r="E13" s="262"/>
      <c r="F13" s="262"/>
      <c r="G13" s="263"/>
    </row>
    <row r="14" spans="1:9" s="258" customFormat="1" ht="13.5" hidden="1" customHeight="1">
      <c r="A14" s="271" t="s">
        <v>10</v>
      </c>
      <c r="B14" s="259" t="s">
        <v>2333</v>
      </c>
      <c r="C14" s="255"/>
      <c r="D14" s="1035"/>
      <c r="E14" s="262"/>
      <c r="F14" s="262"/>
      <c r="G14" s="263" t="s">
        <v>2334</v>
      </c>
    </row>
    <row r="15" spans="1:9" s="258" customFormat="1" ht="13.5" hidden="1" customHeight="1">
      <c r="A15" s="271" t="s">
        <v>11</v>
      </c>
      <c r="B15" s="259" t="s">
        <v>2335</v>
      </c>
      <c r="C15" s="264"/>
      <c r="D15" s="1035"/>
      <c r="E15" s="262"/>
      <c r="F15" s="262"/>
      <c r="G15" s="263" t="s">
        <v>2336</v>
      </c>
    </row>
    <row r="16" spans="1:9" s="258" customFormat="1" ht="13.5" hidden="1" customHeight="1">
      <c r="A16" s="271" t="s">
        <v>12</v>
      </c>
      <c r="B16" s="259" t="s">
        <v>2333</v>
      </c>
      <c r="C16" s="264"/>
      <c r="D16" s="1035"/>
      <c r="E16" s="262"/>
      <c r="F16" s="262"/>
      <c r="G16" s="263"/>
    </row>
    <row r="17" spans="1:7" s="258" customFormat="1" ht="13.5" hidden="1" customHeight="1">
      <c r="A17" s="271" t="s">
        <v>13</v>
      </c>
      <c r="B17" s="259" t="s">
        <v>2337</v>
      </c>
      <c r="C17" s="273"/>
      <c r="D17" s="1036"/>
      <c r="E17" s="273"/>
      <c r="F17" s="273"/>
      <c r="G17" s="263" t="s">
        <v>2336</v>
      </c>
    </row>
    <row r="18" spans="1:7" s="258" customFormat="1" ht="13.5" hidden="1" customHeight="1">
      <c r="A18" s="271" t="s">
        <v>14</v>
      </c>
      <c r="B18" s="259" t="s">
        <v>2338</v>
      </c>
      <c r="C18" s="264">
        <v>0</v>
      </c>
      <c r="D18" s="1035"/>
      <c r="E18" s="262"/>
      <c r="F18" s="265">
        <v>3.0499999999999999E-2</v>
      </c>
      <c r="G18" s="263" t="s">
        <v>2339</v>
      </c>
    </row>
    <row r="19" spans="1:7" s="267" customFormat="1" ht="13.5" customHeight="1">
      <c r="A19" s="299" t="s">
        <v>2340</v>
      </c>
      <c r="B19" s="254" t="s">
        <v>2341</v>
      </c>
      <c r="C19" s="255">
        <f ca="1">IF(G19="已包含在土地取得成本中","0",ROUND(D19*E19/10000,0))</f>
        <v>83</v>
      </c>
      <c r="D19" s="1037">
        <f ca="1">D9+D10</f>
        <v>4145.53</v>
      </c>
      <c r="E19" s="255">
        <f>'数据-取费表'!B31</f>
        <v>200</v>
      </c>
      <c r="F19" s="275"/>
      <c r="G19" s="2551"/>
    </row>
    <row r="20" spans="1:7" s="258" customFormat="1" ht="13.5" customHeight="1">
      <c r="A20" s="299" t="s">
        <v>2342</v>
      </c>
      <c r="B20" s="254" t="s">
        <v>2343</v>
      </c>
      <c r="C20" s="276">
        <f ca="1">ROUND((C5+C19)*F20,0)</f>
        <v>2</v>
      </c>
      <c r="D20" s="276"/>
      <c r="E20" s="276"/>
      <c r="F20" s="277">
        <f>'数据-取费表'!B37</f>
        <v>0.02</v>
      </c>
      <c r="G20" s="278" t="s">
        <v>2344</v>
      </c>
    </row>
    <row r="21" spans="1:7" s="258" customFormat="1" ht="13.5" customHeight="1">
      <c r="A21" s="299" t="s">
        <v>2345</v>
      </c>
      <c r="B21" s="254" t="s">
        <v>2346</v>
      </c>
      <c r="C21" s="279">
        <f>F21</f>
        <v>0.02</v>
      </c>
      <c r="D21" s="280" t="s">
        <v>2347</v>
      </c>
      <c r="E21" s="276"/>
      <c r="F21" s="277">
        <f>'数据-取费表'!B38</f>
        <v>0.02</v>
      </c>
      <c r="G21" s="278" t="s">
        <v>2348</v>
      </c>
    </row>
    <row r="22" spans="1:7" s="258" customFormat="1" ht="13.5" customHeight="1">
      <c r="A22" s="299" t="s">
        <v>2349</v>
      </c>
      <c r="B22" s="254" t="s">
        <v>2350</v>
      </c>
      <c r="C22" s="1354">
        <f ca="1">ROUND(SUM(C23:C25),0)</f>
        <v>4</v>
      </c>
      <c r="D22" s="279">
        <f ca="1">C26</f>
        <v>4.0000000000000002E-4</v>
      </c>
      <c r="E22" s="280" t="s">
        <v>2347</v>
      </c>
      <c r="F22" s="281">
        <f ca="1">'数据-取费表'!B40</f>
        <v>4.3499999999999997E-2</v>
      </c>
      <c r="G22" s="278" t="str">
        <f>IF('数据-取费表'!B22&lt;=1,"单利计息","复利计息")</f>
        <v>单利计息</v>
      </c>
    </row>
    <row r="23" spans="1:7" s="258" customFormat="1" ht="13.5" customHeight="1">
      <c r="A23" s="952" t="s">
        <v>2351</v>
      </c>
      <c r="B23" s="259" t="s">
        <v>2352</v>
      </c>
      <c r="C23" s="1355">
        <f ca="1">ROUND(IF('数据-取费表'!B22&lt;=1,C5*F22*'数据-取费表'!B23,C5*(POWER((1+F22),'数据-取费表'!B23)-1)),0)</f>
        <v>0</v>
      </c>
      <c r="D23" s="282"/>
      <c r="E23" s="282"/>
      <c r="F23" s="283"/>
      <c r="G23" s="284" t="s">
        <v>2353</v>
      </c>
    </row>
    <row r="24" spans="1:7" s="258" customFormat="1" ht="13.5" customHeight="1">
      <c r="A24" s="952" t="s">
        <v>2354</v>
      </c>
      <c r="B24" s="259" t="s">
        <v>2355</v>
      </c>
      <c r="C24" s="1355">
        <f ca="1">ROUND(IF('数据-取费表'!B22&lt;=1,C19*F22*('数据-取费表'!B19/2+'数据-取费表'!B21),C19*(POWER((1+F22),('数据-取费表'!B19/2+'数据-取费表'!B21))-1)),0)</f>
        <v>4</v>
      </c>
      <c r="D24" s="282"/>
      <c r="E24" s="282"/>
      <c r="F24" s="283"/>
      <c r="G24" s="284" t="s">
        <v>2356</v>
      </c>
    </row>
    <row r="25" spans="1:7" s="258" customFormat="1" ht="24">
      <c r="A25" s="952" t="s">
        <v>2357</v>
      </c>
      <c r="B25" s="259" t="s">
        <v>2358</v>
      </c>
      <c r="C25" s="1355">
        <f ca="1">ROUND(IF('数据-取费表'!B22&lt;=1,C20*F22*'数据-取费表'!B23/2,C20*(POWER((1+F22),'数据-取费表'!B23/2)-1)),0)</f>
        <v>0</v>
      </c>
      <c r="D25" s="282"/>
      <c r="E25" s="285"/>
      <c r="F25" s="283"/>
      <c r="G25" s="286" t="s">
        <v>2359</v>
      </c>
    </row>
    <row r="26" spans="1:7" s="258" customFormat="1">
      <c r="A26" s="952" t="s">
        <v>795</v>
      </c>
      <c r="B26" s="259" t="s">
        <v>2360</v>
      </c>
      <c r="C26" s="282">
        <f ca="1">ROUND(IF('数据-取费表'!B22&lt;=1,F21*F22*'数据-取费表'!B23/2,F21*(POWER((1+F22),'数据-取费表'!B23/2)-1)),4)</f>
        <v>4.0000000000000002E-4</v>
      </c>
      <c r="D26" s="282"/>
      <c r="E26" s="285"/>
      <c r="F26" s="283"/>
      <c r="G26" s="287"/>
    </row>
    <row r="27" spans="1:7" s="258" customFormat="1" ht="24.75">
      <c r="A27" s="299" t="s">
        <v>2361</v>
      </c>
      <c r="B27" s="288" t="s">
        <v>2362</v>
      </c>
      <c r="C27" s="289">
        <f ca="1">C28</f>
        <v>17</v>
      </c>
      <c r="D27" s="279">
        <f ca="1">C29</f>
        <v>4.0000000000000001E-3</v>
      </c>
      <c r="E27" s="280" t="s">
        <v>2363</v>
      </c>
      <c r="F27" s="290">
        <f ca="1">IF(B1="",'数据-取费表'!Q16,INDIRECT("'数据-取费表'!q"&amp;$G$1))</f>
        <v>0.2</v>
      </c>
      <c r="G27" s="291" t="s">
        <v>2364</v>
      </c>
    </row>
    <row r="28" spans="1:7" s="258" customFormat="1" ht="13.5" customHeight="1">
      <c r="A28" s="952" t="s">
        <v>791</v>
      </c>
      <c r="B28" s="292" t="s">
        <v>2365</v>
      </c>
      <c r="C28" s="293">
        <f ca="1">ROUND((C5+C19+C20)*F27*'数据-取费表'!B21/'数据-取费表'!B20,0)</f>
        <v>17</v>
      </c>
      <c r="D28" s="279"/>
      <c r="E28" s="280"/>
      <c r="F28" s="290"/>
      <c r="G28" s="291"/>
    </row>
    <row r="29" spans="1:7" s="258" customFormat="1" ht="13.5" customHeight="1">
      <c r="A29" s="952" t="s">
        <v>792</v>
      </c>
      <c r="B29" s="292" t="s">
        <v>2366</v>
      </c>
      <c r="C29" s="282">
        <f ca="1">ROUND(C21*F27*'数据-取费表'!B21/'数据-取费表'!B20,4)</f>
        <v>4.0000000000000001E-3</v>
      </c>
      <c r="D29" s="279"/>
      <c r="E29" s="280"/>
      <c r="F29" s="290"/>
      <c r="G29" s="291"/>
    </row>
    <row r="30" spans="1:7" s="258" customFormat="1" ht="13.5" customHeight="1">
      <c r="A30" s="299" t="s">
        <v>2367</v>
      </c>
      <c r="B30" s="254" t="s">
        <v>2368</v>
      </c>
      <c r="C30" s="279">
        <f>ROUND(F30/(1+'数据-取费表'!C42),4)</f>
        <v>5.33E-2</v>
      </c>
      <c r="D30" s="280" t="s">
        <v>2363</v>
      </c>
      <c r="E30" s="285"/>
      <c r="F30" s="281">
        <f>'数据-取费表'!B41</f>
        <v>5.6000000000000001E-2</v>
      </c>
      <c r="G30" s="278" t="s">
        <v>2369</v>
      </c>
    </row>
    <row r="31" spans="1:7" ht="16.5" customHeight="1">
      <c r="A31" s="253">
        <v>1</v>
      </c>
      <c r="B31" s="254" t="s">
        <v>2370</v>
      </c>
      <c r="C31" s="255">
        <f ca="1">ROUND((C5+C19+C20+C22+C27)/(1-C21-D22-D27-C30),0)</f>
        <v>115</v>
      </c>
      <c r="D31" s="274"/>
      <c r="E31" s="255"/>
      <c r="F31" s="294"/>
      <c r="G31" s="278" t="s">
        <v>2371</v>
      </c>
    </row>
    <row r="32" spans="1:7" s="252" customFormat="1" ht="15.75">
      <c r="A32" s="296" t="s">
        <v>2372</v>
      </c>
      <c r="B32" s="297"/>
      <c r="C32" s="297"/>
      <c r="D32" s="297"/>
      <c r="E32" s="297"/>
      <c r="F32" s="297"/>
      <c r="G32" s="298"/>
    </row>
    <row r="33" spans="1:7" s="258" customFormat="1" ht="13.5" customHeight="1">
      <c r="A33" s="299" t="s">
        <v>782</v>
      </c>
      <c r="B33" s="254" t="s">
        <v>2373</v>
      </c>
      <c r="C33" s="300">
        <f ca="1">SUM(C34:C38)</f>
        <v>949</v>
      </c>
      <c r="D33" s="276"/>
      <c r="E33" s="256"/>
      <c r="F33" s="285"/>
      <c r="G33" s="278"/>
    </row>
    <row r="34" spans="1:7" s="302" customFormat="1" ht="13.5" customHeight="1">
      <c r="A34" s="952" t="s">
        <v>791</v>
      </c>
      <c r="B34" s="259" t="s">
        <v>2374</v>
      </c>
      <c r="C34" s="264">
        <f ca="1">IF(B1="",IF(F34=100%,'数据-取费表'!M16,'数据-取费表'!O16),IF(F34=100%,INDIRECT("'数据-取费表'!m"&amp;$G$1)+INDIRECT("'数据-取费表'!t"&amp;$G$1),INDIRECT("'数据-取费表'!o"&amp;$G$1)+INDIRECT("'数据-取费表'!aq"&amp;$G$1)))</f>
        <v>829</v>
      </c>
      <c r="D34" s="261"/>
      <c r="E34" s="264"/>
      <c r="F34" s="301">
        <f ca="1">IF('数据-取费表'!B24=0,1,IF(B1="",'数据-取费表'!N16,INDIRECT("'数据-取费表'!n"&amp;$G$1)))</f>
        <v>1</v>
      </c>
      <c r="G34" s="263" t="s">
        <v>2375</v>
      </c>
    </row>
    <row r="35" spans="1:7" ht="13.5" customHeight="1">
      <c r="A35" s="952" t="s">
        <v>796</v>
      </c>
      <c r="B35" s="259" t="s">
        <v>2376</v>
      </c>
      <c r="C35" s="264">
        <f ca="1">ROUND(C34*F35,0)</f>
        <v>25</v>
      </c>
      <c r="D35" s="264"/>
      <c r="E35" s="264"/>
      <c r="F35" s="303">
        <f>'数据-取费表'!B33</f>
        <v>0.03</v>
      </c>
      <c r="G35" s="263" t="s">
        <v>2377</v>
      </c>
    </row>
    <row r="36" spans="1:7" ht="24">
      <c r="A36" s="952" t="s">
        <v>797</v>
      </c>
      <c r="B36" s="259" t="s">
        <v>2378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2379</v>
      </c>
    </row>
    <row r="37" spans="1:7" s="302" customFormat="1" ht="13.5" customHeight="1">
      <c r="A37" s="952" t="s">
        <v>798</v>
      </c>
      <c r="B37" s="259" t="s">
        <v>2380</v>
      </c>
      <c r="C37" s="293">
        <f ca="1">ROUND(E37*D37*F34/10000,0)</f>
        <v>83</v>
      </c>
      <c r="D37" s="261">
        <f ca="1">D19</f>
        <v>4145.53</v>
      </c>
      <c r="E37" s="293">
        <f>'数据-取费表'!B35</f>
        <v>200</v>
      </c>
      <c r="F37" s="303"/>
      <c r="G37" s="305" t="s">
        <v>2381</v>
      </c>
    </row>
    <row r="38" spans="1:7" ht="13.5" customHeight="1">
      <c r="A38" s="952" t="s">
        <v>799</v>
      </c>
      <c r="B38" s="259" t="s">
        <v>2382</v>
      </c>
      <c r="C38" s="264">
        <f ca="1">ROUND(C34*F38,0)</f>
        <v>12</v>
      </c>
      <c r="D38" s="264"/>
      <c r="E38" s="264"/>
      <c r="F38" s="303">
        <f>'数据-取费表'!B36</f>
        <v>1.4999999999999999E-2</v>
      </c>
      <c r="G38" s="263" t="s">
        <v>2377</v>
      </c>
    </row>
    <row r="39" spans="1:7" s="258" customFormat="1" ht="13.5" customHeight="1">
      <c r="A39" s="299" t="s">
        <v>2383</v>
      </c>
      <c r="B39" s="254" t="s">
        <v>2384</v>
      </c>
      <c r="C39" s="276">
        <f ca="1">ROUND(C33*F20,0)</f>
        <v>19</v>
      </c>
      <c r="D39" s="276"/>
      <c r="E39" s="276"/>
      <c r="F39" s="277"/>
      <c r="G39" s="278" t="s">
        <v>2385</v>
      </c>
    </row>
    <row r="40" spans="1:7" s="258" customFormat="1" ht="13.5" customHeight="1">
      <c r="A40" s="299" t="s">
        <v>2386</v>
      </c>
      <c r="B40" s="254" t="s">
        <v>2387</v>
      </c>
      <c r="C40" s="1729">
        <f>F21</f>
        <v>0.02</v>
      </c>
      <c r="D40" s="280" t="s">
        <v>2388</v>
      </c>
      <c r="E40" s="276"/>
      <c r="F40" s="277"/>
      <c r="G40" s="278" t="s">
        <v>2389</v>
      </c>
    </row>
    <row r="41" spans="1:7" s="258" customFormat="1" ht="13.5" customHeight="1">
      <c r="A41" s="299" t="s">
        <v>2390</v>
      </c>
      <c r="B41" s="254" t="s">
        <v>2391</v>
      </c>
      <c r="C41" s="276">
        <f ca="1">ROUND(SUM(C42:C43),0)</f>
        <v>21</v>
      </c>
      <c r="D41" s="279">
        <f ca="1">C44</f>
        <v>4.0000000000000002E-4</v>
      </c>
      <c r="E41" s="280" t="s">
        <v>2388</v>
      </c>
      <c r="F41" s="281"/>
      <c r="G41" s="278" t="str">
        <f>IF('数据-取费表'!B22&lt;=1,"单利计息","复利计息")</f>
        <v>单利计息</v>
      </c>
    </row>
    <row r="42" spans="1:7" ht="13.5" customHeight="1">
      <c r="A42" s="952" t="s">
        <v>791</v>
      </c>
      <c r="B42" s="259" t="s">
        <v>2392</v>
      </c>
      <c r="C42" s="282">
        <f ca="1">ROUND(IF('数据-取费表'!B22&lt;=1,C33*F22*'数据-取费表'!B21/2,C33*(POWER((1+F22),'数据-取费表'!B21/2)-1)),0)</f>
        <v>21</v>
      </c>
      <c r="D42" s="282"/>
      <c r="E42" s="282"/>
      <c r="F42" s="283"/>
      <c r="G42" s="3137" t="s">
        <v>2393</v>
      </c>
    </row>
    <row r="43" spans="1:7" ht="13.5" customHeight="1">
      <c r="A43" s="952" t="s">
        <v>792</v>
      </c>
      <c r="B43" s="259" t="s">
        <v>2394</v>
      </c>
      <c r="C43" s="282">
        <f ca="1">ROUND(IF('数据-取费表'!B22&lt;=1,C39*F22*'数据-取费表'!B21/2,C39*(POWER((1+F22),'数据-取费表'!B21/2)-1)),0)</f>
        <v>0</v>
      </c>
      <c r="D43" s="282"/>
      <c r="E43" s="282"/>
      <c r="F43" s="283"/>
      <c r="G43" s="3138"/>
    </row>
    <row r="44" spans="1:7" ht="13.5" customHeight="1">
      <c r="A44" s="952" t="s">
        <v>793</v>
      </c>
      <c r="B44" s="259" t="s">
        <v>2395</v>
      </c>
      <c r="C44" s="282">
        <f ca="1">ROUND(IF('数据-取费表'!B22&lt;=1,C40*F22*'数据-取费表'!B21/2,C40*(POWER((1+F22),'数据-取费表'!B21/2)-1)),4)</f>
        <v>4.0000000000000002E-4</v>
      </c>
      <c r="D44" s="282"/>
      <c r="E44" s="282"/>
      <c r="F44" s="283"/>
      <c r="G44" s="3139"/>
    </row>
    <row r="45" spans="1:7" s="258" customFormat="1" ht="13.5" customHeight="1">
      <c r="A45" s="299" t="s">
        <v>2396</v>
      </c>
      <c r="B45" s="288" t="s">
        <v>2362</v>
      </c>
      <c r="C45" s="289">
        <f ca="1">C46</f>
        <v>194</v>
      </c>
      <c r="D45" s="279">
        <f ca="1">C47</f>
        <v>4.0000000000000001E-3</v>
      </c>
      <c r="E45" s="280" t="s">
        <v>2388</v>
      </c>
      <c r="F45" s="290"/>
      <c r="G45" s="291" t="s">
        <v>2397</v>
      </c>
    </row>
    <row r="46" spans="1:7" s="258" customFormat="1" ht="13.5" customHeight="1">
      <c r="A46" s="952" t="s">
        <v>791</v>
      </c>
      <c r="B46" s="292" t="s">
        <v>2398</v>
      </c>
      <c r="C46" s="293">
        <f ca="1">ROUND((C33+C39)*F27,0)</f>
        <v>194</v>
      </c>
      <c r="D46" s="307"/>
      <c r="E46" s="280"/>
      <c r="F46" s="290"/>
      <c r="G46" s="291"/>
    </row>
    <row r="47" spans="1:7" s="258" customFormat="1" ht="13.5" customHeight="1">
      <c r="A47" s="952" t="s">
        <v>792</v>
      </c>
      <c r="B47" s="292" t="s">
        <v>2399</v>
      </c>
      <c r="C47" s="282">
        <f ca="1">ROUND(C40*F27,4)</f>
        <v>4.0000000000000001E-3</v>
      </c>
      <c r="D47" s="307"/>
      <c r="E47" s="280"/>
      <c r="F47" s="290"/>
      <c r="G47" s="291"/>
    </row>
    <row r="48" spans="1:7" s="258" customFormat="1" ht="13.5" customHeight="1">
      <c r="A48" s="299" t="s">
        <v>2361</v>
      </c>
      <c r="B48" s="254" t="s">
        <v>2400</v>
      </c>
      <c r="C48" s="1729">
        <f>ROUND(F30/(1+'数据-取费表'!C42),4)</f>
        <v>5.33E-2</v>
      </c>
      <c r="D48" s="280" t="s">
        <v>2388</v>
      </c>
      <c r="E48" s="276"/>
      <c r="F48" s="281"/>
      <c r="G48" s="278" t="s">
        <v>2401</v>
      </c>
    </row>
    <row r="49" spans="1:7" ht="16.5" customHeight="1">
      <c r="A49" s="299" t="s">
        <v>2367</v>
      </c>
      <c r="B49" s="254" t="s">
        <v>2402</v>
      </c>
      <c r="C49" s="276">
        <f ca="1">ROUND((C33+C39+C41+C45)/(1-C40-D41-D45-C48),0)</f>
        <v>1283</v>
      </c>
      <c r="D49" s="276"/>
      <c r="E49" s="276"/>
      <c r="F49" s="308"/>
      <c r="G49" s="278" t="s">
        <v>2403</v>
      </c>
    </row>
    <row r="50" spans="1:7" s="302" customFormat="1" ht="24">
      <c r="A50" s="299" t="s">
        <v>2404</v>
      </c>
      <c r="B50" s="254" t="s">
        <v>2405</v>
      </c>
      <c r="C50" s="276"/>
      <c r="D50" s="276"/>
      <c r="E50" s="276"/>
      <c r="F50" s="308">
        <f>IF('数据-取费表'!B24=0,'数据-取费表'!N16,1)</f>
        <v>0.95</v>
      </c>
      <c r="G50" s="291" t="s">
        <v>2406</v>
      </c>
    </row>
    <row r="51" spans="1:7" ht="16.5" customHeight="1">
      <c r="A51" s="299" t="s">
        <v>2407</v>
      </c>
      <c r="B51" s="254" t="s">
        <v>2408</v>
      </c>
      <c r="C51" s="276">
        <f ca="1">ROUND(C49*F50,0)</f>
        <v>1219</v>
      </c>
      <c r="D51" s="276"/>
      <c r="E51" s="276"/>
      <c r="F51" s="308"/>
      <c r="G51" s="278" t="s">
        <v>2409</v>
      </c>
    </row>
    <row r="52" spans="1:7" s="252" customFormat="1" ht="16.5" thickBot="1">
      <c r="A52" s="309" t="s">
        <v>2410</v>
      </c>
      <c r="B52" s="310"/>
      <c r="C52" s="311">
        <f ca="1">C31+C51</f>
        <v>1334</v>
      </c>
      <c r="D52" s="310"/>
      <c r="E52" s="310"/>
      <c r="F52" s="310"/>
      <c r="G52" s="312"/>
    </row>
    <row r="55" spans="1:7" ht="15">
      <c r="B55" s="314" t="s">
        <v>2411</v>
      </c>
      <c r="C55" s="315"/>
    </row>
    <row r="56" spans="1:7">
      <c r="B56" s="317" t="s">
        <v>1515</v>
      </c>
      <c r="C56" s="319">
        <f ca="1">1-C57</f>
        <v>8.5999999999999965E-2</v>
      </c>
    </row>
    <row r="57" spans="1:7">
      <c r="B57" s="317" t="s">
        <v>1516</v>
      </c>
      <c r="C57" s="318">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4" t="str">
        <f>项目基本情况!B1</f>
        <v>河北省廊坊市三河市燕郊开发区迎宾南路东侧、南城大街南侧天洋城4代商业·荷塘月色时尚街区S9号楼房地产抵押价值预评估</v>
      </c>
      <c r="C37" s="2954"/>
      <c r="D37" s="2954"/>
      <c r="E37" s="2954"/>
      <c r="F37" s="2954"/>
      <c r="G37" s="2954"/>
      <c r="H37" s="2954"/>
      <c r="I37" s="2954"/>
    </row>
    <row r="38" spans="1:9">
      <c r="A38" s="1017"/>
      <c r="B38" s="1017"/>
    </row>
    <row r="39" spans="1:9">
      <c r="A39" s="1015" t="s">
        <v>818</v>
      </c>
      <c r="B39" s="1015" t="s">
        <v>820</v>
      </c>
    </row>
    <row r="40" spans="1:9">
      <c r="A40" s="1015"/>
      <c r="B40" s="1943" t="str">
        <f>项目基本情况!B5</f>
        <v>三河天洋城房地产开发有限公司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康正预评字2017-1-1008-F02DYGJ1号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2310</v>
      </c>
      <c r="B1" s="1938"/>
      <c r="C1" s="2554" t="s">
        <v>2412</v>
      </c>
      <c r="D1" s="242"/>
      <c r="E1" s="242"/>
      <c r="F1" s="242"/>
      <c r="G1" s="1379">
        <f>MATCH(B1,'数据-取费表'!A6:A16,0)+5</f>
        <v>7</v>
      </c>
      <c r="H1" s="1282" t="str">
        <f>IF(ISERROR(FIND("住宅",B1)),"非住宅","住宅")</f>
        <v>非住宅</v>
      </c>
    </row>
    <row r="2" spans="1:8" s="244" customFormat="1" ht="18" customHeight="1">
      <c r="A2" s="245" t="s">
        <v>2311</v>
      </c>
      <c r="B2" s="246">
        <f ca="1">ROUND(IF(D2="——",C52/10000,C52/10000-E2),0)</f>
        <v>1333</v>
      </c>
      <c r="C2" s="243" t="s">
        <v>2312</v>
      </c>
      <c r="D2" s="2548" t="s">
        <v>70</v>
      </c>
      <c r="E2" s="1440" t="e">
        <f ca="1">SUMIF(INDIRECT("'"&amp;G2&amp;"'"&amp;"!A:A"),"承租人权益价值",INDIRECT("'"&amp;G2&amp;"'"&amp;"!c:c"))</f>
        <v>#REF!</v>
      </c>
      <c r="F2" s="2549" t="s">
        <v>2312</v>
      </c>
      <c r="G2" s="2550"/>
    </row>
    <row r="3" spans="1:8" s="244" customFormat="1" ht="18" customHeight="1" thickBot="1">
      <c r="A3" s="247" t="s">
        <v>2313</v>
      </c>
      <c r="B3" s="248">
        <f ca="1">ROUND(B2*10000/(IF(B1="",'数据-汇总表'!E3,INDIRECT("'数据-取费表'!k"&amp;$G$1))),0)</f>
        <v>3216</v>
      </c>
      <c r="C3" s="243" t="s">
        <v>2314</v>
      </c>
      <c r="D3" s="243"/>
      <c r="E3" s="243"/>
      <c r="F3" s="243"/>
      <c r="G3" s="243"/>
    </row>
    <row r="4" spans="1:8" s="252" customFormat="1" ht="15.75">
      <c r="A4" s="249" t="s">
        <v>2315</v>
      </c>
      <c r="B4" s="250"/>
      <c r="C4" s="250"/>
      <c r="D4" s="250"/>
      <c r="E4" s="250"/>
      <c r="F4" s="250"/>
      <c r="G4" s="251"/>
    </row>
    <row r="5" spans="1:8" s="258" customFormat="1" ht="13.5" customHeight="1">
      <c r="A5" s="299" t="s">
        <v>2316</v>
      </c>
      <c r="B5" s="254" t="s">
        <v>2317</v>
      </c>
      <c r="C5" s="255">
        <f ca="1">C6+C7+C8</f>
        <v>0</v>
      </c>
      <c r="D5" s="255" t="s">
        <v>2318</v>
      </c>
      <c r="E5" s="256" t="s">
        <v>2319</v>
      </c>
      <c r="F5" s="256" t="s">
        <v>2320</v>
      </c>
      <c r="G5" s="257"/>
    </row>
    <row r="6" spans="1:8" s="258" customFormat="1" ht="13.5" customHeight="1">
      <c r="A6" s="950" t="s">
        <v>2321</v>
      </c>
      <c r="B6" s="259" t="s">
        <v>2322</v>
      </c>
      <c r="C6" s="260"/>
      <c r="D6" s="261"/>
      <c r="E6" s="262"/>
      <c r="F6" s="262"/>
      <c r="G6" s="263"/>
    </row>
    <row r="7" spans="1:8" s="258" customFormat="1" ht="13.5" customHeight="1">
      <c r="A7" s="950" t="s">
        <v>2323</v>
      </c>
      <c r="B7" s="259" t="s">
        <v>2324</v>
      </c>
      <c r="C7" s="264">
        <f>ROUND(C6*F7,0)</f>
        <v>0</v>
      </c>
      <c r="D7" s="264"/>
      <c r="E7" s="262"/>
      <c r="F7" s="265">
        <f>'数据-取费表'!B48+'数据-取费表'!B49</f>
        <v>4.0500000000000001E-2</v>
      </c>
      <c r="G7" s="263"/>
    </row>
    <row r="8" spans="1:8" s="267" customFormat="1">
      <c r="A8" s="950" t="s">
        <v>2325</v>
      </c>
      <c r="B8" s="259" t="s">
        <v>2326</v>
      </c>
      <c r="C8" s="264">
        <f ca="1">IF(G8="已包含在土地购买价格中",0,C9+C10)</f>
        <v>0</v>
      </c>
      <c r="D8" s="266"/>
      <c r="E8" s="264"/>
      <c r="F8" s="265"/>
      <c r="G8" s="2551"/>
    </row>
    <row r="9" spans="1:8" s="258" customFormat="1" ht="13.5" customHeight="1">
      <c r="A9" s="951" t="s">
        <v>800</v>
      </c>
      <c r="B9" s="268" t="s">
        <v>2327</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2329</v>
      </c>
      <c r="C10" s="269">
        <f ca="1">ROUND(D10*E10,0)</f>
        <v>0</v>
      </c>
      <c r="D10" s="1033">
        <f ca="1">IF(B1="",'数据-汇总表'!E6,IF(INDIRECT("'数据-取费表'!c"&amp;$G$1)="住宅",INDIRECT("'数据-取费表'!s"&amp;$G$1),INDIRECT("'数据-取费表'!k"&amp;$G$1)+INDIRECT("'数据-取费表'!s"&amp;$G$1)))</f>
        <v>4145.53</v>
      </c>
      <c r="E10" s="269">
        <f>'数据-取费表'!B28</f>
        <v>0</v>
      </c>
      <c r="F10" s="265"/>
      <c r="G10" s="270"/>
    </row>
    <row r="11" spans="1:8" s="258" customFormat="1" ht="13.5" hidden="1" customHeight="1">
      <c r="A11" s="271" t="s">
        <v>7</v>
      </c>
      <c r="B11" s="259" t="s">
        <v>2330</v>
      </c>
      <c r="C11" s="255"/>
      <c r="D11" s="1035"/>
      <c r="E11" s="262"/>
      <c r="F11" s="262"/>
      <c r="G11" s="263"/>
    </row>
    <row r="12" spans="1:8" s="258" customFormat="1" ht="13.5" hidden="1" customHeight="1">
      <c r="A12" s="271" t="s">
        <v>8</v>
      </c>
      <c r="B12" s="259" t="s">
        <v>2413</v>
      </c>
      <c r="C12" s="255">
        <v>0</v>
      </c>
      <c r="D12" s="1035"/>
      <c r="E12" s="272"/>
      <c r="F12" s="265">
        <v>3.0499999999999999E-2</v>
      </c>
      <c r="G12" s="263"/>
    </row>
    <row r="13" spans="1:8" s="258" customFormat="1" ht="13.5" hidden="1" customHeight="1">
      <c r="A13" s="271" t="s">
        <v>9</v>
      </c>
      <c r="B13" s="259" t="s">
        <v>2414</v>
      </c>
      <c r="C13" s="255"/>
      <c r="D13" s="1035"/>
      <c r="E13" s="262"/>
      <c r="F13" s="262"/>
      <c r="G13" s="263"/>
    </row>
    <row r="14" spans="1:8" s="258" customFormat="1" ht="13.5" hidden="1" customHeight="1">
      <c r="A14" s="271" t="s">
        <v>10</v>
      </c>
      <c r="B14" s="259" t="s">
        <v>2326</v>
      </c>
      <c r="C14" s="255"/>
      <c r="D14" s="1035"/>
      <c r="E14" s="262"/>
      <c r="F14" s="262"/>
      <c r="G14" s="263" t="s">
        <v>2415</v>
      </c>
    </row>
    <row r="15" spans="1:8" s="258" customFormat="1" ht="13.5" hidden="1" customHeight="1">
      <c r="A15" s="271" t="s">
        <v>11</v>
      </c>
      <c r="B15" s="259" t="s">
        <v>2416</v>
      </c>
      <c r="C15" s="264"/>
      <c r="D15" s="1035"/>
      <c r="E15" s="262"/>
      <c r="F15" s="262"/>
      <c r="G15" s="263" t="s">
        <v>2417</v>
      </c>
    </row>
    <row r="16" spans="1:8" s="258" customFormat="1" ht="13.5" hidden="1" customHeight="1">
      <c r="A16" s="271" t="s">
        <v>12</v>
      </c>
      <c r="B16" s="259" t="s">
        <v>2326</v>
      </c>
      <c r="C16" s="264"/>
      <c r="D16" s="1035"/>
      <c r="E16" s="262"/>
      <c r="F16" s="262"/>
      <c r="G16" s="263"/>
    </row>
    <row r="17" spans="1:7" s="258" customFormat="1" ht="13.5" hidden="1" customHeight="1">
      <c r="A17" s="271" t="s">
        <v>13</v>
      </c>
      <c r="B17" s="259" t="s">
        <v>2418</v>
      </c>
      <c r="C17" s="273"/>
      <c r="D17" s="1036"/>
      <c r="E17" s="273"/>
      <c r="F17" s="273"/>
      <c r="G17" s="263" t="s">
        <v>2417</v>
      </c>
    </row>
    <row r="18" spans="1:7" s="258" customFormat="1" ht="13.5" hidden="1" customHeight="1">
      <c r="A18" s="271" t="s">
        <v>14</v>
      </c>
      <c r="B18" s="259" t="s">
        <v>2419</v>
      </c>
      <c r="C18" s="264">
        <v>0</v>
      </c>
      <c r="D18" s="1035"/>
      <c r="E18" s="262"/>
      <c r="F18" s="265">
        <v>3.0499999999999999E-2</v>
      </c>
      <c r="G18" s="263" t="s">
        <v>2420</v>
      </c>
    </row>
    <row r="19" spans="1:7" s="267" customFormat="1" ht="13.5" customHeight="1">
      <c r="A19" s="299" t="s">
        <v>2421</v>
      </c>
      <c r="B19" s="254" t="s">
        <v>2422</v>
      </c>
      <c r="C19" s="255">
        <f ca="1">IF(G19="已包含在土地取得成本中","0",ROUND(D19*E19,0))</f>
        <v>829106</v>
      </c>
      <c r="D19" s="1037">
        <f ca="1">D9+D10</f>
        <v>4145.53</v>
      </c>
      <c r="E19" s="255">
        <f>'数据-取费表'!B31</f>
        <v>200</v>
      </c>
      <c r="F19" s="275"/>
      <c r="G19" s="2551"/>
    </row>
    <row r="20" spans="1:7" s="258" customFormat="1" ht="13.5" customHeight="1">
      <c r="A20" s="299" t="s">
        <v>2423</v>
      </c>
      <c r="B20" s="254" t="s">
        <v>2424</v>
      </c>
      <c r="C20" s="276">
        <f ca="1">ROUND((C5+C19)*F20,0)</f>
        <v>16582</v>
      </c>
      <c r="D20" s="276"/>
      <c r="E20" s="276"/>
      <c r="F20" s="277">
        <f>'数据-取费表'!B37</f>
        <v>0.02</v>
      </c>
      <c r="G20" s="278" t="s">
        <v>2425</v>
      </c>
    </row>
    <row r="21" spans="1:7" s="258" customFormat="1" ht="13.5" customHeight="1">
      <c r="A21" s="299" t="s">
        <v>2426</v>
      </c>
      <c r="B21" s="254" t="s">
        <v>2427</v>
      </c>
      <c r="C21" s="279">
        <f>F21</f>
        <v>0.02</v>
      </c>
      <c r="D21" s="280" t="s">
        <v>2428</v>
      </c>
      <c r="E21" s="276"/>
      <c r="F21" s="277">
        <f>'数据-取费表'!B38</f>
        <v>0.02</v>
      </c>
      <c r="G21" s="278" t="s">
        <v>2429</v>
      </c>
    </row>
    <row r="22" spans="1:7" s="258" customFormat="1" ht="13.5" customHeight="1">
      <c r="A22" s="299" t="s">
        <v>2430</v>
      </c>
      <c r="B22" s="254" t="s">
        <v>2431</v>
      </c>
      <c r="C22" s="1380">
        <f ca="1">ROUND(SUM(C23:C25),0)</f>
        <v>36427</v>
      </c>
      <c r="D22" s="279">
        <f ca="1">C26</f>
        <v>4.0000000000000002E-4</v>
      </c>
      <c r="E22" s="280" t="s">
        <v>2428</v>
      </c>
      <c r="F22" s="281">
        <f ca="1">'数据-取费表'!B40</f>
        <v>4.3499999999999997E-2</v>
      </c>
      <c r="G22" s="278" t="str">
        <f>IF('数据-取费表'!B22&lt;=1,"单利计息","复利计息")</f>
        <v>单利计息</v>
      </c>
    </row>
    <row r="23" spans="1:7" s="258" customFormat="1" ht="13.5" customHeight="1">
      <c r="A23" s="952" t="s">
        <v>2321</v>
      </c>
      <c r="B23" s="259" t="s">
        <v>2432</v>
      </c>
      <c r="C23" s="1381">
        <f ca="1">ROUND(IF('数据-取费表'!B22&lt;=1,C5*F22*'数据-取费表'!B22,C5*(POWER((1+F22),'数据-取费表'!B22)-1)),0)</f>
        <v>0</v>
      </c>
      <c r="D23" s="282"/>
      <c r="E23" s="282"/>
      <c r="F23" s="283"/>
      <c r="G23" s="284" t="s">
        <v>2433</v>
      </c>
    </row>
    <row r="24" spans="1:7" s="258" customFormat="1" ht="13.5" customHeight="1">
      <c r="A24" s="952" t="s">
        <v>2323</v>
      </c>
      <c r="B24" s="259" t="s">
        <v>2434</v>
      </c>
      <c r="C24" s="1381">
        <f ca="1">ROUND(IF('数据-取费表'!B22&lt;=1,C19*F22*('数据-取费表'!B19/2+'数据-取费表'!B20),C19*(POWER((1+F22),('数据-取费表'!B19/2+'数据-取费表'!B20))-1)),0)</f>
        <v>36066</v>
      </c>
      <c r="D24" s="282"/>
      <c r="E24" s="282"/>
      <c r="F24" s="283"/>
      <c r="G24" s="284" t="s">
        <v>2435</v>
      </c>
    </row>
    <row r="25" spans="1:7" s="258" customFormat="1" ht="24">
      <c r="A25" s="952" t="s">
        <v>2325</v>
      </c>
      <c r="B25" s="259" t="s">
        <v>2436</v>
      </c>
      <c r="C25" s="1381">
        <f ca="1">ROUND(IF('数据-取费表'!B22&lt;=1,C20*F22*'数据-取费表'!B22/2,C20*(POWER((1+F22),'数据-取费表'!B22/2)-1)),0)</f>
        <v>361</v>
      </c>
      <c r="D25" s="282"/>
      <c r="E25" s="285"/>
      <c r="F25" s="283"/>
      <c r="G25" s="286" t="s">
        <v>2437</v>
      </c>
    </row>
    <row r="26" spans="1:7" s="258" customFormat="1">
      <c r="A26" s="952" t="s">
        <v>795</v>
      </c>
      <c r="B26" s="259" t="s">
        <v>2360</v>
      </c>
      <c r="C26" s="282">
        <f ca="1">ROUND(IF('数据-取费表'!B22&lt;=1,F21*F22*'数据-取费表'!B22/2,F21*(POWER((1+F22),'数据-取费表'!B22/2)-1)),4)</f>
        <v>4.0000000000000002E-4</v>
      </c>
      <c r="D26" s="282"/>
      <c r="E26" s="285"/>
      <c r="F26" s="283"/>
      <c r="G26" s="287"/>
    </row>
    <row r="27" spans="1:7" s="258" customFormat="1" ht="24.75">
      <c r="A27" s="299" t="s">
        <v>2361</v>
      </c>
      <c r="B27" s="288" t="s">
        <v>2362</v>
      </c>
      <c r="C27" s="289">
        <f ca="1">C28</f>
        <v>169138</v>
      </c>
      <c r="D27" s="279">
        <f ca="1">C29</f>
        <v>4.0000000000000001E-3</v>
      </c>
      <c r="E27" s="280" t="s">
        <v>2363</v>
      </c>
      <c r="F27" s="290">
        <f ca="1">IF(B1="",'数据-取费表'!Q16,INDIRECT("'数据-取费表'!q"&amp;$G$1))</f>
        <v>0.2</v>
      </c>
      <c r="G27" s="291" t="s">
        <v>2364</v>
      </c>
    </row>
    <row r="28" spans="1:7" s="258" customFormat="1" ht="13.5" customHeight="1">
      <c r="A28" s="952" t="s">
        <v>791</v>
      </c>
      <c r="B28" s="292" t="s">
        <v>2365</v>
      </c>
      <c r="C28" s="293">
        <f ca="1">ROUND((C5+C19+C20)*F27,0)</f>
        <v>169138</v>
      </c>
      <c r="D28" s="279"/>
      <c r="E28" s="280"/>
      <c r="F28" s="290"/>
      <c r="G28" s="291"/>
    </row>
    <row r="29" spans="1:7" s="258" customFormat="1" ht="13.5" customHeight="1">
      <c r="A29" s="952" t="s">
        <v>792</v>
      </c>
      <c r="B29" s="292" t="s">
        <v>2366</v>
      </c>
      <c r="C29" s="282">
        <f ca="1">ROUND(C21*F27,4)</f>
        <v>4.0000000000000001E-3</v>
      </c>
      <c r="D29" s="279"/>
      <c r="E29" s="280"/>
      <c r="F29" s="290"/>
      <c r="G29" s="291"/>
    </row>
    <row r="30" spans="1:7" s="258" customFormat="1" ht="13.5" customHeight="1">
      <c r="A30" s="299" t="s">
        <v>2367</v>
      </c>
      <c r="B30" s="254" t="s">
        <v>2368</v>
      </c>
      <c r="C30" s="279">
        <f>ROUND(F30/(1+'数据-取费表'!C42),4)</f>
        <v>5.33E-2</v>
      </c>
      <c r="D30" s="280" t="s">
        <v>2363</v>
      </c>
      <c r="E30" s="285"/>
      <c r="F30" s="281">
        <f>'数据-取费表'!B41</f>
        <v>5.6000000000000001E-2</v>
      </c>
      <c r="G30" s="278" t="s">
        <v>2369</v>
      </c>
    </row>
    <row r="31" spans="1:7" ht="16.5" customHeight="1">
      <c r="A31" s="253">
        <v>1</v>
      </c>
      <c r="B31" s="254" t="s">
        <v>2370</v>
      </c>
      <c r="C31" s="255">
        <f ca="1">ROUND((C5+C19+C20+C22+C27)/(1-C21-D22-D27-C30),0)</f>
        <v>1139817</v>
      </c>
      <c r="D31" s="274"/>
      <c r="E31" s="255"/>
      <c r="F31" s="294"/>
      <c r="G31" s="278" t="s">
        <v>2371</v>
      </c>
    </row>
    <row r="32" spans="1:7" s="252" customFormat="1" ht="15.75">
      <c r="A32" s="296" t="s">
        <v>2438</v>
      </c>
      <c r="B32" s="297"/>
      <c r="C32" s="297"/>
      <c r="D32" s="297"/>
      <c r="E32" s="297"/>
      <c r="F32" s="297"/>
      <c r="G32" s="298"/>
    </row>
    <row r="33" spans="1:7" s="258" customFormat="1" ht="13.5" customHeight="1">
      <c r="A33" s="299" t="s">
        <v>782</v>
      </c>
      <c r="B33" s="254" t="s">
        <v>2439</v>
      </c>
      <c r="C33" s="300">
        <f ca="1">SUM(C34:C38)</f>
        <v>9493264</v>
      </c>
      <c r="D33" s="276"/>
      <c r="E33" s="256"/>
      <c r="F33" s="285"/>
      <c r="G33" s="278"/>
    </row>
    <row r="34" spans="1:7" s="302" customFormat="1" ht="13.5" customHeight="1">
      <c r="A34" s="952" t="s">
        <v>791</v>
      </c>
      <c r="B34" s="259" t="s">
        <v>2374</v>
      </c>
      <c r="C34" s="264">
        <f ca="1">ROUND(IF(B1="",SUMPRODUCT('数据-取费表'!K6:K14,'数据-取费表'!L6:L14),INDIRECT("'数据-取费表'!l"&amp;$G$1)*INDIRECT("'数据-取费表'!k"&amp;$G$1)+'数据-取费表'!L14*INDIRECT("'数据-取费表'!S"&amp;$G$1)),0)</f>
        <v>8291060</v>
      </c>
      <c r="D34" s="261"/>
      <c r="E34" s="264"/>
      <c r="F34" s="301"/>
      <c r="G34" s="263"/>
    </row>
    <row r="35" spans="1:7" ht="13.5" customHeight="1">
      <c r="A35" s="952" t="s">
        <v>796</v>
      </c>
      <c r="B35" s="259" t="s">
        <v>2376</v>
      </c>
      <c r="C35" s="264">
        <f ca="1">ROUND(C34*F35,0)</f>
        <v>248732</v>
      </c>
      <c r="D35" s="264"/>
      <c r="E35" s="264"/>
      <c r="F35" s="303">
        <f>'数据-取费表'!B33</f>
        <v>0.03</v>
      </c>
      <c r="G35" s="263" t="s">
        <v>2377</v>
      </c>
    </row>
    <row r="36" spans="1:7" ht="24">
      <c r="A36" s="952" t="s">
        <v>797</v>
      </c>
      <c r="B36" s="259" t="s">
        <v>2378</v>
      </c>
      <c r="C36" s="264">
        <f ca="1">ROUND(IF(B1="",SUM('数据-取费表'!AP6:AP13)*F36,IF(INDIRECT("'数据-取费表'!c"&amp;$G$1)="住宅",INDIRECT("'数据-取费表'!k"&amp;$G$1)*INDIRECT("'数据-取费表'!l"&amp;$G$1)*F36,0)),0)</f>
        <v>0</v>
      </c>
      <c r="D36" s="264"/>
      <c r="E36" s="264"/>
      <c r="F36" s="303">
        <f>'数据-取费表'!B34</f>
        <v>0</v>
      </c>
      <c r="G36" s="304" t="s">
        <v>2379</v>
      </c>
    </row>
    <row r="37" spans="1:7" s="302" customFormat="1" ht="13.5" customHeight="1">
      <c r="A37" s="952" t="s">
        <v>798</v>
      </c>
      <c r="B37" s="259" t="s">
        <v>2380</v>
      </c>
      <c r="C37" s="293">
        <f ca="1">ROUND(E37*D37,0)</f>
        <v>829106</v>
      </c>
      <c r="D37" s="261">
        <f ca="1">D19</f>
        <v>4145.53</v>
      </c>
      <c r="E37" s="293">
        <f>'数据-取费表'!B35</f>
        <v>200</v>
      </c>
      <c r="F37" s="303"/>
      <c r="G37" s="305"/>
    </row>
    <row r="38" spans="1:7" ht="13.5" customHeight="1">
      <c r="A38" s="952" t="s">
        <v>799</v>
      </c>
      <c r="B38" s="259" t="s">
        <v>2382</v>
      </c>
      <c r="C38" s="264">
        <f ca="1">ROUND(C34*F38,0)</f>
        <v>124366</v>
      </c>
      <c r="D38" s="264"/>
      <c r="E38" s="264"/>
      <c r="F38" s="303">
        <f>'数据-取费表'!B36</f>
        <v>1.4999999999999999E-2</v>
      </c>
      <c r="G38" s="263" t="s">
        <v>2377</v>
      </c>
    </row>
    <row r="39" spans="1:7" s="258" customFormat="1" ht="13.5" customHeight="1">
      <c r="A39" s="299" t="s">
        <v>2383</v>
      </c>
      <c r="B39" s="254" t="s">
        <v>2384</v>
      </c>
      <c r="C39" s="276">
        <f ca="1">ROUND(C33*F20,0)</f>
        <v>189865</v>
      </c>
      <c r="D39" s="276"/>
      <c r="E39" s="276"/>
      <c r="F39" s="277"/>
      <c r="G39" s="278" t="s">
        <v>2385</v>
      </c>
    </row>
    <row r="40" spans="1:7" s="258" customFormat="1" ht="13.5" customHeight="1">
      <c r="A40" s="299" t="s">
        <v>2386</v>
      </c>
      <c r="B40" s="254" t="s">
        <v>2387</v>
      </c>
      <c r="C40" s="1729">
        <f>F21</f>
        <v>0.02</v>
      </c>
      <c r="D40" s="280" t="s">
        <v>2388</v>
      </c>
      <c r="E40" s="276"/>
      <c r="F40" s="277"/>
      <c r="G40" s="278" t="s">
        <v>2389</v>
      </c>
    </row>
    <row r="41" spans="1:7" s="258" customFormat="1" ht="13.5" customHeight="1">
      <c r="A41" s="299" t="s">
        <v>2390</v>
      </c>
      <c r="B41" s="254" t="s">
        <v>2391</v>
      </c>
      <c r="C41" s="276">
        <f ca="1">ROUND(SUM(C42:C43),0)</f>
        <v>210608</v>
      </c>
      <c r="D41" s="279">
        <f ca="1">C44</f>
        <v>4.0000000000000002E-4</v>
      </c>
      <c r="E41" s="280" t="s">
        <v>2388</v>
      </c>
      <c r="F41" s="281"/>
      <c r="G41" s="278" t="str">
        <f>IF('数据-取费表'!B22&lt;=1,"单利计息","复利计息")</f>
        <v>单利计息</v>
      </c>
    </row>
    <row r="42" spans="1:7" ht="13.5" customHeight="1">
      <c r="A42" s="952" t="s">
        <v>791</v>
      </c>
      <c r="B42" s="259" t="s">
        <v>2392</v>
      </c>
      <c r="C42" s="282">
        <f ca="1">ROUND(IF('数据-取费表'!B22&lt;=1,C33*F22*'数据-取费表'!B20/2,C33*(POWER((1+F22),'数据-取费表'!B20/2)-1)),0)</f>
        <v>206478</v>
      </c>
      <c r="D42" s="282"/>
      <c r="E42" s="282"/>
      <c r="F42" s="283"/>
      <c r="G42" s="3137" t="s">
        <v>2440</v>
      </c>
    </row>
    <row r="43" spans="1:7" ht="13.5" customHeight="1">
      <c r="A43" s="952" t="s">
        <v>792</v>
      </c>
      <c r="B43" s="259" t="s">
        <v>2394</v>
      </c>
      <c r="C43" s="282">
        <f ca="1">ROUND(IF('数据-取费表'!B22&lt;=1,C39*F22*'数据-取费表'!B20/2,C39*(POWER((1+F22),'数据-取费表'!B20/2)-1)),0)</f>
        <v>4130</v>
      </c>
      <c r="D43" s="282"/>
      <c r="E43" s="282"/>
      <c r="F43" s="283"/>
      <c r="G43" s="3138"/>
    </row>
    <row r="44" spans="1:7" ht="13.5" customHeight="1">
      <c r="A44" s="952" t="s">
        <v>793</v>
      </c>
      <c r="B44" s="259" t="s">
        <v>2395</v>
      </c>
      <c r="C44" s="282">
        <f ca="1">ROUND(IF('数据-取费表'!B22&lt;=1,C40*F22*'数据-取费表'!B20/2,C40*(POWER((1+F22),'数据-取费表'!B20/2)-1)),4)</f>
        <v>4.0000000000000002E-4</v>
      </c>
      <c r="D44" s="282"/>
      <c r="E44" s="282"/>
      <c r="F44" s="283"/>
      <c r="G44" s="3139"/>
    </row>
    <row r="45" spans="1:7" s="258" customFormat="1" ht="13.5" customHeight="1">
      <c r="A45" s="299" t="s">
        <v>2396</v>
      </c>
      <c r="B45" s="288" t="s">
        <v>2362</v>
      </c>
      <c r="C45" s="289">
        <f ca="1">C46</f>
        <v>1936626</v>
      </c>
      <c r="D45" s="279">
        <f ca="1">C47</f>
        <v>4.0000000000000001E-3</v>
      </c>
      <c r="E45" s="280" t="s">
        <v>2388</v>
      </c>
      <c r="F45" s="290"/>
      <c r="G45" s="291" t="s">
        <v>2397</v>
      </c>
    </row>
    <row r="46" spans="1:7" s="258" customFormat="1" ht="13.5" customHeight="1">
      <c r="A46" s="952" t="s">
        <v>791</v>
      </c>
      <c r="B46" s="292" t="s">
        <v>2398</v>
      </c>
      <c r="C46" s="293">
        <f ca="1">ROUND((C33+C39)*F27,0)</f>
        <v>1936626</v>
      </c>
      <c r="D46" s="307"/>
      <c r="E46" s="280"/>
      <c r="F46" s="290"/>
      <c r="G46" s="291"/>
    </row>
    <row r="47" spans="1:7" s="258" customFormat="1" ht="13.5" customHeight="1">
      <c r="A47" s="952" t="s">
        <v>792</v>
      </c>
      <c r="B47" s="292" t="s">
        <v>2399</v>
      </c>
      <c r="C47" s="282">
        <f ca="1">ROUND(C40*F27,4)</f>
        <v>4.0000000000000001E-3</v>
      </c>
      <c r="D47" s="307"/>
      <c r="E47" s="280"/>
      <c r="F47" s="290"/>
      <c r="G47" s="291"/>
    </row>
    <row r="48" spans="1:7" s="258" customFormat="1" ht="13.5" customHeight="1">
      <c r="A48" s="299" t="s">
        <v>2361</v>
      </c>
      <c r="B48" s="254" t="s">
        <v>2400</v>
      </c>
      <c r="C48" s="306">
        <f>ROUND(F30/(1+'数据-取费表'!C42),4)</f>
        <v>5.33E-2</v>
      </c>
      <c r="D48" s="280" t="s">
        <v>2388</v>
      </c>
      <c r="E48" s="276"/>
      <c r="F48" s="281"/>
      <c r="G48" s="278" t="s">
        <v>2401</v>
      </c>
    </row>
    <row r="49" spans="1:7" ht="16.5" customHeight="1">
      <c r="A49" s="299" t="s">
        <v>2367</v>
      </c>
      <c r="B49" s="254" t="s">
        <v>2441</v>
      </c>
      <c r="C49" s="276">
        <f ca="1">ROUND((C33+C39+C41+C45)/(1-C40-D41-D45-C48),0)</f>
        <v>12827023</v>
      </c>
      <c r="D49" s="276"/>
      <c r="E49" s="276"/>
      <c r="F49" s="308"/>
      <c r="G49" s="278" t="s">
        <v>2403</v>
      </c>
    </row>
    <row r="50" spans="1:7" s="302" customFormat="1">
      <c r="A50" s="299" t="s">
        <v>2404</v>
      </c>
      <c r="B50" s="254" t="s">
        <v>2405</v>
      </c>
      <c r="C50" s="276"/>
      <c r="D50" s="276"/>
      <c r="E50" s="276"/>
      <c r="F50" s="308">
        <f>IF('数据-取费表'!B24=0,'数据-取费表'!N16,1)</f>
        <v>0.95</v>
      </c>
      <c r="G50" s="291"/>
    </row>
    <row r="51" spans="1:7" ht="16.5" customHeight="1">
      <c r="A51" s="299" t="s">
        <v>2407</v>
      </c>
      <c r="B51" s="254" t="s">
        <v>2442</v>
      </c>
      <c r="C51" s="276">
        <f ca="1">ROUND(C49*F50,0)</f>
        <v>12185672</v>
      </c>
      <c r="D51" s="276"/>
      <c r="E51" s="276"/>
      <c r="F51" s="308"/>
      <c r="G51" s="278" t="s">
        <v>2409</v>
      </c>
    </row>
    <row r="52" spans="1:7" s="252" customFormat="1" ht="16.5" thickBot="1">
      <c r="A52" s="309" t="s">
        <v>2410</v>
      </c>
      <c r="B52" s="310"/>
      <c r="C52" s="311">
        <f ca="1">C31+C51</f>
        <v>13325489</v>
      </c>
      <c r="D52" s="310"/>
      <c r="E52" s="310"/>
      <c r="F52" s="310"/>
      <c r="G52" s="312"/>
    </row>
    <row r="55" spans="1:7" ht="15">
      <c r="B55" s="314" t="s">
        <v>2411</v>
      </c>
      <c r="C55" s="315"/>
    </row>
    <row r="56" spans="1:7">
      <c r="B56" s="317" t="s">
        <v>1515</v>
      </c>
      <c r="C56" s="319">
        <f ca="1">1-C57</f>
        <v>8.5999999999999965E-2</v>
      </c>
    </row>
    <row r="57" spans="1:7">
      <c r="B57" s="317" t="s">
        <v>1516</v>
      </c>
      <c r="C57" s="318">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2443</v>
      </c>
      <c r="B1" s="1582"/>
      <c r="C1" s="1583"/>
      <c r="D1" s="1581"/>
      <c r="E1" s="320"/>
      <c r="F1" s="320"/>
      <c r="G1" s="1582"/>
      <c r="H1" s="320"/>
      <c r="I1" s="320"/>
      <c r="J1" s="320"/>
      <c r="K1" s="320">
        <f>MATCH(C1,'数据-取费表'!A6:A16,0)+5</f>
        <v>7</v>
      </c>
    </row>
    <row r="2" spans="1:33" ht="18" customHeight="1">
      <c r="A2" s="245" t="s">
        <v>2311</v>
      </c>
      <c r="B2" s="248">
        <f ca="1">C32</f>
        <v>0</v>
      </c>
      <c r="C2" s="320" t="s">
        <v>2444</v>
      </c>
      <c r="D2" s="320"/>
      <c r="E2" s="320"/>
      <c r="F2" s="320"/>
      <c r="G2" s="320"/>
      <c r="H2" s="320"/>
      <c r="I2" s="320"/>
      <c r="J2" s="320"/>
      <c r="K2" s="320"/>
    </row>
    <row r="3" spans="1:33" ht="18" customHeight="1" thickBot="1">
      <c r="A3" s="247" t="s">
        <v>2313</v>
      </c>
      <c r="B3" s="248">
        <f ca="1">ROUND(B2*10000/IF(C1="",'数据-汇总表'!E3,INDIRECT("'数据-取费表'!K"&amp;$K$1)),0)</f>
        <v>0</v>
      </c>
      <c r="C3" s="320" t="s">
        <v>2445</v>
      </c>
      <c r="D3" s="320"/>
      <c r="E3" s="320"/>
      <c r="F3" s="320"/>
      <c r="G3" s="320"/>
      <c r="H3" s="320"/>
      <c r="I3" s="320"/>
      <c r="J3" s="320"/>
      <c r="K3" s="320"/>
    </row>
    <row r="4" spans="1:33" s="957" customFormat="1" ht="16.5" customHeight="1">
      <c r="A4" s="954" t="s">
        <v>2446</v>
      </c>
      <c r="B4" s="955"/>
      <c r="C4" s="997">
        <f>SUM(C8:K8)</f>
        <v>0</v>
      </c>
      <c r="D4" s="955"/>
      <c r="E4" s="955"/>
      <c r="F4" s="955"/>
      <c r="G4" s="955"/>
      <c r="H4" s="955"/>
      <c r="I4" s="955"/>
      <c r="J4" s="955"/>
      <c r="K4" s="956"/>
    </row>
    <row r="5" spans="1:33" s="961" customFormat="1" ht="24.75">
      <c r="A5" s="958" t="s">
        <v>2447</v>
      </c>
      <c r="B5" s="959" t="s">
        <v>2448</v>
      </c>
      <c r="C5" s="2555" t="s">
        <v>2449</v>
      </c>
      <c r="D5" s="2555" t="s">
        <v>2450</v>
      </c>
      <c r="E5" s="2555" t="s">
        <v>2451</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2453</v>
      </c>
      <c r="B7" s="139" t="s">
        <v>2454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2455</v>
      </c>
      <c r="B8" s="177" t="s">
        <v>2456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2457</v>
      </c>
      <c r="B9" s="955"/>
      <c r="C9" s="955"/>
      <c r="D9" s="955"/>
      <c r="E9" s="955"/>
      <c r="F9" s="955"/>
      <c r="G9" s="955"/>
      <c r="H9" s="955"/>
      <c r="I9" s="955"/>
      <c r="J9" s="955"/>
      <c r="K9" s="956"/>
    </row>
    <row r="10" spans="1:33" s="971" customFormat="1" ht="13.5" customHeight="1">
      <c r="A10" s="958" t="s">
        <v>2458</v>
      </c>
      <c r="B10" s="8" t="s">
        <v>2459</v>
      </c>
      <c r="C10" s="967" t="s">
        <v>2460</v>
      </c>
      <c r="D10" s="968" t="s">
        <v>2461</v>
      </c>
      <c r="E10" s="968" t="s">
        <v>2462</v>
      </c>
      <c r="F10" s="968" t="s">
        <v>2463</v>
      </c>
      <c r="G10" s="8"/>
      <c r="H10" s="969"/>
      <c r="I10" s="969"/>
      <c r="J10" s="969"/>
      <c r="K10" s="970"/>
    </row>
    <row r="11" spans="1:33" s="976" customFormat="1" ht="13.5" customHeight="1">
      <c r="A11" s="972" t="s">
        <v>1335</v>
      </c>
      <c r="B11" s="973" t="s">
        <v>2464</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2465</v>
      </c>
      <c r="C12" s="23">
        <f ca="1">ROUND(C11*F12,0)</f>
        <v>0</v>
      </c>
      <c r="D12" s="974"/>
      <c r="E12" s="375"/>
      <c r="F12" s="977">
        <f>'数据-取费表'!B33</f>
        <v>0.03</v>
      </c>
      <c r="G12" s="8" t="s">
        <v>2466</v>
      </c>
      <c r="H12" s="969"/>
      <c r="I12" s="969"/>
      <c r="J12" s="969"/>
      <c r="K12" s="970"/>
    </row>
    <row r="13" spans="1:33" s="976" customFormat="1" ht="13.5" customHeight="1">
      <c r="A13" s="972" t="s">
        <v>1337</v>
      </c>
      <c r="B13" s="973" t="s">
        <v>2467</v>
      </c>
      <c r="C13" s="23">
        <f ca="1">ROUND(IF(C1="",SUMIF('数据-取费表'!C:C,"住宅",'数据-取费表'!P:P)*F13,IF(INDIRECT("'数据-取费表'!c"&amp;$K$1)="住宅",INDIRECT("'数据-取费表'!P"&amp;$K$1)*F13,0)),0)</f>
        <v>0</v>
      </c>
      <c r="D13" s="1034"/>
      <c r="E13" s="375"/>
      <c r="F13" s="977">
        <f>'数据-取费表'!B34</f>
        <v>0</v>
      </c>
      <c r="G13" s="8" t="s">
        <v>2468</v>
      </c>
      <c r="H13" s="969"/>
      <c r="I13" s="969"/>
      <c r="J13" s="969"/>
      <c r="K13" s="970"/>
    </row>
    <row r="14" spans="1:33" s="978" customFormat="1" ht="13.5" customHeight="1">
      <c r="A14" s="972" t="s">
        <v>1338</v>
      </c>
      <c r="B14" s="973" t="s">
        <v>2469</v>
      </c>
      <c r="C14" s="23">
        <f ca="1">ROUND(D14*E14*F11/10000,0)</f>
        <v>0</v>
      </c>
      <c r="D14" s="1034">
        <f ca="1">IF(C1="",'数据-汇总表'!E3,INDIRECT("'数据-取费表'!K"&amp;$K$1)+INDIRECT("'数据-取费表'!S"&amp;$K$1))</f>
        <v>4145.53</v>
      </c>
      <c r="E14" s="23">
        <f>'数据-取费表'!B35</f>
        <v>200</v>
      </c>
      <c r="F14" s="977"/>
      <c r="G14" s="8" t="s">
        <v>2470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2471</v>
      </c>
      <c r="C15" s="984">
        <f ca="1">ROUND(C11*F15,0)</f>
        <v>0</v>
      </c>
      <c r="D15" s="979"/>
      <c r="E15" s="984"/>
      <c r="F15" s="985">
        <f>'数据-取费表'!B36</f>
        <v>1.4999999999999999E-2</v>
      </c>
      <c r="G15" s="139" t="s">
        <v>2472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2473</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2474</v>
      </c>
      <c r="C17" s="23">
        <f ca="1">ROUND(D17*E17/10000,0)</f>
        <v>0</v>
      </c>
      <c r="D17" s="1034">
        <f ca="1">D14</f>
        <v>4145.53</v>
      </c>
      <c r="E17" s="23">
        <f>'数据-取费表'!B32</f>
        <v>0</v>
      </c>
      <c r="F17" s="979"/>
      <c r="G17" s="139" t="s">
        <v>2475</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2476</v>
      </c>
      <c r="C18" s="23">
        <f ca="1">C19+C20-IF(C1="",'数据-取费表'!B29,IF(G18="已全部缴纳",C19+C20,H18))</f>
        <v>0</v>
      </c>
      <c r="D18" s="1034"/>
      <c r="E18" s="23"/>
      <c r="F18" s="977"/>
      <c r="G18" s="2557"/>
      <c r="H18" s="1578"/>
      <c r="I18" s="2558" t="s">
        <v>2477</v>
      </c>
      <c r="J18" s="980"/>
      <c r="K18" s="981"/>
    </row>
    <row r="19" spans="1:33" s="976" customFormat="1" ht="13.5" customHeight="1">
      <c r="A19" s="972" t="s">
        <v>805</v>
      </c>
      <c r="B19" s="973" t="s">
        <v>2478</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2479</v>
      </c>
      <c r="C20" s="23">
        <f ca="1">ROUND(D20*E20/10000,0)</f>
        <v>0</v>
      </c>
      <c r="D20" s="1034">
        <f ca="1">IF(C1="",'数据-汇总表'!E6,IF(INDIRECT("'数据-取费表'!c"&amp;$K$1)="住宅",INDIRECT("'数据-取费表'!s"&amp;$K$1),INDIRECT("'数据-取费表'!k"&amp;$K$1)+INDIRECT("'数据-取费表'!s"&amp;$K$1)))</f>
        <v>4145.53</v>
      </c>
      <c r="E20" s="23">
        <f>'数据-取费表'!B28</f>
        <v>0</v>
      </c>
      <c r="F20" s="977"/>
      <c r="G20" s="14"/>
      <c r="H20" s="982"/>
      <c r="I20" s="982"/>
      <c r="J20" s="982"/>
      <c r="K20" s="983"/>
    </row>
    <row r="21" spans="1:33" s="976" customFormat="1" ht="13.5" customHeight="1">
      <c r="A21" s="962" t="s">
        <v>802</v>
      </c>
      <c r="B21" s="986" t="s">
        <v>2480</v>
      </c>
      <c r="C21" s="987">
        <f ca="1">C16+C17+C18</f>
        <v>0</v>
      </c>
      <c r="D21" s="988"/>
      <c r="E21" s="325"/>
      <c r="F21" s="325"/>
      <c r="G21" s="139" t="s">
        <v>2481</v>
      </c>
      <c r="H21" s="980"/>
      <c r="I21" s="980"/>
      <c r="J21" s="980"/>
      <c r="K21" s="981"/>
    </row>
    <row r="22" spans="1:33" s="976" customFormat="1" ht="13.5" customHeight="1">
      <c r="A22" s="962" t="s">
        <v>2453</v>
      </c>
      <c r="B22" s="986" t="s">
        <v>2482</v>
      </c>
      <c r="C22" s="987">
        <f ca="1">ROUND(C21*F22,0)</f>
        <v>0</v>
      </c>
      <c r="D22" s="325"/>
      <c r="E22" s="325"/>
      <c r="F22" s="989">
        <f>'数据-取费表'!B37</f>
        <v>0.02</v>
      </c>
      <c r="G22" s="8" t="s">
        <v>2483</v>
      </c>
      <c r="H22" s="969"/>
      <c r="I22" s="969"/>
      <c r="J22" s="969"/>
      <c r="K22" s="970"/>
    </row>
    <row r="23" spans="1:33" s="976" customFormat="1" ht="13.5" customHeight="1">
      <c r="A23" s="962" t="s">
        <v>2455</v>
      </c>
      <c r="B23" s="986" t="s">
        <v>2484</v>
      </c>
      <c r="C23" s="987">
        <f ca="1">ROUND(C4*F23*F11,0)</f>
        <v>0</v>
      </c>
      <c r="D23" s="325"/>
      <c r="E23" s="325"/>
      <c r="F23" s="989">
        <f>'数据-取费表'!B38</f>
        <v>0.02</v>
      </c>
      <c r="G23" s="8" t="s">
        <v>2485</v>
      </c>
      <c r="H23" s="969"/>
      <c r="I23" s="969"/>
      <c r="J23" s="969"/>
      <c r="K23" s="970"/>
    </row>
    <row r="24" spans="1:33" s="976" customFormat="1" ht="13.5" customHeight="1">
      <c r="A24" s="962" t="s">
        <v>2486</v>
      </c>
      <c r="B24" s="986" t="s">
        <v>2487</v>
      </c>
      <c r="C24" s="324">
        <f>ROUND(F24/(1+'数据-取费表'!C42),4)</f>
        <v>3.8600000000000002E-2</v>
      </c>
      <c r="D24" s="325" t="s">
        <v>15</v>
      </c>
      <c r="E24" s="325"/>
      <c r="F24" s="989">
        <f>'数据-取费表'!B48+'数据-取费表'!B49</f>
        <v>4.0500000000000001E-2</v>
      </c>
      <c r="G24" s="8" t="s">
        <v>2488</v>
      </c>
      <c r="H24" s="991"/>
      <c r="I24" s="991"/>
      <c r="J24" s="991"/>
      <c r="K24" s="992"/>
    </row>
    <row r="25" spans="1:33" s="976" customFormat="1" ht="13.5" customHeight="1">
      <c r="A25" s="962" t="s">
        <v>2489</v>
      </c>
      <c r="B25" s="988" t="s">
        <v>2490</v>
      </c>
      <c r="C25" s="1356">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2491</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2492</v>
      </c>
      <c r="C27" s="1358">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0"/>
      <c r="I27" s="980"/>
      <c r="J27" s="980"/>
      <c r="K27" s="981"/>
    </row>
    <row r="28" spans="1:33" s="333" customFormat="1" ht="13.5" customHeight="1">
      <c r="A28" s="962" t="s">
        <v>2493</v>
      </c>
      <c r="B28" s="2560" t="s">
        <v>2494</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2495</v>
      </c>
      <c r="C29" s="328">
        <f ca="1">ROUND((1+C24)*F28*'数据-取费表'!B24/'数据-取费表'!B20,4)</f>
        <v>0</v>
      </c>
      <c r="D29" s="328"/>
      <c r="E29" s="329"/>
      <c r="F29" s="334"/>
      <c r="G29" s="139" t="s">
        <v>2496</v>
      </c>
      <c r="H29" s="980"/>
      <c r="I29" s="980"/>
      <c r="J29" s="980"/>
      <c r="K29" s="981"/>
    </row>
    <row r="30" spans="1:33" s="335" customFormat="1" ht="13.5" customHeight="1">
      <c r="A30" s="972" t="s">
        <v>804</v>
      </c>
      <c r="B30" s="995" t="s">
        <v>2497</v>
      </c>
      <c r="C30" s="336">
        <f ca="1">ROUND((C21+C22+C23)*F28,0)</f>
        <v>0</v>
      </c>
      <c r="D30" s="328"/>
      <c r="E30" s="329"/>
      <c r="F30" s="334"/>
      <c r="G30" s="139"/>
      <c r="H30" s="980"/>
      <c r="I30" s="980"/>
      <c r="J30" s="980"/>
      <c r="K30" s="981"/>
    </row>
    <row r="31" spans="1:33" s="976" customFormat="1" ht="13.5" customHeight="1" thickBot="1">
      <c r="A31" s="2561" t="s">
        <v>2498</v>
      </c>
      <c r="B31" s="1006" t="s">
        <v>2499</v>
      </c>
      <c r="C31" s="1007">
        <f>ROUND(C4*F31/(1+'数据-取费表'!C42),0)</f>
        <v>0</v>
      </c>
      <c r="D31" s="1008"/>
      <c r="E31" s="1009"/>
      <c r="F31" s="1010">
        <f>'数据-取费表'!B41</f>
        <v>5.6000000000000001E-2</v>
      </c>
      <c r="G31" s="1011" t="s">
        <v>2500</v>
      </c>
      <c r="H31" s="1012"/>
      <c r="I31" s="1012"/>
      <c r="J31" s="1012"/>
      <c r="K31" s="1013"/>
    </row>
    <row r="32" spans="1:33" s="971" customFormat="1" ht="13.5" customHeight="1" thickBot="1">
      <c r="A32" s="1001" t="s">
        <v>2501</v>
      </c>
      <c r="B32" s="1002"/>
      <c r="C32" s="1003">
        <f ca="1">ROUND((C4-C21-C22-C23-C25-C28-C31)/(1+C24+D25+D28),0)</f>
        <v>0</v>
      </c>
      <c r="D32" s="1002"/>
      <c r="E32" s="1002"/>
      <c r="F32" s="1002"/>
      <c r="G32" s="1004" t="s">
        <v>2502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583" t="s">
        <v>2513</v>
      </c>
      <c r="C1" s="1635" t="s">
        <v>2514</v>
      </c>
      <c r="D1" s="1622" t="s">
        <v>3043</v>
      </c>
      <c r="E1" s="2584"/>
      <c r="F1" s="2585" t="s">
        <v>2515</v>
      </c>
      <c r="G1" s="1632" t="s">
        <v>2516</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2517</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23598</v>
      </c>
      <c r="C3" s="400" t="s">
        <v>2518</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2519</v>
      </c>
      <c r="B4" s="402"/>
      <c r="C4" s="3158" t="s">
        <v>2520</v>
      </c>
      <c r="D4" s="3159"/>
      <c r="E4" s="3160" t="s">
        <v>2521</v>
      </c>
      <c r="F4" s="3161"/>
      <c r="G4" s="3158" t="s">
        <v>2522</v>
      </c>
      <c r="H4" s="3159"/>
      <c r="I4" s="3158" t="s">
        <v>2523</v>
      </c>
      <c r="J4" s="3159"/>
      <c r="K4" s="2597" t="s">
        <v>2524</v>
      </c>
      <c r="L4" s="1130"/>
      <c r="M4" s="1131"/>
      <c r="N4" s="1131"/>
      <c r="O4" s="1131"/>
      <c r="P4" s="3162" t="s">
        <v>2525</v>
      </c>
      <c r="Q4" s="3163"/>
      <c r="R4" s="3168" t="s">
        <v>2521</v>
      </c>
      <c r="S4" s="3169"/>
      <c r="T4" s="3168" t="s">
        <v>2522</v>
      </c>
      <c r="U4" s="3169"/>
      <c r="V4" s="3174" t="s">
        <v>2523</v>
      </c>
      <c r="W4" s="3174"/>
      <c r="X4" s="1814"/>
      <c r="Y4" s="3168" t="s">
        <v>2525</v>
      </c>
      <c r="Z4" s="3169"/>
      <c r="AA4" s="3155" t="s">
        <v>2521</v>
      </c>
      <c r="AB4" s="3155" t="s">
        <v>2522</v>
      </c>
      <c r="AC4" s="3155" t="s">
        <v>2523</v>
      </c>
    </row>
    <row r="5" spans="1:29" ht="15">
      <c r="A5" s="404"/>
      <c r="B5" s="405"/>
      <c r="C5" s="3177" t="s">
        <v>3053</v>
      </c>
      <c r="D5" s="3178"/>
      <c r="E5" s="3184" t="s">
        <v>3078</v>
      </c>
      <c r="F5" s="3185"/>
      <c r="G5" s="3177" t="s">
        <v>3080</v>
      </c>
      <c r="H5" s="3178"/>
      <c r="I5" s="3177" t="s">
        <v>3081</v>
      </c>
      <c r="J5" s="3178"/>
      <c r="K5" s="2598"/>
      <c r="L5" s="1130"/>
      <c r="M5" s="1131"/>
      <c r="N5" s="1131"/>
      <c r="O5" s="1131"/>
      <c r="P5" s="3164"/>
      <c r="Q5" s="3165"/>
      <c r="R5" s="3170"/>
      <c r="S5" s="3171"/>
      <c r="T5" s="3170"/>
      <c r="U5" s="3171"/>
      <c r="V5" s="3174"/>
      <c r="W5" s="3174"/>
      <c r="X5" s="1814"/>
      <c r="Y5" s="3170"/>
      <c r="Z5" s="3171"/>
      <c r="AA5" s="3156"/>
      <c r="AB5" s="3156"/>
      <c r="AC5" s="3156"/>
    </row>
    <row r="6" spans="1:29" ht="15.75" thickBot="1">
      <c r="A6" s="406"/>
      <c r="B6" s="407"/>
      <c r="C6" s="3175" t="s">
        <v>2530</v>
      </c>
      <c r="D6" s="3176"/>
      <c r="E6" s="3182" t="s">
        <v>2530</v>
      </c>
      <c r="F6" s="3183"/>
      <c r="G6" s="3175" t="s">
        <v>2530</v>
      </c>
      <c r="H6" s="3176"/>
      <c r="I6" s="3175" t="s">
        <v>2530</v>
      </c>
      <c r="J6" s="3176"/>
      <c r="K6" s="2598" t="s">
        <v>2531</v>
      </c>
      <c r="L6" s="1130"/>
      <c r="M6" s="1131"/>
      <c r="N6" s="1131"/>
      <c r="O6" s="1131"/>
      <c r="P6" s="3166"/>
      <c r="Q6" s="3167"/>
      <c r="R6" s="3170"/>
      <c r="S6" s="3171"/>
      <c r="T6" s="3172"/>
      <c r="U6" s="3173"/>
      <c r="V6" s="3174"/>
      <c r="W6" s="3174"/>
      <c r="X6" s="1814"/>
      <c r="Y6" s="3172"/>
      <c r="Z6" s="3173"/>
      <c r="AA6" s="3157"/>
      <c r="AB6" s="3157"/>
      <c r="AC6" s="3157"/>
    </row>
    <row r="7" spans="1:29" s="116" customFormat="1" ht="15.75" thickBot="1">
      <c r="A7" s="408" t="s">
        <v>2532</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179" t="s">
        <v>2533</v>
      </c>
      <c r="Q7" s="3181"/>
      <c r="R7" s="768" t="s">
        <v>23</v>
      </c>
      <c r="S7" s="769">
        <f t="shared" ref="S7:S15" si="0">F7</f>
        <v>100</v>
      </c>
      <c r="T7" s="768" t="s">
        <v>23</v>
      </c>
      <c r="U7" s="769">
        <f t="shared" ref="U7:U15" si="1">H7</f>
        <v>100</v>
      </c>
      <c r="V7" s="768" t="s">
        <v>23</v>
      </c>
      <c r="W7" s="769">
        <f t="shared" ref="W7:W15" si="2">J7</f>
        <v>100</v>
      </c>
      <c r="X7" s="770"/>
      <c r="Y7" s="3179" t="s">
        <v>2533</v>
      </c>
      <c r="Z7" s="3180"/>
      <c r="AA7" s="771">
        <f>D7/F7</f>
        <v>1</v>
      </c>
      <c r="AB7" s="771">
        <f>D7/H7</f>
        <v>1</v>
      </c>
      <c r="AC7" s="771">
        <f>D7/J7</f>
        <v>1</v>
      </c>
    </row>
    <row r="8" spans="1:29" s="116" customFormat="1" ht="15.75" thickBot="1">
      <c r="A8" s="408" t="s">
        <v>2534</v>
      </c>
      <c r="B8" s="409"/>
      <c r="C8" s="414" t="s">
        <v>2535</v>
      </c>
      <c r="D8" s="411">
        <v>100</v>
      </c>
      <c r="E8" s="414" t="s">
        <v>2535</v>
      </c>
      <c r="F8" s="413">
        <f>SUMIF(61:61,E8,62:62)-SUMIF(61:61,C8,62:62)+100</f>
        <v>100</v>
      </c>
      <c r="G8" s="414" t="s">
        <v>2535</v>
      </c>
      <c r="H8" s="411">
        <f>SUMIF(61:61,G8,62:62)-SUMIF(61:61,C8,62:62)+100</f>
        <v>100</v>
      </c>
      <c r="I8" s="414" t="s">
        <v>2535</v>
      </c>
      <c r="J8" s="411">
        <f>SUMIF(61:61,I8,62:62)-SUMIF(61:61,C8,62:62)+100</f>
        <v>100</v>
      </c>
      <c r="K8" s="2599"/>
      <c r="L8" s="1132"/>
      <c r="M8" s="1133"/>
      <c r="N8" s="1133"/>
      <c r="O8" s="1133"/>
      <c r="P8" s="3179" t="s">
        <v>2536</v>
      </c>
      <c r="Q8" s="3180"/>
      <c r="R8" s="768" t="s">
        <v>23</v>
      </c>
      <c r="S8" s="769">
        <f t="shared" si="0"/>
        <v>100</v>
      </c>
      <c r="T8" s="768" t="s">
        <v>23</v>
      </c>
      <c r="U8" s="769">
        <f t="shared" si="1"/>
        <v>100</v>
      </c>
      <c r="V8" s="768" t="s">
        <v>23</v>
      </c>
      <c r="W8" s="769">
        <f t="shared" si="2"/>
        <v>100</v>
      </c>
      <c r="X8" s="770"/>
      <c r="Y8" s="3179" t="s">
        <v>2536</v>
      </c>
      <c r="Z8" s="3180"/>
      <c r="AA8" s="771">
        <f t="shared" ref="AA8:AA19" si="3">D8/F8</f>
        <v>1</v>
      </c>
      <c r="AB8" s="771">
        <f t="shared" ref="AB8:AB19" si="4">D8/H8</f>
        <v>1</v>
      </c>
      <c r="AC8" s="771">
        <f t="shared" ref="AC8:AC19" si="5">D8/J8</f>
        <v>1</v>
      </c>
    </row>
    <row r="9" spans="1:29" s="116" customFormat="1">
      <c r="A9" s="415" t="s">
        <v>2537</v>
      </c>
      <c r="B9" s="70" t="s">
        <v>2538</v>
      </c>
      <c r="C9" s="416" t="s">
        <v>3054</v>
      </c>
      <c r="D9" s="134">
        <v>100</v>
      </c>
      <c r="E9" s="417" t="s">
        <v>3042</v>
      </c>
      <c r="F9" s="418">
        <f>SUMIF(63:63,E9,64:64)-SUMIF(63:63,C9,64:64)+100</f>
        <v>100</v>
      </c>
      <c r="G9" s="417" t="s">
        <v>3042</v>
      </c>
      <c r="H9" s="134">
        <f>SUMIF(63:63,G9,64:64)-SUMIF(63:63,C9,64:64)+100</f>
        <v>100</v>
      </c>
      <c r="I9" s="417" t="s">
        <v>3042</v>
      </c>
      <c r="J9" s="134">
        <f>SUMIF(63:63,I9,64:64)-SUMIF(63:63,C9,64:64)+100</f>
        <v>100</v>
      </c>
      <c r="K9" s="2599"/>
      <c r="L9" s="1132"/>
      <c r="M9" s="1133"/>
      <c r="N9" s="1133"/>
      <c r="O9" s="1133"/>
      <c r="P9" s="3154" t="s">
        <v>2539</v>
      </c>
      <c r="Q9" s="1796" t="str">
        <f t="shared" ref="Q9:Q15" si="6">B9</f>
        <v>用途</v>
      </c>
      <c r="R9" s="768" t="s">
        <v>17</v>
      </c>
      <c r="S9" s="769">
        <f t="shared" si="0"/>
        <v>100</v>
      </c>
      <c r="T9" s="768" t="s">
        <v>17</v>
      </c>
      <c r="U9" s="769">
        <f t="shared" si="1"/>
        <v>100</v>
      </c>
      <c r="V9" s="768" t="s">
        <v>17</v>
      </c>
      <c r="W9" s="769">
        <f t="shared" si="2"/>
        <v>100</v>
      </c>
      <c r="X9" s="770"/>
      <c r="Y9" s="2998" t="s">
        <v>2540</v>
      </c>
      <c r="Z9" s="54" t="str">
        <f t="shared" ref="Z9:Z15" si="7">Q9</f>
        <v>用途</v>
      </c>
      <c r="AA9" s="771">
        <f t="shared" si="3"/>
        <v>1</v>
      </c>
      <c r="AB9" s="771">
        <f t="shared" si="4"/>
        <v>1</v>
      </c>
      <c r="AC9" s="771">
        <f t="shared" si="5"/>
        <v>1</v>
      </c>
    </row>
    <row r="10" spans="1:29" s="427" customFormat="1" ht="27">
      <c r="A10" s="421"/>
      <c r="B10" s="422" t="s">
        <v>2541</v>
      </c>
      <c r="C10" s="423" t="s">
        <v>3055</v>
      </c>
      <c r="D10" s="135">
        <v>100</v>
      </c>
      <c r="E10" s="423" t="s">
        <v>3055</v>
      </c>
      <c r="F10" s="425">
        <f>SUMIF(65:65,E10,66:66)-SUMIF(65:65,C10,66:66)+100</f>
        <v>100</v>
      </c>
      <c r="G10" s="423" t="s">
        <v>3055</v>
      </c>
      <c r="H10" s="135">
        <f>SUMIF(65:65,G10,66:66)-SUMIF(65:65,C10,66:66)+100</f>
        <v>100</v>
      </c>
      <c r="I10" s="423" t="s">
        <v>3055</v>
      </c>
      <c r="J10" s="135">
        <f>SUMIF(65:65,I10,66:66)-SUMIF(65:65,C10,66:66)+100</f>
        <v>100</v>
      </c>
      <c r="K10" s="426">
        <v>1</v>
      </c>
      <c r="L10" s="1135"/>
      <c r="M10" s="1136"/>
      <c r="N10" s="1136"/>
      <c r="O10" s="1136"/>
      <c r="P10" s="3154"/>
      <c r="Q10" s="1796" t="str">
        <f t="shared" si="6"/>
        <v>土地使用年限（年）</v>
      </c>
      <c r="R10" s="768" t="s">
        <v>17</v>
      </c>
      <c r="S10" s="769">
        <f t="shared" si="0"/>
        <v>100</v>
      </c>
      <c r="T10" s="768" t="s">
        <v>17</v>
      </c>
      <c r="U10" s="769">
        <f t="shared" si="1"/>
        <v>100</v>
      </c>
      <c r="V10" s="768" t="s">
        <v>17</v>
      </c>
      <c r="W10" s="769">
        <f t="shared" si="2"/>
        <v>100</v>
      </c>
      <c r="X10" s="770"/>
      <c r="Y10" s="2998"/>
      <c r="Z10" s="54" t="str">
        <f t="shared" si="7"/>
        <v>土地使用年限（年）</v>
      </c>
      <c r="AA10" s="771">
        <f t="shared" si="3"/>
        <v>1</v>
      </c>
      <c r="AB10" s="771">
        <f t="shared" si="4"/>
        <v>1</v>
      </c>
      <c r="AC10" s="771">
        <f t="shared" si="5"/>
        <v>1</v>
      </c>
    </row>
    <row r="11" spans="1:29" ht="15.75" thickBot="1">
      <c r="A11" s="428"/>
      <c r="B11" s="422" t="s">
        <v>2542</v>
      </c>
      <c r="C11" s="429">
        <f>'数据-汇总表'!I6</f>
        <v>0.63</v>
      </c>
      <c r="D11" s="135">
        <v>100</v>
      </c>
      <c r="E11" s="430">
        <v>2.6</v>
      </c>
      <c r="F11" s="425">
        <f>LOOKUP(E11,68:68,69:69)-LOOKUP(C11,68:68,69:69)+100</f>
        <v>98</v>
      </c>
      <c r="G11" s="429">
        <v>2.5</v>
      </c>
      <c r="H11" s="135">
        <f>LOOKUP(G11,68:68,69:69)-LOOKUP(C11,68:68,69:69)+100</f>
        <v>98</v>
      </c>
      <c r="I11" s="429">
        <v>2.5</v>
      </c>
      <c r="J11" s="135">
        <f>LOOKUP(I11,68:68,69:69)-LOOKUP(C11,68:68,69:69)+100</f>
        <v>98</v>
      </c>
      <c r="K11" s="426">
        <v>1</v>
      </c>
      <c r="L11" s="1138"/>
      <c r="M11" s="1131"/>
      <c r="N11" s="1131"/>
      <c r="O11" s="1131"/>
      <c r="P11" s="3154"/>
      <c r="Q11" s="1796" t="str">
        <f t="shared" si="6"/>
        <v>容积率</v>
      </c>
      <c r="R11" s="768" t="s">
        <v>21</v>
      </c>
      <c r="S11" s="769">
        <f t="shared" si="0"/>
        <v>98</v>
      </c>
      <c r="T11" s="768" t="s">
        <v>21</v>
      </c>
      <c r="U11" s="769">
        <f t="shared" si="1"/>
        <v>98</v>
      </c>
      <c r="V11" s="768" t="s">
        <v>21</v>
      </c>
      <c r="W11" s="769">
        <f t="shared" si="2"/>
        <v>98</v>
      </c>
      <c r="X11" s="770"/>
      <c r="Y11" s="2998"/>
      <c r="Z11" s="54" t="str">
        <f t="shared" si="7"/>
        <v>容积率</v>
      </c>
      <c r="AA11" s="771">
        <f t="shared" si="3"/>
        <v>1.0204081632653061</v>
      </c>
      <c r="AB11" s="771">
        <f t="shared" si="4"/>
        <v>1.0204081632653061</v>
      </c>
      <c r="AC11" s="771">
        <f t="shared" si="5"/>
        <v>1.0204081632653061</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154"/>
      <c r="Q12" s="1796">
        <f t="shared" si="6"/>
        <v>111</v>
      </c>
      <c r="R12" s="768" t="s">
        <v>21</v>
      </c>
      <c r="S12" s="769">
        <f t="shared" si="0"/>
        <v>100</v>
      </c>
      <c r="T12" s="768" t="s">
        <v>21</v>
      </c>
      <c r="U12" s="769">
        <f t="shared" si="1"/>
        <v>100</v>
      </c>
      <c r="V12" s="768" t="s">
        <v>21</v>
      </c>
      <c r="W12" s="769">
        <f t="shared" si="2"/>
        <v>100</v>
      </c>
      <c r="X12" s="770"/>
      <c r="Y12" s="2998"/>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54"/>
      <c r="Q13" s="1796">
        <f t="shared" si="6"/>
        <v>111</v>
      </c>
      <c r="R13" s="768" t="s">
        <v>21</v>
      </c>
      <c r="S13" s="769">
        <f t="shared" si="0"/>
        <v>100</v>
      </c>
      <c r="T13" s="768" t="s">
        <v>21</v>
      </c>
      <c r="U13" s="769">
        <f t="shared" si="1"/>
        <v>100</v>
      </c>
      <c r="V13" s="768" t="s">
        <v>21</v>
      </c>
      <c r="W13" s="769">
        <f t="shared" si="2"/>
        <v>100</v>
      </c>
      <c r="X13" s="770"/>
      <c r="Y13" s="2998"/>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54"/>
      <c r="Q14" s="1796">
        <f t="shared" si="6"/>
        <v>111</v>
      </c>
      <c r="R14" s="768" t="s">
        <v>21</v>
      </c>
      <c r="S14" s="769">
        <f t="shared" si="0"/>
        <v>100</v>
      </c>
      <c r="T14" s="768" t="s">
        <v>21</v>
      </c>
      <c r="U14" s="769">
        <f t="shared" si="1"/>
        <v>100</v>
      </c>
      <c r="V14" s="768" t="s">
        <v>21</v>
      </c>
      <c r="W14" s="769">
        <f t="shared" si="2"/>
        <v>100</v>
      </c>
      <c r="X14" s="770"/>
      <c r="Y14" s="2998"/>
      <c r="Z14" s="54">
        <f t="shared" si="7"/>
        <v>111</v>
      </c>
      <c r="AA14" s="771">
        <f t="shared" si="3"/>
        <v>1</v>
      </c>
      <c r="AB14" s="771">
        <f t="shared" si="4"/>
        <v>1</v>
      </c>
      <c r="AC14" s="771">
        <f t="shared" si="5"/>
        <v>1</v>
      </c>
    </row>
    <row r="15" spans="1:29" ht="57">
      <c r="A15" s="440" t="s">
        <v>2543</v>
      </c>
      <c r="B15" s="68" t="s">
        <v>2084</v>
      </c>
      <c r="C15" s="2603" t="str">
        <f>估价对象房地状况!C3</f>
        <v>周边有夏威夷·蓝湾、美丽乡村别墅、金谷iSOHO等居住社区，综合评价居住社区成熟度较好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152" t="s">
        <v>2544</v>
      </c>
      <c r="Q15" s="1811" t="str">
        <f t="shared" si="6"/>
        <v>居住社区成熟度</v>
      </c>
      <c r="R15" s="772" t="s">
        <v>21</v>
      </c>
      <c r="S15" s="773">
        <f t="shared" si="0"/>
        <v>100</v>
      </c>
      <c r="T15" s="772" t="s">
        <v>21</v>
      </c>
      <c r="U15" s="773">
        <f t="shared" si="1"/>
        <v>100</v>
      </c>
      <c r="V15" s="772" t="s">
        <v>21</v>
      </c>
      <c r="W15" s="773">
        <f t="shared" si="2"/>
        <v>100</v>
      </c>
      <c r="X15" s="1814"/>
      <c r="Y15" s="3145" t="s">
        <v>2544</v>
      </c>
      <c r="Z15" s="1815" t="str">
        <f t="shared" si="7"/>
        <v>居住社区成熟度</v>
      </c>
      <c r="AA15" s="1812">
        <f t="shared" si="3"/>
        <v>1</v>
      </c>
      <c r="AB15" s="1812">
        <f t="shared" si="4"/>
        <v>1</v>
      </c>
      <c r="AC15" s="1812">
        <f t="shared" si="5"/>
        <v>1</v>
      </c>
    </row>
    <row r="16" spans="1:29" ht="15">
      <c r="A16" s="428"/>
      <c r="B16" s="446"/>
      <c r="C16" s="447" t="s">
        <v>3056</v>
      </c>
      <c r="D16" s="448"/>
      <c r="E16" s="447" t="s">
        <v>3056</v>
      </c>
      <c r="F16" s="448"/>
      <c r="G16" s="447" t="s">
        <v>3056</v>
      </c>
      <c r="H16" s="450"/>
      <c r="I16" s="447" t="s">
        <v>3056</v>
      </c>
      <c r="J16" s="448"/>
      <c r="K16" s="2606"/>
      <c r="L16" s="1140"/>
      <c r="M16" s="1131"/>
      <c r="N16" s="1131"/>
      <c r="O16" s="1131"/>
      <c r="P16" s="3153"/>
      <c r="Q16" s="1811"/>
      <c r="R16" s="772"/>
      <c r="S16" s="773"/>
      <c r="T16" s="772"/>
      <c r="U16" s="773"/>
      <c r="V16" s="772"/>
      <c r="W16" s="773"/>
      <c r="X16" s="1814"/>
      <c r="Y16" s="3146"/>
      <c r="Z16" s="1815"/>
      <c r="AA16" s="1812">
        <v>1</v>
      </c>
      <c r="AB16" s="1812">
        <v>1</v>
      </c>
      <c r="AC16" s="1812">
        <v>1</v>
      </c>
    </row>
    <row r="17" spans="1:29" ht="42.75">
      <c r="A17" s="428"/>
      <c r="B17" s="451" t="s">
        <v>2090</v>
      </c>
      <c r="C17" s="2607" t="str">
        <f>估价对象房地状况!C6</f>
        <v>周边有302、快速直达专线102路等公交线路，交通便捷度一般。</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153"/>
      <c r="Q17" s="1811" t="str">
        <f>B17</f>
        <v>交通便捷度</v>
      </c>
      <c r="R17" s="772" t="s">
        <v>21</v>
      </c>
      <c r="S17" s="773">
        <f>F17</f>
        <v>102</v>
      </c>
      <c r="T17" s="772" t="s">
        <v>21</v>
      </c>
      <c r="U17" s="773">
        <f>H17</f>
        <v>100</v>
      </c>
      <c r="V17" s="772" t="s">
        <v>21</v>
      </c>
      <c r="W17" s="773">
        <f>J17</f>
        <v>102</v>
      </c>
      <c r="X17" s="1814"/>
      <c r="Y17" s="3146"/>
      <c r="Z17" s="1815" t="str">
        <f>Q17</f>
        <v>交通便捷度</v>
      </c>
      <c r="AA17" s="1812">
        <f t="shared" si="3"/>
        <v>0.98039215686274506</v>
      </c>
      <c r="AB17" s="1812">
        <f t="shared" si="4"/>
        <v>1</v>
      </c>
      <c r="AC17" s="1812">
        <f t="shared" si="5"/>
        <v>0.98039215686274506</v>
      </c>
    </row>
    <row r="18" spans="1:29" ht="15">
      <c r="A18" s="428"/>
      <c r="B18" s="456"/>
      <c r="C18" s="2608" t="s">
        <v>3057</v>
      </c>
      <c r="D18" s="450"/>
      <c r="E18" s="2608" t="s">
        <v>3056</v>
      </c>
      <c r="F18" s="450"/>
      <c r="G18" s="2608" t="s">
        <v>3057</v>
      </c>
      <c r="H18" s="448"/>
      <c r="I18" s="2608" t="s">
        <v>3056</v>
      </c>
      <c r="J18" s="448"/>
      <c r="K18" s="2606"/>
      <c r="L18" s="1140"/>
      <c r="M18" s="1131"/>
      <c r="N18" s="1131"/>
      <c r="O18" s="1131"/>
      <c r="P18" s="3153"/>
      <c r="Q18" s="1811"/>
      <c r="R18" s="772"/>
      <c r="S18" s="773"/>
      <c r="T18" s="772"/>
      <c r="U18" s="773"/>
      <c r="V18" s="772"/>
      <c r="W18" s="773"/>
      <c r="X18" s="1814"/>
      <c r="Y18" s="3146"/>
      <c r="Z18" s="1815"/>
      <c r="AA18" s="1812">
        <v>1</v>
      </c>
      <c r="AB18" s="1812">
        <v>1</v>
      </c>
      <c r="AC18" s="1812">
        <v>1</v>
      </c>
    </row>
    <row r="19" spans="1:29" ht="56.25" customHeight="1">
      <c r="A19" s="428"/>
      <c r="B19" s="451" t="s">
        <v>2089</v>
      </c>
      <c r="C19" s="2607" t="str">
        <f>估价对象房地状况!C7</f>
        <v>估价对象周边无银行、商场、学校、医院，有社区超市等，公共配套设施较差。</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153"/>
      <c r="Q19" s="1811" t="str">
        <f>B19</f>
        <v>公共配套设施</v>
      </c>
      <c r="R19" s="772" t="s">
        <v>21</v>
      </c>
      <c r="S19" s="773">
        <f>F19</f>
        <v>104</v>
      </c>
      <c r="T19" s="772" t="s">
        <v>21</v>
      </c>
      <c r="U19" s="773">
        <f>H19</f>
        <v>100</v>
      </c>
      <c r="V19" s="772" t="s">
        <v>21</v>
      </c>
      <c r="W19" s="773">
        <f>J19</f>
        <v>104</v>
      </c>
      <c r="X19" s="1814"/>
      <c r="Y19" s="3146"/>
      <c r="Z19" s="1815" t="str">
        <f>Q19</f>
        <v>公共配套设施</v>
      </c>
      <c r="AA19" s="1812">
        <f t="shared" si="3"/>
        <v>0.96153846153846156</v>
      </c>
      <c r="AB19" s="1812">
        <f t="shared" si="4"/>
        <v>1</v>
      </c>
      <c r="AC19" s="1812">
        <f t="shared" si="5"/>
        <v>0.96153846153846156</v>
      </c>
    </row>
    <row r="20" spans="1:29" ht="15">
      <c r="A20" s="428"/>
      <c r="B20" s="456"/>
      <c r="C20" s="447" t="s">
        <v>3058</v>
      </c>
      <c r="D20" s="448"/>
      <c r="E20" s="447" t="s">
        <v>3056</v>
      </c>
      <c r="F20" s="448"/>
      <c r="G20" s="447" t="s">
        <v>3058</v>
      </c>
      <c r="H20" s="448"/>
      <c r="I20" s="447" t="s">
        <v>3056</v>
      </c>
      <c r="J20" s="448"/>
      <c r="K20" s="2606"/>
      <c r="L20" s="1140"/>
      <c r="M20" s="1131"/>
      <c r="N20" s="1131"/>
      <c r="O20" s="1131"/>
      <c r="P20" s="3153"/>
      <c r="Q20" s="1811"/>
      <c r="R20" s="772"/>
      <c r="S20" s="773"/>
      <c r="T20" s="772"/>
      <c r="U20" s="773"/>
      <c r="V20" s="772"/>
      <c r="W20" s="773"/>
      <c r="X20" s="1814"/>
      <c r="Y20" s="3146"/>
      <c r="Z20" s="1815"/>
      <c r="AA20" s="1812">
        <v>1</v>
      </c>
      <c r="AB20" s="1812">
        <v>1</v>
      </c>
      <c r="AC20" s="1812">
        <v>1</v>
      </c>
    </row>
    <row r="21" spans="1:29" ht="28.5">
      <c r="A21" s="428"/>
      <c r="B21" s="1384" t="s">
        <v>2091</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153"/>
      <c r="Q21" s="1811" t="str">
        <f>B21</f>
        <v>基础设施水平</v>
      </c>
      <c r="R21" s="772" t="s">
        <v>17</v>
      </c>
      <c r="S21" s="773">
        <f>F21</f>
        <v>100</v>
      </c>
      <c r="T21" s="772" t="s">
        <v>17</v>
      </c>
      <c r="U21" s="773">
        <f>H21</f>
        <v>100</v>
      </c>
      <c r="V21" s="772" t="s">
        <v>17</v>
      </c>
      <c r="W21" s="773">
        <f>J21</f>
        <v>100</v>
      </c>
      <c r="X21" s="1814"/>
      <c r="Y21" s="3146"/>
      <c r="Z21" s="1815" t="str">
        <f>Q21</f>
        <v>基础设施水平</v>
      </c>
      <c r="AA21" s="1812">
        <f t="shared" ref="AA21" si="8">D21/F21</f>
        <v>1</v>
      </c>
      <c r="AB21" s="1812">
        <f t="shared" ref="AB21" si="9">D21/H21</f>
        <v>1</v>
      </c>
      <c r="AC21" s="1812">
        <f t="shared" ref="AC21" si="10">D21/J21</f>
        <v>1</v>
      </c>
    </row>
    <row r="22" spans="1:29" ht="15">
      <c r="A22" s="428"/>
      <c r="B22" s="1384"/>
      <c r="C22" s="2608" t="s">
        <v>3059</v>
      </c>
      <c r="D22" s="448"/>
      <c r="E22" s="2608" t="s">
        <v>3059</v>
      </c>
      <c r="F22" s="448"/>
      <c r="G22" s="2608" t="s">
        <v>3059</v>
      </c>
      <c r="H22" s="448"/>
      <c r="I22" s="2608" t="s">
        <v>3059</v>
      </c>
      <c r="J22" s="448"/>
      <c r="K22" s="2612"/>
      <c r="L22" s="1140"/>
      <c r="M22" s="1131"/>
      <c r="N22" s="1131"/>
      <c r="O22" s="1131"/>
      <c r="P22" s="3153"/>
      <c r="Q22" s="1811"/>
      <c r="R22" s="772"/>
      <c r="S22" s="773"/>
      <c r="T22" s="772"/>
      <c r="U22" s="773"/>
      <c r="V22" s="772"/>
      <c r="W22" s="773"/>
      <c r="X22" s="1814"/>
      <c r="Y22" s="3146"/>
      <c r="Z22" s="1815"/>
      <c r="AA22" s="1812">
        <v>1</v>
      </c>
      <c r="AB22" s="1812">
        <v>1</v>
      </c>
      <c r="AC22" s="1812">
        <v>1</v>
      </c>
    </row>
    <row r="23" spans="1:29" ht="42.75">
      <c r="A23" s="428"/>
      <c r="B23" s="451" t="s">
        <v>2093</v>
      </c>
      <c r="C23" s="2607" t="str">
        <f>估价对象房地状况!C9</f>
        <v>周边绿化均为城市绿化，无高等教育机构等，综合评价环境状况一般</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153"/>
      <c r="Q23" s="1811" t="str">
        <f>B23</f>
        <v>自然及人文环境</v>
      </c>
      <c r="R23" s="772" t="s">
        <v>21</v>
      </c>
      <c r="S23" s="773">
        <f>F23</f>
        <v>102</v>
      </c>
      <c r="T23" s="772" t="s">
        <v>21</v>
      </c>
      <c r="U23" s="773">
        <f>H23</f>
        <v>100</v>
      </c>
      <c r="V23" s="772" t="s">
        <v>21</v>
      </c>
      <c r="W23" s="773">
        <f>J23</f>
        <v>102</v>
      </c>
      <c r="X23" s="1814"/>
      <c r="Y23" s="3146"/>
      <c r="Z23" s="1815" t="str">
        <f>Q23</f>
        <v>自然及人文环境</v>
      </c>
      <c r="AA23" s="1812">
        <f>D23/F23</f>
        <v>0.98039215686274506</v>
      </c>
      <c r="AB23" s="1812">
        <f>D23/H23</f>
        <v>1</v>
      </c>
      <c r="AC23" s="1812">
        <f>D23/J23</f>
        <v>0.98039215686274506</v>
      </c>
    </row>
    <row r="24" spans="1:29" ht="15">
      <c r="A24" s="428"/>
      <c r="B24" s="456"/>
      <c r="C24" s="447" t="s">
        <v>3057</v>
      </c>
      <c r="D24" s="448"/>
      <c r="E24" s="447" t="s">
        <v>3056</v>
      </c>
      <c r="F24" s="448"/>
      <c r="G24" s="447" t="s">
        <v>3057</v>
      </c>
      <c r="H24" s="448"/>
      <c r="I24" s="447" t="s">
        <v>3056</v>
      </c>
      <c r="J24" s="448"/>
      <c r="K24" s="2606"/>
      <c r="L24" s="1140"/>
      <c r="M24" s="1131"/>
      <c r="N24" s="1131"/>
      <c r="O24" s="1131"/>
      <c r="P24" s="3153"/>
      <c r="Q24" s="1811"/>
      <c r="R24" s="772"/>
      <c r="S24" s="773"/>
      <c r="T24" s="772"/>
      <c r="U24" s="773"/>
      <c r="V24" s="772"/>
      <c r="W24" s="773"/>
      <c r="X24" s="1814"/>
      <c r="Y24" s="3146"/>
      <c r="Z24" s="1815"/>
      <c r="AA24" s="1812">
        <v>1</v>
      </c>
      <c r="AB24" s="1812">
        <v>1</v>
      </c>
      <c r="AC24" s="1812">
        <v>1</v>
      </c>
    </row>
    <row r="25" spans="1:29" ht="15">
      <c r="A25" s="428"/>
      <c r="B25" s="422" t="s">
        <v>2545</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53"/>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46"/>
      <c r="Z25" s="1815" t="str">
        <f>Q25</f>
        <v>楼层-1</v>
      </c>
      <c r="AA25" s="1812">
        <f t="shared" ref="AA25:AA46" si="15">D25/F25</f>
        <v>1</v>
      </c>
      <c r="AB25" s="1812">
        <f t="shared" ref="AB25:AB46" si="16">D25/H25</f>
        <v>1</v>
      </c>
      <c r="AC25" s="1812">
        <f t="shared" ref="AC25:AC46" si="17">D25/J25</f>
        <v>1</v>
      </c>
    </row>
    <row r="26" spans="1:29" ht="15.75" thickBot="1">
      <c r="A26" s="428"/>
      <c r="B26" s="422" t="s">
        <v>2546</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53"/>
      <c r="Q26" s="1811" t="str">
        <f t="shared" si="11"/>
        <v>朝向</v>
      </c>
      <c r="R26" s="772" t="s">
        <v>21</v>
      </c>
      <c r="S26" s="773">
        <f t="shared" si="12"/>
        <v>100</v>
      </c>
      <c r="T26" s="772" t="s">
        <v>21</v>
      </c>
      <c r="U26" s="773">
        <f t="shared" si="13"/>
        <v>100</v>
      </c>
      <c r="V26" s="772" t="s">
        <v>21</v>
      </c>
      <c r="W26" s="773">
        <f t="shared" si="14"/>
        <v>100</v>
      </c>
      <c r="X26" s="1814"/>
      <c r="Y26" s="3146"/>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53"/>
      <c r="Q27" s="1796">
        <f t="shared" si="11"/>
        <v>111</v>
      </c>
      <c r="R27" s="768" t="s">
        <v>21</v>
      </c>
      <c r="S27" s="769">
        <f t="shared" si="12"/>
        <v>100</v>
      </c>
      <c r="T27" s="768" t="s">
        <v>21</v>
      </c>
      <c r="U27" s="769">
        <f t="shared" si="13"/>
        <v>100</v>
      </c>
      <c r="V27" s="768" t="s">
        <v>21</v>
      </c>
      <c r="W27" s="769">
        <f t="shared" si="14"/>
        <v>100</v>
      </c>
      <c r="X27" s="770"/>
      <c r="Y27" s="3146"/>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53"/>
      <c r="Q28" s="1811">
        <f t="shared" si="11"/>
        <v>111</v>
      </c>
      <c r="R28" s="772" t="s">
        <v>21</v>
      </c>
      <c r="S28" s="773">
        <f t="shared" si="12"/>
        <v>100</v>
      </c>
      <c r="T28" s="772" t="s">
        <v>21</v>
      </c>
      <c r="U28" s="773">
        <f t="shared" si="13"/>
        <v>100</v>
      </c>
      <c r="V28" s="772" t="s">
        <v>21</v>
      </c>
      <c r="W28" s="773">
        <f t="shared" si="14"/>
        <v>100</v>
      </c>
      <c r="X28" s="1814"/>
      <c r="Y28" s="3146"/>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53"/>
      <c r="Q29" s="1811">
        <f t="shared" si="11"/>
        <v>111</v>
      </c>
      <c r="R29" s="772" t="s">
        <v>21</v>
      </c>
      <c r="S29" s="773">
        <f t="shared" si="12"/>
        <v>100</v>
      </c>
      <c r="T29" s="772" t="s">
        <v>21</v>
      </c>
      <c r="U29" s="773">
        <f t="shared" si="13"/>
        <v>100</v>
      </c>
      <c r="V29" s="772" t="s">
        <v>21</v>
      </c>
      <c r="W29" s="773">
        <f t="shared" si="14"/>
        <v>100</v>
      </c>
      <c r="X29" s="1814"/>
      <c r="Y29" s="3146"/>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53"/>
      <c r="Q30" s="1811">
        <f t="shared" si="11"/>
        <v>111</v>
      </c>
      <c r="R30" s="772" t="s">
        <v>21</v>
      </c>
      <c r="S30" s="773">
        <f t="shared" si="12"/>
        <v>100</v>
      </c>
      <c r="T30" s="772" t="s">
        <v>21</v>
      </c>
      <c r="U30" s="773">
        <f t="shared" si="13"/>
        <v>100</v>
      </c>
      <c r="V30" s="772" t="s">
        <v>21</v>
      </c>
      <c r="W30" s="773">
        <f t="shared" si="14"/>
        <v>100</v>
      </c>
      <c r="X30" s="1814"/>
      <c r="Y30" s="3146"/>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53"/>
      <c r="Q31" s="1811">
        <f t="shared" si="11"/>
        <v>111</v>
      </c>
      <c r="R31" s="772" t="s">
        <v>21</v>
      </c>
      <c r="S31" s="773">
        <f t="shared" si="12"/>
        <v>100</v>
      </c>
      <c r="T31" s="772" t="s">
        <v>21</v>
      </c>
      <c r="U31" s="773">
        <f t="shared" si="13"/>
        <v>100</v>
      </c>
      <c r="V31" s="772" t="s">
        <v>21</v>
      </c>
      <c r="W31" s="773">
        <f t="shared" si="14"/>
        <v>100</v>
      </c>
      <c r="X31" s="1814"/>
      <c r="Y31" s="3146"/>
      <c r="Z31" s="1815">
        <f t="shared" si="18"/>
        <v>111</v>
      </c>
      <c r="AA31" s="1812">
        <f t="shared" si="15"/>
        <v>1</v>
      </c>
      <c r="AB31" s="1812">
        <f t="shared" si="16"/>
        <v>1</v>
      </c>
      <c r="AC31" s="1812">
        <f t="shared" si="17"/>
        <v>1</v>
      </c>
    </row>
    <row r="32" spans="1:29" ht="15">
      <c r="A32" s="440" t="s">
        <v>2547</v>
      </c>
      <c r="B32" s="70" t="s">
        <v>2548</v>
      </c>
      <c r="C32" s="2617" t="s">
        <v>3060</v>
      </c>
      <c r="D32" s="467">
        <v>100</v>
      </c>
      <c r="E32" s="2617" t="s">
        <v>3060</v>
      </c>
      <c r="F32" s="461">
        <f>SUMIF(100:100,E32,101:101)-SUMIF(100:100,C32,101:101)+100</f>
        <v>100</v>
      </c>
      <c r="G32" s="2617" t="s">
        <v>3060</v>
      </c>
      <c r="H32" s="467">
        <f>SUMIF(100:100,G32,101:101)-SUMIF(100:100,C32,101:101)+100</f>
        <v>100</v>
      </c>
      <c r="I32" s="2617" t="s">
        <v>3060</v>
      </c>
      <c r="J32" s="435">
        <f>SUMIF(100:100,I32,101:101)-SUMIF(100:100,C32,101:101)+100</f>
        <v>100</v>
      </c>
      <c r="K32" s="426">
        <v>2</v>
      </c>
      <c r="L32" s="1140"/>
      <c r="M32" s="1131"/>
      <c r="N32" s="1131"/>
      <c r="O32" s="1131"/>
      <c r="P32" s="3147" t="s">
        <v>2549</v>
      </c>
      <c r="Q32" s="1811" t="str">
        <f t="shared" si="11"/>
        <v>建筑类型</v>
      </c>
      <c r="R32" s="772" t="s">
        <v>21</v>
      </c>
      <c r="S32" s="773">
        <f t="shared" si="12"/>
        <v>100</v>
      </c>
      <c r="T32" s="772" t="s">
        <v>21</v>
      </c>
      <c r="U32" s="773">
        <f t="shared" si="13"/>
        <v>100</v>
      </c>
      <c r="V32" s="772" t="s">
        <v>21</v>
      </c>
      <c r="W32" s="773">
        <f t="shared" si="14"/>
        <v>100</v>
      </c>
      <c r="X32" s="1814"/>
      <c r="Y32" s="3150" t="s">
        <v>2549</v>
      </c>
      <c r="Z32" s="1815" t="str">
        <f t="shared" si="18"/>
        <v>建筑类型</v>
      </c>
      <c r="AA32" s="1812">
        <f t="shared" si="15"/>
        <v>1</v>
      </c>
      <c r="AB32" s="1812">
        <f t="shared" si="16"/>
        <v>1</v>
      </c>
      <c r="AC32" s="1812">
        <f t="shared" si="17"/>
        <v>1</v>
      </c>
    </row>
    <row r="33" spans="1:29" s="471" customFormat="1" ht="15">
      <c r="A33" s="468"/>
      <c r="B33" s="422" t="s">
        <v>2550</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148"/>
      <c r="Q33" s="774" t="str">
        <f t="shared" si="11"/>
        <v>项目建筑规模</v>
      </c>
      <c r="R33" s="775" t="s">
        <v>21</v>
      </c>
      <c r="S33" s="776">
        <f t="shared" si="12"/>
        <v>100</v>
      </c>
      <c r="T33" s="775" t="s">
        <v>21</v>
      </c>
      <c r="U33" s="776">
        <f t="shared" si="13"/>
        <v>100</v>
      </c>
      <c r="V33" s="775" t="s">
        <v>21</v>
      </c>
      <c r="W33" s="776">
        <f t="shared" si="14"/>
        <v>100</v>
      </c>
      <c r="X33" s="777"/>
      <c r="Y33" s="3150"/>
      <c r="Z33" s="778" t="str">
        <f t="shared" si="18"/>
        <v>项目建筑规模</v>
      </c>
      <c r="AA33" s="1812">
        <f t="shared" si="15"/>
        <v>1</v>
      </c>
      <c r="AB33" s="1812">
        <f t="shared" si="16"/>
        <v>1</v>
      </c>
      <c r="AC33" s="1812">
        <f t="shared" si="17"/>
        <v>1</v>
      </c>
    </row>
    <row r="34" spans="1:29" ht="15">
      <c r="A34" s="472"/>
      <c r="B34" s="422" t="s">
        <v>2551</v>
      </c>
      <c r="C34" s="2618" t="s">
        <v>3062</v>
      </c>
      <c r="D34" s="435">
        <v>100</v>
      </c>
      <c r="E34" s="2618" t="s">
        <v>3062</v>
      </c>
      <c r="F34" s="461">
        <f>SUMIF(105:105,E34,106:106)-SUMIF(105:105,C34,106:106)+100</f>
        <v>100</v>
      </c>
      <c r="G34" s="2618" t="s">
        <v>3062</v>
      </c>
      <c r="H34" s="435">
        <f>SUMIF(105:105,G34,106:106)-SUMIF(105:105,C34,106:106)+100</f>
        <v>100</v>
      </c>
      <c r="I34" s="2618" t="s">
        <v>3062</v>
      </c>
      <c r="J34" s="435">
        <f>SUMIF(105:105,I34,106:106)-SUMIF(105:105,C34,106:106)+100</f>
        <v>100</v>
      </c>
      <c r="K34" s="426">
        <v>2</v>
      </c>
      <c r="L34" s="1140"/>
      <c r="M34" s="1131"/>
      <c r="N34" s="1131"/>
      <c r="O34" s="1131"/>
      <c r="P34" s="3148"/>
      <c r="Q34" s="1811" t="str">
        <f t="shared" si="11"/>
        <v>建筑结构</v>
      </c>
      <c r="R34" s="772" t="s">
        <v>21</v>
      </c>
      <c r="S34" s="773">
        <f t="shared" si="12"/>
        <v>100</v>
      </c>
      <c r="T34" s="772" t="s">
        <v>21</v>
      </c>
      <c r="U34" s="773">
        <f t="shared" si="13"/>
        <v>100</v>
      </c>
      <c r="V34" s="772" t="s">
        <v>21</v>
      </c>
      <c r="W34" s="773">
        <f t="shared" si="14"/>
        <v>100</v>
      </c>
      <c r="X34" s="1814"/>
      <c r="Y34" s="3150"/>
      <c r="Z34" s="1815" t="str">
        <f t="shared" si="18"/>
        <v>建筑结构</v>
      </c>
      <c r="AA34" s="1812">
        <f t="shared" si="15"/>
        <v>1</v>
      </c>
      <c r="AB34" s="1812">
        <f t="shared" si="16"/>
        <v>1</v>
      </c>
      <c r="AC34" s="1812">
        <f t="shared" si="17"/>
        <v>1</v>
      </c>
    </row>
    <row r="35" spans="1:29" ht="15">
      <c r="A35" s="472"/>
      <c r="B35" s="422" t="s">
        <v>2552</v>
      </c>
      <c r="C35" s="2613" t="s">
        <v>3064</v>
      </c>
      <c r="D35" s="435">
        <v>100</v>
      </c>
      <c r="E35" s="2613" t="s">
        <v>3064</v>
      </c>
      <c r="F35" s="461">
        <f>SUMIF(107:107,E35,108:108)-SUMIF(107:107,C35,108:108)+100</f>
        <v>100</v>
      </c>
      <c r="G35" s="2613" t="s">
        <v>3064</v>
      </c>
      <c r="H35" s="435">
        <f>SUMIF(107:107,G35,108:108)-SUMIF(107:107,C35,108:108)+100</f>
        <v>100</v>
      </c>
      <c r="I35" s="2613" t="s">
        <v>3064</v>
      </c>
      <c r="J35" s="435">
        <f>SUMIF(107:107,I35,108:108)-SUMIF(107:107,C35,108:108)+100</f>
        <v>100</v>
      </c>
      <c r="K35" s="426">
        <v>2</v>
      </c>
      <c r="L35" s="1140"/>
      <c r="M35" s="1131"/>
      <c r="N35" s="1131"/>
      <c r="O35" s="1131"/>
      <c r="P35" s="3148"/>
      <c r="Q35" s="1811" t="str">
        <f t="shared" si="11"/>
        <v>建筑品质</v>
      </c>
      <c r="R35" s="772" t="s">
        <v>21</v>
      </c>
      <c r="S35" s="773">
        <f t="shared" si="12"/>
        <v>100</v>
      </c>
      <c r="T35" s="772" t="s">
        <v>21</v>
      </c>
      <c r="U35" s="773">
        <f t="shared" si="13"/>
        <v>100</v>
      </c>
      <c r="V35" s="772" t="s">
        <v>21</v>
      </c>
      <c r="W35" s="773">
        <f t="shared" si="14"/>
        <v>100</v>
      </c>
      <c r="X35" s="1814"/>
      <c r="Y35" s="3150"/>
      <c r="Z35" s="1815" t="str">
        <f t="shared" si="18"/>
        <v>建筑品质</v>
      </c>
      <c r="AA35" s="1812">
        <f t="shared" si="15"/>
        <v>1</v>
      </c>
      <c r="AB35" s="1812">
        <f t="shared" si="16"/>
        <v>1</v>
      </c>
      <c r="AC35" s="1812">
        <f t="shared" si="17"/>
        <v>1</v>
      </c>
    </row>
    <row r="36" spans="1:29" ht="15">
      <c r="A36" s="472"/>
      <c r="B36" s="422" t="s">
        <v>2553</v>
      </c>
      <c r="C36" s="2613" t="s">
        <v>3070</v>
      </c>
      <c r="D36" s="435">
        <v>100</v>
      </c>
      <c r="E36" s="2613" t="s">
        <v>3070</v>
      </c>
      <c r="F36" s="461">
        <f>SUMIF(109:109,E36,110:110)-SUMIF(109:109,C36,110:110)+100</f>
        <v>100</v>
      </c>
      <c r="G36" s="2613" t="s">
        <v>3070</v>
      </c>
      <c r="H36" s="435">
        <f>SUMIF(109:109,G36,110:110)-SUMIF(109:109,C36,110:110)+100</f>
        <v>100</v>
      </c>
      <c r="I36" s="2613" t="s">
        <v>3070</v>
      </c>
      <c r="J36" s="435">
        <f>SUMIF(109:109,I36,110:110)-SUMIF(109:109,C36,110:110)+100</f>
        <v>100</v>
      </c>
      <c r="K36" s="426">
        <v>2</v>
      </c>
      <c r="L36" s="1140"/>
      <c r="M36" s="1131"/>
      <c r="N36" s="1131"/>
      <c r="O36" s="1131"/>
      <c r="P36" s="3148"/>
      <c r="Q36" s="1811" t="str">
        <f t="shared" si="11"/>
        <v>公共部分装修</v>
      </c>
      <c r="R36" s="772" t="s">
        <v>21</v>
      </c>
      <c r="S36" s="773">
        <f t="shared" si="12"/>
        <v>100</v>
      </c>
      <c r="T36" s="772" t="s">
        <v>21</v>
      </c>
      <c r="U36" s="773">
        <f t="shared" si="13"/>
        <v>100</v>
      </c>
      <c r="V36" s="772" t="s">
        <v>21</v>
      </c>
      <c r="W36" s="773">
        <f t="shared" si="14"/>
        <v>100</v>
      </c>
      <c r="X36" s="1814"/>
      <c r="Y36" s="3150"/>
      <c r="Z36" s="1815" t="str">
        <f t="shared" si="18"/>
        <v>公共部分装修</v>
      </c>
      <c r="AA36" s="1812">
        <f t="shared" si="15"/>
        <v>1</v>
      </c>
      <c r="AB36" s="1812">
        <f t="shared" si="16"/>
        <v>1</v>
      </c>
      <c r="AC36" s="1812">
        <f t="shared" si="17"/>
        <v>1</v>
      </c>
    </row>
    <row r="37" spans="1:29" s="116" customFormat="1" ht="15">
      <c r="A37" s="473"/>
      <c r="B37" s="422" t="s">
        <v>2554</v>
      </c>
      <c r="C37" s="474">
        <f>'数据-取费表'!N6</f>
        <v>0.95</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148"/>
      <c r="Q37" s="1796" t="str">
        <f t="shared" si="11"/>
        <v>成新度</v>
      </c>
      <c r="R37" s="768" t="s">
        <v>21</v>
      </c>
      <c r="S37" s="769">
        <f t="shared" si="12"/>
        <v>100</v>
      </c>
      <c r="T37" s="768" t="s">
        <v>21</v>
      </c>
      <c r="U37" s="769">
        <f t="shared" si="13"/>
        <v>100</v>
      </c>
      <c r="V37" s="768" t="s">
        <v>21</v>
      </c>
      <c r="W37" s="769">
        <f t="shared" si="14"/>
        <v>100</v>
      </c>
      <c r="X37" s="770"/>
      <c r="Y37" s="3150"/>
      <c r="Z37" s="54" t="str">
        <f t="shared" si="18"/>
        <v>成新度</v>
      </c>
      <c r="AA37" s="771">
        <f t="shared" si="15"/>
        <v>1</v>
      </c>
      <c r="AB37" s="771">
        <f t="shared" si="16"/>
        <v>1</v>
      </c>
      <c r="AC37" s="771">
        <f t="shared" si="17"/>
        <v>1</v>
      </c>
    </row>
    <row r="38" spans="1:29" ht="15">
      <c r="A38" s="472"/>
      <c r="B38" s="422" t="s">
        <v>2555</v>
      </c>
      <c r="C38" s="2613" t="s">
        <v>3072</v>
      </c>
      <c r="D38" s="435">
        <v>100</v>
      </c>
      <c r="E38" s="2613" t="s">
        <v>3072</v>
      </c>
      <c r="F38" s="461">
        <f>SUMIF(114:114,E38,115:115)-SUMIF(114:114,C38,115:115)+100</f>
        <v>100</v>
      </c>
      <c r="G38" s="2613" t="s">
        <v>3072</v>
      </c>
      <c r="H38" s="435">
        <f>SUMIF(114:114,G38,115:115)-SUMIF(114:114,C38,115:115)+100</f>
        <v>100</v>
      </c>
      <c r="I38" s="2613" t="s">
        <v>3072</v>
      </c>
      <c r="J38" s="435">
        <f>SUMIF(114:114,I38,115:115)-SUMIF(114:114,C38,115:115)+100</f>
        <v>100</v>
      </c>
      <c r="K38" s="426">
        <v>2</v>
      </c>
      <c r="L38" s="1140"/>
      <c r="M38" s="1131"/>
      <c r="N38" s="1131"/>
      <c r="O38" s="1131"/>
      <c r="P38" s="3148" t="s">
        <v>2549</v>
      </c>
      <c r="Q38" s="1811" t="str">
        <f t="shared" si="11"/>
        <v>物业管理</v>
      </c>
      <c r="R38" s="772" t="s">
        <v>21</v>
      </c>
      <c r="S38" s="773">
        <f t="shared" si="12"/>
        <v>100</v>
      </c>
      <c r="T38" s="772" t="s">
        <v>21</v>
      </c>
      <c r="U38" s="773">
        <f t="shared" si="13"/>
        <v>100</v>
      </c>
      <c r="V38" s="772" t="s">
        <v>21</v>
      </c>
      <c r="W38" s="773">
        <f t="shared" si="14"/>
        <v>100</v>
      </c>
      <c r="X38" s="1814"/>
      <c r="Y38" s="3150" t="s">
        <v>2549</v>
      </c>
      <c r="Z38" s="1815" t="str">
        <f t="shared" si="18"/>
        <v>物业管理</v>
      </c>
      <c r="AA38" s="1812">
        <f t="shared" si="15"/>
        <v>1</v>
      </c>
      <c r="AB38" s="1812">
        <f t="shared" si="16"/>
        <v>1</v>
      </c>
      <c r="AC38" s="1812">
        <f t="shared" si="17"/>
        <v>1</v>
      </c>
    </row>
    <row r="39" spans="1:29" ht="15">
      <c r="A39" s="472"/>
      <c r="B39" s="422" t="s">
        <v>2556</v>
      </c>
      <c r="C39" s="2613" t="s">
        <v>3059</v>
      </c>
      <c r="D39" s="435">
        <v>100</v>
      </c>
      <c r="E39" s="2613" t="s">
        <v>3059</v>
      </c>
      <c r="F39" s="461">
        <f>SUMIF(116:116,E39,117:117)-SUMIF(116:116,C39,117:117)+100</f>
        <v>100</v>
      </c>
      <c r="G39" s="2613" t="s">
        <v>3059</v>
      </c>
      <c r="H39" s="435">
        <f>SUMIF(116:116,G39,117:117)-SUMIF(116:116,C39,117:117)+100</f>
        <v>100</v>
      </c>
      <c r="I39" s="2613" t="s">
        <v>3059</v>
      </c>
      <c r="J39" s="435">
        <f>SUMIF(116:116,I39,117:117)-SUMIF(116:116,C39,117:117)+100</f>
        <v>100</v>
      </c>
      <c r="K39" s="426">
        <v>1</v>
      </c>
      <c r="L39" s="1140"/>
      <c r="M39" s="1131"/>
      <c r="N39" s="1131"/>
      <c r="O39" s="1131"/>
      <c r="P39" s="3148"/>
      <c r="Q39" s="1811" t="str">
        <f t="shared" si="11"/>
        <v>市政基础设施</v>
      </c>
      <c r="R39" s="772" t="s">
        <v>21</v>
      </c>
      <c r="S39" s="773">
        <f t="shared" si="12"/>
        <v>100</v>
      </c>
      <c r="T39" s="772" t="s">
        <v>21</v>
      </c>
      <c r="U39" s="773">
        <f t="shared" si="13"/>
        <v>100</v>
      </c>
      <c r="V39" s="772" t="s">
        <v>21</v>
      </c>
      <c r="W39" s="773">
        <f t="shared" si="14"/>
        <v>100</v>
      </c>
      <c r="X39" s="1814"/>
      <c r="Y39" s="3150"/>
      <c r="Z39" s="1815" t="str">
        <f t="shared" si="18"/>
        <v>市政基础设施</v>
      </c>
      <c r="AA39" s="1812">
        <f t="shared" si="15"/>
        <v>1</v>
      </c>
      <c r="AB39" s="1812">
        <f t="shared" si="16"/>
        <v>1</v>
      </c>
      <c r="AC39" s="1812">
        <f t="shared" si="17"/>
        <v>1</v>
      </c>
    </row>
    <row r="40" spans="1:29" ht="15" hidden="1">
      <c r="A40" s="472"/>
      <c r="B40" s="422" t="s">
        <v>2557</v>
      </c>
      <c r="C40" s="2613" t="s">
        <v>3077</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48"/>
      <c r="Q40" s="1811" t="str">
        <f t="shared" si="11"/>
        <v>房型</v>
      </c>
      <c r="R40" s="772" t="s">
        <v>21</v>
      </c>
      <c r="S40" s="773">
        <f t="shared" si="12"/>
        <v>100</v>
      </c>
      <c r="T40" s="772" t="s">
        <v>21</v>
      </c>
      <c r="U40" s="773">
        <f t="shared" si="13"/>
        <v>100</v>
      </c>
      <c r="V40" s="772" t="s">
        <v>21</v>
      </c>
      <c r="W40" s="773">
        <f t="shared" si="14"/>
        <v>100</v>
      </c>
      <c r="X40" s="1814"/>
      <c r="Y40" s="3150"/>
      <c r="Z40" s="1815" t="str">
        <f t="shared" si="18"/>
        <v>房型</v>
      </c>
      <c r="AA40" s="1812">
        <f t="shared" si="15"/>
        <v>1</v>
      </c>
      <c r="AB40" s="1812">
        <f t="shared" si="16"/>
        <v>1</v>
      </c>
      <c r="AC40" s="1812">
        <f t="shared" si="17"/>
        <v>1</v>
      </c>
    </row>
    <row r="41" spans="1:29" s="471" customFormat="1" ht="28.5">
      <c r="A41" s="468"/>
      <c r="B41" s="422" t="s">
        <v>2558</v>
      </c>
      <c r="C41" s="469" t="s">
        <v>3079</v>
      </c>
      <c r="D41" s="135">
        <v>100</v>
      </c>
      <c r="E41" s="469" t="s">
        <v>3079</v>
      </c>
      <c r="F41" s="425">
        <f>SUMIF(120:120,E41,121:121)-SUMIF(120:120,C41,121:121)+100</f>
        <v>100</v>
      </c>
      <c r="G41" s="469" t="s">
        <v>3079</v>
      </c>
      <c r="H41" s="135">
        <f>SUMIF(120:120,G41,121:121)-SUMIF(120:120,C41,121:121)+100</f>
        <v>100</v>
      </c>
      <c r="I41" s="469" t="s">
        <v>3079</v>
      </c>
      <c r="J41" s="435">
        <f>SUMIF(120:120,I41,121:121)-SUMIF(120:120,C41,121:121)+100</f>
        <v>100</v>
      </c>
      <c r="K41" s="2601"/>
      <c r="L41" s="1138"/>
      <c r="M41" s="1141"/>
      <c r="N41" s="1141"/>
      <c r="O41" s="1141"/>
      <c r="P41" s="3148"/>
      <c r="Q41" s="774" t="str">
        <f t="shared" si="11"/>
        <v>单套/主力户型建筑面积</v>
      </c>
      <c r="R41" s="775" t="s">
        <v>21</v>
      </c>
      <c r="S41" s="776">
        <f t="shared" si="12"/>
        <v>100</v>
      </c>
      <c r="T41" s="775" t="s">
        <v>21</v>
      </c>
      <c r="U41" s="776">
        <f t="shared" si="13"/>
        <v>100</v>
      </c>
      <c r="V41" s="775" t="s">
        <v>21</v>
      </c>
      <c r="W41" s="776">
        <f t="shared" si="14"/>
        <v>100</v>
      </c>
      <c r="X41" s="777"/>
      <c r="Y41" s="3150"/>
      <c r="Z41" s="778" t="str">
        <f t="shared" si="18"/>
        <v>单套/主力户型建筑面积</v>
      </c>
      <c r="AA41" s="1812">
        <f t="shared" si="15"/>
        <v>1</v>
      </c>
      <c r="AB41" s="1812">
        <f t="shared" si="16"/>
        <v>1</v>
      </c>
      <c r="AC41" s="1812">
        <f t="shared" si="17"/>
        <v>1</v>
      </c>
    </row>
    <row r="42" spans="1:29" ht="15">
      <c r="A42" s="472"/>
      <c r="B42" s="422" t="s">
        <v>2559</v>
      </c>
      <c r="C42" s="2613" t="s">
        <v>3070</v>
      </c>
      <c r="D42" s="435">
        <v>100</v>
      </c>
      <c r="E42" s="2613" t="s">
        <v>3070</v>
      </c>
      <c r="F42" s="461">
        <f>SUMIF(122:122,E42,123:123)-SUMIF(122:122,C42,123:123)+100</f>
        <v>100</v>
      </c>
      <c r="G42" s="2613" t="s">
        <v>3070</v>
      </c>
      <c r="H42" s="435">
        <f>SUMIF(122:122,G42,123:123)-SUMIF(122:122,C42,123:123)+100</f>
        <v>100</v>
      </c>
      <c r="I42" s="2613" t="s">
        <v>3070</v>
      </c>
      <c r="J42" s="435">
        <f>SUMIF(122:122,I42,123:123)-SUMIF(122:122,C42,123:123)+100</f>
        <v>100</v>
      </c>
      <c r="K42" s="426">
        <v>2</v>
      </c>
      <c r="L42" s="1140"/>
      <c r="M42" s="1131"/>
      <c r="N42" s="1131"/>
      <c r="O42" s="1131"/>
      <c r="P42" s="3148"/>
      <c r="Q42" s="1811" t="str">
        <f t="shared" si="11"/>
        <v>内部装修</v>
      </c>
      <c r="R42" s="772" t="s">
        <v>21</v>
      </c>
      <c r="S42" s="773">
        <f t="shared" si="12"/>
        <v>100</v>
      </c>
      <c r="T42" s="772" t="s">
        <v>21</v>
      </c>
      <c r="U42" s="773">
        <f t="shared" si="13"/>
        <v>100</v>
      </c>
      <c r="V42" s="772" t="s">
        <v>21</v>
      </c>
      <c r="W42" s="773">
        <f t="shared" si="14"/>
        <v>100</v>
      </c>
      <c r="X42" s="1814"/>
      <c r="Y42" s="3150"/>
      <c r="Z42" s="1815" t="str">
        <f t="shared" si="18"/>
        <v>内部装修</v>
      </c>
      <c r="AA42" s="1812">
        <f t="shared" si="15"/>
        <v>1</v>
      </c>
      <c r="AB42" s="1812">
        <f t="shared" si="16"/>
        <v>1</v>
      </c>
      <c r="AC42" s="1812">
        <f t="shared" si="17"/>
        <v>1</v>
      </c>
    </row>
    <row r="43" spans="1:29" ht="15.75" thickBot="1">
      <c r="A43" s="472"/>
      <c r="B43" s="422" t="s">
        <v>2560</v>
      </c>
      <c r="C43" s="2613" t="s">
        <v>3057</v>
      </c>
      <c r="D43" s="435">
        <v>100</v>
      </c>
      <c r="E43" s="2613" t="s">
        <v>3057</v>
      </c>
      <c r="F43" s="461">
        <f>SUMIF(124:124,E43,125:125)-SUMIF(124:124,C43,125:125)+100</f>
        <v>100</v>
      </c>
      <c r="G43" s="2613" t="s">
        <v>3057</v>
      </c>
      <c r="H43" s="435">
        <f>SUMIF(124:124,G43,125:125)-SUMIF(124:124,C43,125:125)+100</f>
        <v>100</v>
      </c>
      <c r="I43" s="2613" t="s">
        <v>3057</v>
      </c>
      <c r="J43" s="435">
        <f>SUMIF(124:124,I43,125:125)-SUMIF(124:124,C43,125:125)+100</f>
        <v>100</v>
      </c>
      <c r="K43" s="426">
        <v>2</v>
      </c>
      <c r="L43" s="1140"/>
      <c r="M43" s="1131"/>
      <c r="N43" s="1131"/>
      <c r="O43" s="1131"/>
      <c r="P43" s="3148"/>
      <c r="Q43" s="1811" t="str">
        <f t="shared" si="11"/>
        <v>内部装修维护情况</v>
      </c>
      <c r="R43" s="772" t="s">
        <v>21</v>
      </c>
      <c r="S43" s="773">
        <f t="shared" si="12"/>
        <v>100</v>
      </c>
      <c r="T43" s="772" t="s">
        <v>21</v>
      </c>
      <c r="U43" s="773">
        <f t="shared" si="13"/>
        <v>100</v>
      </c>
      <c r="V43" s="772" t="s">
        <v>21</v>
      </c>
      <c r="W43" s="773">
        <f t="shared" si="14"/>
        <v>100</v>
      </c>
      <c r="X43" s="1814"/>
      <c r="Y43" s="3150"/>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148"/>
      <c r="Q44" s="1796">
        <f t="shared" si="11"/>
        <v>111</v>
      </c>
      <c r="R44" s="768" t="s">
        <v>21</v>
      </c>
      <c r="S44" s="769">
        <f t="shared" si="12"/>
        <v>100</v>
      </c>
      <c r="T44" s="768" t="s">
        <v>21</v>
      </c>
      <c r="U44" s="769">
        <f t="shared" si="13"/>
        <v>100</v>
      </c>
      <c r="V44" s="768" t="s">
        <v>21</v>
      </c>
      <c r="W44" s="769">
        <f t="shared" si="14"/>
        <v>100</v>
      </c>
      <c r="X44" s="770"/>
      <c r="Y44" s="3150"/>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48"/>
      <c r="Q45" s="1811">
        <f t="shared" si="11"/>
        <v>111</v>
      </c>
      <c r="R45" s="772" t="s">
        <v>21</v>
      </c>
      <c r="S45" s="773">
        <f t="shared" si="12"/>
        <v>100</v>
      </c>
      <c r="T45" s="772" t="s">
        <v>21</v>
      </c>
      <c r="U45" s="773">
        <f t="shared" si="13"/>
        <v>100</v>
      </c>
      <c r="V45" s="772" t="s">
        <v>21</v>
      </c>
      <c r="W45" s="773">
        <f t="shared" si="14"/>
        <v>100</v>
      </c>
      <c r="X45" s="1814"/>
      <c r="Y45" s="3150"/>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49"/>
      <c r="Q46" s="1811">
        <f t="shared" si="11"/>
        <v>111</v>
      </c>
      <c r="R46" s="772" t="s">
        <v>20</v>
      </c>
      <c r="S46" s="773">
        <f t="shared" si="12"/>
        <v>100</v>
      </c>
      <c r="T46" s="772" t="s">
        <v>20</v>
      </c>
      <c r="U46" s="773">
        <f t="shared" si="13"/>
        <v>100</v>
      </c>
      <c r="V46" s="772" t="s">
        <v>20</v>
      </c>
      <c r="W46" s="773">
        <f t="shared" si="14"/>
        <v>100</v>
      </c>
      <c r="X46" s="1814"/>
      <c r="Y46" s="3151"/>
      <c r="Z46" s="1815">
        <f t="shared" si="18"/>
        <v>111</v>
      </c>
      <c r="AA46" s="1812">
        <f t="shared" si="15"/>
        <v>1</v>
      </c>
      <c r="AB46" s="1812">
        <f t="shared" si="16"/>
        <v>1</v>
      </c>
      <c r="AC46" s="1812">
        <f t="shared" si="17"/>
        <v>1</v>
      </c>
    </row>
    <row r="47" spans="1:29" ht="15">
      <c r="A47" s="479" t="s">
        <v>2561</v>
      </c>
      <c r="B47" s="480"/>
      <c r="C47" s="1407" t="s">
        <v>19</v>
      </c>
      <c r="D47" s="1408"/>
      <c r="E47" s="1409">
        <v>24000</v>
      </c>
      <c r="F47" s="1410"/>
      <c r="G47" s="1411">
        <v>24000</v>
      </c>
      <c r="H47" s="1412"/>
      <c r="I47" s="1409">
        <v>25100</v>
      </c>
      <c r="J47" s="1412"/>
      <c r="K47" s="2619"/>
      <c r="L47" s="1143"/>
      <c r="M47" s="1144"/>
      <c r="N47" s="1131"/>
      <c r="O47" s="1144"/>
      <c r="P47" s="3143" t="str">
        <f>A47</f>
        <v>成交单价（元/平方米）</v>
      </c>
      <c r="Q47" s="3143"/>
      <c r="R47" s="3144">
        <f>E47</f>
        <v>24000</v>
      </c>
      <c r="S47" s="3144"/>
      <c r="T47" s="3144">
        <f>G47</f>
        <v>24000</v>
      </c>
      <c r="U47" s="3144"/>
      <c r="V47" s="3144">
        <f>I47</f>
        <v>25100</v>
      </c>
      <c r="W47" s="3144"/>
      <c r="X47" s="757"/>
      <c r="Y47" s="779"/>
      <c r="Z47" s="757"/>
      <c r="AA47" s="757"/>
      <c r="AB47" s="757"/>
      <c r="AC47" s="757"/>
    </row>
    <row r="48" spans="1:29" ht="15.75" thickBot="1">
      <c r="A48" s="486" t="s">
        <v>2562</v>
      </c>
      <c r="B48" s="487"/>
      <c r="C48" s="1413">
        <f>R49</f>
        <v>23598</v>
      </c>
      <c r="D48" s="1414"/>
      <c r="E48" s="1415">
        <f>R48</f>
        <v>22633</v>
      </c>
      <c r="F48" s="1415"/>
      <c r="G48" s="1413">
        <f>T48</f>
        <v>24490</v>
      </c>
      <c r="H48" s="1414"/>
      <c r="I48" s="1415">
        <f>V48</f>
        <v>23671</v>
      </c>
      <c r="J48" s="1414"/>
      <c r="K48" s="2620"/>
      <c r="L48" s="1143"/>
      <c r="M48" s="1144"/>
      <c r="N48" s="1144"/>
      <c r="O48" s="1144"/>
      <c r="P48" s="3143" t="str">
        <f>A48</f>
        <v>比较价值（元/平方米）</v>
      </c>
      <c r="Q48" s="3143"/>
      <c r="R48" s="3144">
        <f>IF(F1="售价",ROUND(PRODUCT(R47,AA7:AA46),0),ROUND(PRODUCT(R47,AA7:AA46),1))</f>
        <v>22633</v>
      </c>
      <c r="S48" s="3144"/>
      <c r="T48" s="3144">
        <f>IF(F1="售价",ROUND(PRODUCT(T47,AB7:AB46),0),ROUND(PRODUCT(T47,AB7:AB46),1))</f>
        <v>24490</v>
      </c>
      <c r="U48" s="3144"/>
      <c r="V48" s="3144">
        <f>IF(F1="售价",ROUND(PRODUCT(V47,AC7:AC46),0),ROUND(PRODUCT(V47,AC7:AC46),1))</f>
        <v>23671</v>
      </c>
      <c r="W48" s="3144"/>
      <c r="X48" s="757"/>
      <c r="Y48" s="757"/>
      <c r="Z48" s="757"/>
      <c r="AA48" s="757"/>
      <c r="AB48" s="757"/>
      <c r="AC48" s="757"/>
    </row>
    <row r="49" spans="1:29" ht="15.75" thickBot="1">
      <c r="A49" s="492" t="s">
        <v>2563</v>
      </c>
      <c r="B49" s="493"/>
      <c r="C49" s="1416">
        <f>R49</f>
        <v>23598</v>
      </c>
      <c r="D49" s="1417"/>
      <c r="E49" s="1417"/>
      <c r="F49" s="1417"/>
      <c r="G49" s="1417"/>
      <c r="H49" s="1417"/>
      <c r="I49" s="1417"/>
      <c r="J49" s="1417"/>
      <c r="K49" s="2621"/>
      <c r="L49" s="1143"/>
      <c r="M49" s="1144"/>
      <c r="N49" s="1144"/>
      <c r="O49" s="1144"/>
      <c r="P49" s="3140" t="str">
        <f>A49</f>
        <v>估价对象XX用房的比较价值（楼面单价，元/平方米）</v>
      </c>
      <c r="Q49" s="3141"/>
      <c r="R49" s="3142">
        <f>IF(F1="售价",ROUND(AVERAGE(R48:V48),0),ROUND(AVERAGE(R48:V48),1))</f>
        <v>23598</v>
      </c>
      <c r="S49" s="3142"/>
      <c r="T49" s="3142"/>
      <c r="U49" s="3142"/>
      <c r="V49" s="3142"/>
      <c r="W49" s="3142"/>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2564</v>
      </c>
      <c r="D52" s="498"/>
      <c r="E52" s="499">
        <f>IF(E47&lt;E48,E48/E47-1,E47/E48-1)</f>
        <v>6.0398533115362474E-2</v>
      </c>
      <c r="F52" s="500" t="str">
        <f>IF(OR(E52&gt;=0.3,E52&lt;=-0.3),"超过30%","")</f>
        <v/>
      </c>
      <c r="G52" s="499">
        <f>IF(G47&lt;G48,G48/G47-1,G47/G48-1)</f>
        <v>2.041666666666675E-2</v>
      </c>
      <c r="H52" s="500" t="str">
        <f>IF(OR(G52&gt;=0.3,G52&lt;=-0.3),"超过30%","")</f>
        <v/>
      </c>
      <c r="I52" s="499">
        <f>IF(I47&lt;I48,I48/I47-1,I47/I48-1)</f>
        <v>6.0369228169490086E-2</v>
      </c>
      <c r="J52" s="500" t="str">
        <f>IF(OR(I52&gt;=0.3,I52&lt;=-0.3),"超过30%","")</f>
        <v/>
      </c>
      <c r="K52" s="1106"/>
      <c r="L52" s="1107"/>
      <c r="M52" s="1144"/>
      <c r="N52" s="1144"/>
      <c r="O52" s="1144"/>
    </row>
    <row r="53" spans="1:29" ht="13.5" customHeight="1">
      <c r="A53" s="1144"/>
      <c r="B53" s="1144"/>
      <c r="C53" s="497" t="s">
        <v>2565</v>
      </c>
      <c r="D53" s="501"/>
      <c r="E53" s="499">
        <f>IF(E48&lt;G48,G48/E48-1,E48/G48-1)</f>
        <v>8.2048336499801255E-2</v>
      </c>
      <c r="F53" s="500" t="str">
        <f>IF(OR(E53&gt;=0.2,E53&lt;=-0.2),"超过20%","")</f>
        <v/>
      </c>
      <c r="G53" s="499">
        <f>IF(G48&lt;I48,I48/G48-1,G48/I48-1)</f>
        <v>3.4599298719952598E-2</v>
      </c>
      <c r="H53" s="500" t="str">
        <f>IF(OR(G53&gt;=0.2,G53&lt;=-0.2),"超过20%","")</f>
        <v/>
      </c>
      <c r="I53" s="499">
        <f>IF(I48&lt;E48,E48/I48-1,I48/E48-1)</f>
        <v>4.5862236557239422E-2</v>
      </c>
      <c r="J53" s="500" t="str">
        <f>IF(OR(I53&gt;=0.2,I53&lt;=-0.2),"超过20%","")</f>
        <v/>
      </c>
      <c r="K53" s="1106"/>
      <c r="L53" s="1107"/>
      <c r="M53" s="1144"/>
      <c r="N53" s="1144"/>
      <c r="O53" s="1144"/>
    </row>
    <row r="54" spans="1:29" s="502" customFormat="1" ht="13.5" customHeight="1">
      <c r="A54" s="1145"/>
      <c r="B54" s="1145"/>
      <c r="C54" s="497" t="s">
        <v>2566</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2567</v>
      </c>
      <c r="B57" s="757"/>
      <c r="C57" s="762"/>
      <c r="D57" s="762"/>
      <c r="E57" s="762"/>
      <c r="F57" s="763"/>
      <c r="G57" s="763"/>
      <c r="H57" s="762"/>
      <c r="I57" s="762"/>
      <c r="J57" s="762"/>
      <c r="K57" s="1160"/>
      <c r="L57" s="1161"/>
      <c r="M57" s="1159"/>
      <c r="N57" s="1159"/>
      <c r="O57" s="1159"/>
      <c r="P57" s="2624"/>
      <c r="Q57" s="504"/>
    </row>
    <row r="58" spans="1:29" s="508" customFormat="1" ht="15">
      <c r="A58" s="505" t="s">
        <v>2568</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2569</v>
      </c>
      <c r="B60" s="516"/>
      <c r="C60" s="517"/>
      <c r="D60" s="518"/>
      <c r="E60" s="518"/>
      <c r="F60" s="518"/>
      <c r="G60" s="518"/>
      <c r="H60" s="518"/>
      <c r="I60" s="518"/>
      <c r="J60" s="518"/>
      <c r="K60" s="518"/>
      <c r="L60" s="518"/>
      <c r="M60" s="519"/>
      <c r="N60" s="518"/>
      <c r="O60" s="519"/>
      <c r="P60" s="2626"/>
      <c r="Q60" s="504"/>
    </row>
    <row r="61" spans="1:29" s="116" customFormat="1" ht="15">
      <c r="A61" s="521" t="s">
        <v>2570</v>
      </c>
      <c r="B61" s="510"/>
      <c r="C61" s="522" t="s">
        <v>2571</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2572</v>
      </c>
      <c r="B63" s="528" t="s">
        <v>2538</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2543</v>
      </c>
      <c r="B76" s="528" t="s">
        <v>2580</v>
      </c>
      <c r="C76" s="573" t="s">
        <v>2581</v>
      </c>
      <c r="D76" s="573" t="s">
        <v>2582</v>
      </c>
      <c r="E76" s="573" t="s">
        <v>2583</v>
      </c>
      <c r="F76" s="573" t="s">
        <v>2584</v>
      </c>
      <c r="G76" s="573" t="s">
        <v>2585</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2588</v>
      </c>
      <c r="D82" s="539" t="s">
        <v>2589</v>
      </c>
      <c r="E82" s="539" t="s">
        <v>2590</v>
      </c>
      <c r="F82" s="539" t="s">
        <v>2591</v>
      </c>
      <c r="G82" s="539" t="s">
        <v>2592</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2594</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2595</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2547</v>
      </c>
      <c r="B100" s="528" t="s">
        <v>2596</v>
      </c>
      <c r="C100" s="530" t="s">
        <v>3061</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2597</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2598</v>
      </c>
      <c r="C105" s="554" t="s">
        <v>3063</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2599</v>
      </c>
      <c r="C107" s="2933" t="s">
        <v>3066</v>
      </c>
      <c r="D107" s="583" t="s">
        <v>3065</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2600</v>
      </c>
      <c r="C109" s="554" t="s">
        <v>3067</v>
      </c>
      <c r="D109" s="554" t="s">
        <v>3068</v>
      </c>
      <c r="E109" s="554" t="s">
        <v>3069</v>
      </c>
      <c r="F109" s="583" t="s">
        <v>3071</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2601</v>
      </c>
      <c r="C114" s="554" t="s">
        <v>3073</v>
      </c>
      <c r="D114" s="554" t="s">
        <v>3074</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2602</v>
      </c>
      <c r="C116" s="554" t="s">
        <v>3075</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2603</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2558</v>
      </c>
      <c r="C120" s="554" t="s">
        <v>3076</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2604</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2606</v>
      </c>
    </row>
    <row r="137" spans="1:17" ht="15">
      <c r="B137" s="2636" t="s">
        <v>2607</v>
      </c>
      <c r="C137" s="2637"/>
      <c r="D137" s="2637"/>
      <c r="E137" s="2637"/>
      <c r="F137" s="2637"/>
      <c r="G137" s="2638"/>
      <c r="H137" s="2639"/>
      <c r="I137" s="2640" t="s">
        <v>2608</v>
      </c>
      <c r="J137" s="2637"/>
      <c r="K137" s="2641"/>
    </row>
    <row r="138" spans="1:17" ht="15">
      <c r="B138" s="2642"/>
      <c r="C138" s="145" t="s">
        <v>2609</v>
      </c>
      <c r="D138" s="145" t="s">
        <v>2610</v>
      </c>
      <c r="E138" s="2643" t="s">
        <v>2611</v>
      </c>
      <c r="F138" s="2644" t="s">
        <v>2612</v>
      </c>
      <c r="G138" s="145" t="s">
        <v>2610</v>
      </c>
      <c r="H138" s="146" t="s">
        <v>2611</v>
      </c>
      <c r="I138" s="2645"/>
      <c r="J138" s="145" t="s">
        <v>2613</v>
      </c>
      <c r="K138" s="146" t="s">
        <v>2614</v>
      </c>
    </row>
    <row r="139" spans="1:17" ht="15">
      <c r="B139" s="1085">
        <v>6</v>
      </c>
      <c r="C139" s="1086">
        <v>96</v>
      </c>
      <c r="D139" s="2646" t="s">
        <v>2615</v>
      </c>
      <c r="E139" s="1087">
        <v>100</v>
      </c>
      <c r="F139" s="1088">
        <v>102.5</v>
      </c>
      <c r="G139" s="2646" t="s">
        <v>2615</v>
      </c>
      <c r="H139" s="1089">
        <v>105</v>
      </c>
      <c r="I139" s="2647" t="s">
        <v>2616</v>
      </c>
      <c r="J139" s="1086">
        <v>20</v>
      </c>
      <c r="K139" s="1090">
        <f>C145/(J139-2)</f>
        <v>4.0555555555555553E-3</v>
      </c>
    </row>
    <row r="140" spans="1:17" ht="15">
      <c r="B140" s="1091">
        <v>5</v>
      </c>
      <c r="C140" s="1092">
        <v>100</v>
      </c>
      <c r="D140" s="1092"/>
      <c r="E140" s="1093"/>
      <c r="F140" s="1094">
        <v>102</v>
      </c>
      <c r="G140" s="1092"/>
      <c r="H140" s="1095"/>
      <c r="I140" s="2648" t="s">
        <v>2617</v>
      </c>
      <c r="J140" s="315">
        <f>ROUNDUP((J139-1)/2,0)</f>
        <v>10</v>
      </c>
      <c r="K140" s="1096">
        <v>100</v>
      </c>
    </row>
    <row r="141" spans="1:17" ht="15">
      <c r="B141" s="1091">
        <v>4</v>
      </c>
      <c r="C141" s="1092">
        <v>102</v>
      </c>
      <c r="D141" s="1092"/>
      <c r="E141" s="1093"/>
      <c r="F141" s="1094">
        <v>101.5</v>
      </c>
      <c r="G141" s="1092"/>
      <c r="H141" s="1095"/>
      <c r="I141" s="2648" t="s">
        <v>2618</v>
      </c>
      <c r="J141" s="315">
        <v>1</v>
      </c>
      <c r="K141" s="1097">
        <f>ROUND(100+(J141-J140)*K139*100,1)</f>
        <v>96.4</v>
      </c>
    </row>
    <row r="142" spans="1:17" ht="15">
      <c r="B142" s="1091">
        <v>3</v>
      </c>
      <c r="C142" s="1092">
        <v>103</v>
      </c>
      <c r="D142" s="1092"/>
      <c r="E142" s="1093"/>
      <c r="F142" s="1094">
        <v>101</v>
      </c>
      <c r="G142" s="1092"/>
      <c r="H142" s="1095"/>
      <c r="I142" s="2648" t="s">
        <v>2619</v>
      </c>
      <c r="J142" s="315">
        <f>J139</f>
        <v>20</v>
      </c>
      <c r="K142" s="1098">
        <v>95</v>
      </c>
    </row>
    <row r="143" spans="1:17" ht="15">
      <c r="B143" s="1091">
        <v>2</v>
      </c>
      <c r="C143" s="1092">
        <v>100</v>
      </c>
      <c r="D143" s="1092"/>
      <c r="E143" s="1093"/>
      <c r="F143" s="1094">
        <v>100.5</v>
      </c>
      <c r="G143" s="1092"/>
      <c r="H143" s="1095"/>
      <c r="I143" s="2648" t="s">
        <v>2620</v>
      </c>
      <c r="J143" s="1092">
        <v>15</v>
      </c>
      <c r="K143" s="1097">
        <f>ROUND(100+(J143-J140)*K139*100,1)</f>
        <v>102</v>
      </c>
    </row>
    <row r="144" spans="1:17" ht="15">
      <c r="B144" s="1091">
        <v>1</v>
      </c>
      <c r="C144" s="1092">
        <v>98</v>
      </c>
      <c r="D144" s="2649" t="s">
        <v>2621</v>
      </c>
      <c r="E144" s="1093">
        <v>102</v>
      </c>
      <c r="F144" s="1099">
        <v>100</v>
      </c>
      <c r="G144" s="2649" t="s">
        <v>2621</v>
      </c>
      <c r="H144" s="1095">
        <v>105</v>
      </c>
      <c r="I144" s="2648" t="s">
        <v>2620</v>
      </c>
      <c r="J144" s="1092">
        <v>18</v>
      </c>
      <c r="K144" s="1097">
        <f>ROUND(100+(J144-J140)*K139*100,1)</f>
        <v>103.2</v>
      </c>
    </row>
    <row r="145" spans="2:11" ht="15.75" thickBot="1">
      <c r="B145" s="2650" t="s">
        <v>2622</v>
      </c>
      <c r="C145" s="1100">
        <f>ROUND(MAX(C139:C144)/MIN(C139:C144)-1,3)</f>
        <v>7.2999999999999995E-2</v>
      </c>
      <c r="D145" s="1101"/>
      <c r="E145" s="1101"/>
      <c r="F145" s="2651" t="s">
        <v>2623</v>
      </c>
      <c r="G145" s="2652"/>
      <c r="H145" s="2653"/>
      <c r="I145" s="2654" t="s">
        <v>2620</v>
      </c>
      <c r="J145" s="1102">
        <v>8</v>
      </c>
      <c r="K145" s="1103">
        <f>ROUND(100+(J145-J140)*K139*100,1)</f>
        <v>99.2</v>
      </c>
    </row>
    <row r="147" spans="2:11">
      <c r="B147" s="2635" t="s">
        <v>2624</v>
      </c>
    </row>
    <row r="148" spans="2:11">
      <c r="B148" s="2635"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C49" sqref="C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583" t="s">
        <v>2626</v>
      </c>
      <c r="C1" s="1635" t="s">
        <v>2514</v>
      </c>
      <c r="D1" s="1622" t="s">
        <v>3104</v>
      </c>
      <c r="E1" s="2655"/>
      <c r="F1" s="2585" t="s">
        <v>3134</v>
      </c>
      <c r="G1" s="1632" t="s">
        <v>2627</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2311</v>
      </c>
      <c r="B2" s="1418">
        <f>IF(C2="——",ROUND(C49*D3/10000,0),ROUND(C49*D3/10000,0)-D2)</f>
        <v>15899</v>
      </c>
      <c r="C2" s="2587" t="s">
        <v>70</v>
      </c>
      <c r="D2" s="1365" t="e">
        <f ca="1">SUMIF(INDIRECT("'"&amp;F2&amp;"'"&amp;"!A:A"),"承租人权益价值",INDIRECT("'"&amp;F2&amp;"'"&amp;"!c:c"))</f>
        <v>#REF!</v>
      </c>
      <c r="E2" s="2588" t="s">
        <v>2312</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2313</v>
      </c>
      <c r="B3" s="609">
        <f>IF(C2="——",C49,ROUND(B2*10000/D3,0))</f>
        <v>38351</v>
      </c>
      <c r="C3" s="400" t="s">
        <v>2628</v>
      </c>
      <c r="D3" s="399">
        <f>IF(D1="",'数据-汇总表'!E3,SUMIF('数据-汇总表'!$C19:$C33,D1,'数据-汇总表'!$E19:$E33))</f>
        <v>4145.53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68" t="s">
        <v>2631</v>
      </c>
      <c r="S4" s="3169"/>
      <c r="T4" s="3168" t="s">
        <v>2632</v>
      </c>
      <c r="U4" s="3169"/>
      <c r="V4" s="3174" t="s">
        <v>2633</v>
      </c>
      <c r="W4" s="3174"/>
      <c r="X4" s="1814"/>
      <c r="Y4" s="3168" t="s">
        <v>2635</v>
      </c>
      <c r="Z4" s="3169"/>
      <c r="AA4" s="3155" t="s">
        <v>2631</v>
      </c>
      <c r="AB4" s="3174" t="s">
        <v>2632</v>
      </c>
      <c r="AC4" s="3155" t="s">
        <v>2633</v>
      </c>
    </row>
    <row r="5" spans="1:29" ht="15">
      <c r="A5" s="404"/>
      <c r="B5" s="405"/>
      <c r="C5" s="3177" t="s">
        <v>3106</v>
      </c>
      <c r="D5" s="3178"/>
      <c r="E5" s="3184" t="s">
        <v>3107</v>
      </c>
      <c r="F5" s="3185"/>
      <c r="G5" s="3177" t="s">
        <v>3135</v>
      </c>
      <c r="H5" s="3178"/>
      <c r="I5" s="3177" t="s">
        <v>3136</v>
      </c>
      <c r="J5" s="3178"/>
      <c r="K5" s="610"/>
      <c r="L5" s="1130"/>
      <c r="M5" s="1131"/>
      <c r="N5" s="1131"/>
      <c r="O5" s="1131"/>
      <c r="P5" s="3164"/>
      <c r="Q5" s="3165"/>
      <c r="R5" s="3170"/>
      <c r="S5" s="3171"/>
      <c r="T5" s="3170"/>
      <c r="U5" s="3171"/>
      <c r="V5" s="3174"/>
      <c r="W5" s="3174"/>
      <c r="X5" s="1814"/>
      <c r="Y5" s="3170"/>
      <c r="Z5" s="3171"/>
      <c r="AA5" s="3156"/>
      <c r="AB5" s="3174"/>
      <c r="AC5" s="3156"/>
    </row>
    <row r="6" spans="1:29" ht="15.75" thickBot="1">
      <c r="A6" s="406"/>
      <c r="B6" s="407"/>
      <c r="C6" s="3175" t="s">
        <v>2530</v>
      </c>
      <c r="D6" s="3176"/>
      <c r="E6" s="3182" t="s">
        <v>2530</v>
      </c>
      <c r="F6" s="3183"/>
      <c r="G6" s="3175" t="s">
        <v>2530</v>
      </c>
      <c r="H6" s="3176"/>
      <c r="I6" s="3175" t="s">
        <v>2530</v>
      </c>
      <c r="J6" s="3176"/>
      <c r="K6" s="610" t="s">
        <v>2531</v>
      </c>
      <c r="L6" s="1130"/>
      <c r="M6" s="1131"/>
      <c r="N6" s="1131"/>
      <c r="O6" s="1131"/>
      <c r="P6" s="3166"/>
      <c r="Q6" s="3167"/>
      <c r="R6" s="3170"/>
      <c r="S6" s="3171"/>
      <c r="T6" s="3172"/>
      <c r="U6" s="3173"/>
      <c r="V6" s="3174"/>
      <c r="W6" s="3174"/>
      <c r="X6" s="1814"/>
      <c r="Y6" s="3172"/>
      <c r="Z6" s="3173"/>
      <c r="AA6" s="3157"/>
      <c r="AB6" s="3174"/>
      <c r="AC6" s="3157"/>
    </row>
    <row r="7" spans="1:29" s="116" customFormat="1" ht="15.75" thickBot="1">
      <c r="A7" s="408" t="s">
        <v>2532</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179" t="s">
        <v>2533</v>
      </c>
      <c r="Q7" s="3181"/>
      <c r="R7" s="768" t="s">
        <v>17</v>
      </c>
      <c r="S7" s="769">
        <f t="shared" ref="S7:S15" si="0">F7</f>
        <v>100</v>
      </c>
      <c r="T7" s="768" t="s">
        <v>17</v>
      </c>
      <c r="U7" s="769">
        <f t="shared" ref="U7:U15" si="1">H7</f>
        <v>100</v>
      </c>
      <c r="V7" s="768" t="s">
        <v>17</v>
      </c>
      <c r="W7" s="769">
        <f t="shared" ref="W7:W15" si="2">J7</f>
        <v>100</v>
      </c>
      <c r="X7" s="770"/>
      <c r="Y7" s="3179" t="s">
        <v>2533</v>
      </c>
      <c r="Z7" s="3180"/>
      <c r="AA7" s="771">
        <f>D7/F7</f>
        <v>1</v>
      </c>
      <c r="AB7" s="771">
        <f>D7/H7</f>
        <v>1</v>
      </c>
      <c r="AC7" s="771">
        <f>D7/J7</f>
        <v>1</v>
      </c>
    </row>
    <row r="8" spans="1:29" s="116" customFormat="1" ht="15.75" thickBot="1">
      <c r="A8" s="408" t="s">
        <v>2534</v>
      </c>
      <c r="B8" s="409"/>
      <c r="C8" s="414" t="s">
        <v>2636</v>
      </c>
      <c r="D8" s="411">
        <v>100</v>
      </c>
      <c r="E8" s="414" t="s">
        <v>2571</v>
      </c>
      <c r="F8" s="413">
        <f>SUMIF(61:61,E8,62:62)-SUMIF(61:61,C8,62:62)+100</f>
        <v>100</v>
      </c>
      <c r="G8" s="414" t="s">
        <v>2571</v>
      </c>
      <c r="H8" s="411">
        <f>SUMIF(61:61,G8,62:62)-SUMIF(61:61,C8,62:62)+100</f>
        <v>100</v>
      </c>
      <c r="I8" s="414" t="s">
        <v>2571</v>
      </c>
      <c r="J8" s="411">
        <f>SUMIF(61:61,I8,62:62)-SUMIF(61:61,C8,62:62)+100</f>
        <v>100</v>
      </c>
      <c r="K8" s="611"/>
      <c r="L8" s="1132"/>
      <c r="M8" s="1133"/>
      <c r="N8" s="1133"/>
      <c r="O8" s="1133"/>
      <c r="P8" s="3179" t="s">
        <v>2536</v>
      </c>
      <c r="Q8" s="3180"/>
      <c r="R8" s="768" t="s">
        <v>17</v>
      </c>
      <c r="S8" s="769">
        <f t="shared" si="0"/>
        <v>100</v>
      </c>
      <c r="T8" s="768" t="s">
        <v>17</v>
      </c>
      <c r="U8" s="769">
        <f t="shared" si="1"/>
        <v>100</v>
      </c>
      <c r="V8" s="768" t="s">
        <v>17</v>
      </c>
      <c r="W8" s="769">
        <f t="shared" si="2"/>
        <v>100</v>
      </c>
      <c r="X8" s="770"/>
      <c r="Y8" s="3179" t="s">
        <v>2536</v>
      </c>
      <c r="Z8" s="3180"/>
      <c r="AA8" s="771">
        <f t="shared" ref="AA8:AA46" si="3">D8/F8</f>
        <v>1</v>
      </c>
      <c r="AB8" s="771">
        <f t="shared" ref="AB8:AB46" si="4">D8/H8</f>
        <v>1</v>
      </c>
      <c r="AC8" s="771">
        <f t="shared" ref="AC8:AC46" si="5">D8/J8</f>
        <v>1</v>
      </c>
    </row>
    <row r="9" spans="1:29" s="116" customFormat="1">
      <c r="A9" s="415" t="s">
        <v>2537</v>
      </c>
      <c r="B9" s="70" t="s">
        <v>2538</v>
      </c>
      <c r="C9" s="416" t="s">
        <v>3132</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154" t="s">
        <v>2539</v>
      </c>
      <c r="Q9" s="1796" t="str">
        <f t="shared" ref="Q9:Q15" si="6">B9</f>
        <v>用途</v>
      </c>
      <c r="R9" s="768" t="s">
        <v>17</v>
      </c>
      <c r="S9" s="769">
        <f t="shared" si="0"/>
        <v>100</v>
      </c>
      <c r="T9" s="768" t="s">
        <v>17</v>
      </c>
      <c r="U9" s="769">
        <f t="shared" si="1"/>
        <v>100</v>
      </c>
      <c r="V9" s="768" t="s">
        <v>17</v>
      </c>
      <c r="W9" s="769">
        <f t="shared" si="2"/>
        <v>100</v>
      </c>
      <c r="X9" s="770"/>
      <c r="Y9" s="2998" t="s">
        <v>2540</v>
      </c>
      <c r="Z9" s="54" t="str">
        <f t="shared" ref="Z9:Z15" si="7">Q9</f>
        <v>用途</v>
      </c>
      <c r="AA9" s="771">
        <f t="shared" si="3"/>
        <v>1</v>
      </c>
      <c r="AB9" s="771">
        <f t="shared" si="4"/>
        <v>1</v>
      </c>
      <c r="AC9" s="771">
        <f t="shared" si="5"/>
        <v>1</v>
      </c>
    </row>
    <row r="10" spans="1:29" s="427" customFormat="1" ht="27">
      <c r="A10" s="421"/>
      <c r="B10" s="422" t="s">
        <v>2541</v>
      </c>
      <c r="C10" s="423" t="s">
        <v>3133</v>
      </c>
      <c r="D10" s="135">
        <v>100</v>
      </c>
      <c r="E10" s="424" t="s">
        <v>3133</v>
      </c>
      <c r="F10" s="425">
        <f>SUMIF(65:65,E10,66:66)-SUMIF(65:65,C10,66:66)+100</f>
        <v>100</v>
      </c>
      <c r="G10" s="423" t="s">
        <v>3133</v>
      </c>
      <c r="H10" s="135">
        <f>SUMIF(65:65,G10,66:66)-SUMIF(65:65,C10,66:66)+100</f>
        <v>100</v>
      </c>
      <c r="I10" s="423" t="s">
        <v>3168</v>
      </c>
      <c r="J10" s="135">
        <f>SUMIF(65:65,I10,66:66)-SUMIF(65:65,C10,66:66)+100</f>
        <v>99</v>
      </c>
      <c r="K10" s="612">
        <v>1</v>
      </c>
      <c r="L10" s="1135"/>
      <c r="M10" s="1136"/>
      <c r="N10" s="1136"/>
      <c r="O10" s="1136"/>
      <c r="P10" s="3154"/>
      <c r="Q10" s="1796" t="str">
        <f t="shared" si="6"/>
        <v>土地使用年限（年）</v>
      </c>
      <c r="R10" s="768" t="s">
        <v>17</v>
      </c>
      <c r="S10" s="769">
        <f t="shared" si="0"/>
        <v>100</v>
      </c>
      <c r="T10" s="768" t="s">
        <v>17</v>
      </c>
      <c r="U10" s="769">
        <f t="shared" si="1"/>
        <v>100</v>
      </c>
      <c r="V10" s="768" t="s">
        <v>17</v>
      </c>
      <c r="W10" s="769">
        <f t="shared" si="2"/>
        <v>99</v>
      </c>
      <c r="X10" s="770"/>
      <c r="Y10" s="2998"/>
      <c r="Z10" s="54" t="str">
        <f t="shared" si="7"/>
        <v>土地使用年限（年）</v>
      </c>
      <c r="AA10" s="771">
        <f t="shared" si="3"/>
        <v>1</v>
      </c>
      <c r="AB10" s="771">
        <f t="shared" si="4"/>
        <v>1</v>
      </c>
      <c r="AC10" s="771">
        <f t="shared" si="5"/>
        <v>1.0101010101010102</v>
      </c>
    </row>
    <row r="11" spans="1:29" ht="15.75" thickBot="1">
      <c r="A11" s="428"/>
      <c r="B11" s="422" t="s">
        <v>2542</v>
      </c>
      <c r="C11" s="429"/>
      <c r="D11" s="135">
        <v>100</v>
      </c>
      <c r="E11" s="2938"/>
      <c r="F11" s="425">
        <f>LOOKUP(E11,68:68,69:69)-LOOKUP(C11,68:68,69:69)+100</f>
        <v>100</v>
      </c>
      <c r="G11" s="2939"/>
      <c r="H11" s="135">
        <f>LOOKUP(G11,68:68,69:69)-LOOKUP(C11,68:68,69:69)+100</f>
        <v>100</v>
      </c>
      <c r="I11" s="2939"/>
      <c r="J11" s="135">
        <f>LOOKUP(I11,68:68,69:69)-LOOKUP(C11,68:68,69:69)+100</f>
        <v>100</v>
      </c>
      <c r="K11" s="612">
        <v>1</v>
      </c>
      <c r="L11" s="1138"/>
      <c r="M11" s="1131"/>
      <c r="N11" s="1131"/>
      <c r="O11" s="1131"/>
      <c r="P11" s="3154"/>
      <c r="Q11" s="1796" t="str">
        <f t="shared" si="6"/>
        <v>容积率</v>
      </c>
      <c r="R11" s="768" t="s">
        <v>17</v>
      </c>
      <c r="S11" s="769">
        <f t="shared" si="0"/>
        <v>100</v>
      </c>
      <c r="T11" s="768" t="s">
        <v>17</v>
      </c>
      <c r="U11" s="769">
        <f t="shared" si="1"/>
        <v>100</v>
      </c>
      <c r="V11" s="768" t="s">
        <v>17</v>
      </c>
      <c r="W11" s="769">
        <f t="shared" si="2"/>
        <v>100</v>
      </c>
      <c r="X11" s="770"/>
      <c r="Y11" s="2998"/>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154"/>
      <c r="Q12" s="1796">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4"/>
      <c r="Q13" s="1796">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4"/>
      <c r="Q14" s="1796">
        <f t="shared" si="6"/>
        <v>111</v>
      </c>
      <c r="R14" s="768" t="s">
        <v>17</v>
      </c>
      <c r="S14" s="769">
        <f t="shared" si="0"/>
        <v>100</v>
      </c>
      <c r="T14" s="768" t="s">
        <v>17</v>
      </c>
      <c r="U14" s="769">
        <f t="shared" si="1"/>
        <v>100</v>
      </c>
      <c r="V14" s="768" t="s">
        <v>17</v>
      </c>
      <c r="W14" s="769">
        <f t="shared" si="2"/>
        <v>100</v>
      </c>
      <c r="X14" s="770"/>
      <c r="Y14" s="2998"/>
      <c r="Z14" s="54">
        <f t="shared" si="7"/>
        <v>111</v>
      </c>
      <c r="AA14" s="771">
        <f t="shared" si="3"/>
        <v>1</v>
      </c>
      <c r="AB14" s="771">
        <f t="shared" si="4"/>
        <v>1</v>
      </c>
      <c r="AC14" s="771">
        <f t="shared" si="5"/>
        <v>1</v>
      </c>
    </row>
    <row r="15" spans="1:29" ht="99.75">
      <c r="A15" s="440" t="s">
        <v>2543</v>
      </c>
      <c r="B15" s="68" t="s">
        <v>2637</v>
      </c>
      <c r="C15" s="2603" t="str">
        <f>估价对象房地状况!C4</f>
        <v>估价对象位于燕郊，周边商业氛围成熟度一般，多集中于住宅底商，人流量较小，商业繁华度较差</v>
      </c>
      <c r="D15" s="441">
        <v>100</v>
      </c>
      <c r="E15" s="442"/>
      <c r="F15" s="443">
        <f>SUMIF(76:76,E16,77:77)-SUMIF(76:76,C16,77:77)+100</f>
        <v>104</v>
      </c>
      <c r="G15" s="444"/>
      <c r="H15" s="441">
        <f>SUMIF(76:76,G16,77:77)-SUMIF(76:76,C16,77:77)+100</f>
        <v>104</v>
      </c>
      <c r="I15" s="442"/>
      <c r="J15" s="441">
        <f>SUMIF(76:76,I16,77:77)-SUMIF(76:76,C16,77:77)+100</f>
        <v>106</v>
      </c>
      <c r="K15" s="614">
        <v>2</v>
      </c>
      <c r="L15" s="1140"/>
      <c r="M15" s="1131"/>
      <c r="N15" s="1131"/>
      <c r="O15" s="1131"/>
      <c r="P15" s="3152" t="s">
        <v>2544</v>
      </c>
      <c r="Q15" s="1811" t="str">
        <f t="shared" si="6"/>
        <v>商业繁华度</v>
      </c>
      <c r="R15" s="772" t="s">
        <v>17</v>
      </c>
      <c r="S15" s="773">
        <f t="shared" si="0"/>
        <v>104</v>
      </c>
      <c r="T15" s="772" t="s">
        <v>17</v>
      </c>
      <c r="U15" s="773">
        <f t="shared" si="1"/>
        <v>104</v>
      </c>
      <c r="V15" s="772" t="s">
        <v>17</v>
      </c>
      <c r="W15" s="773">
        <f t="shared" si="2"/>
        <v>106</v>
      </c>
      <c r="X15" s="1814"/>
      <c r="Y15" s="3145" t="s">
        <v>2544</v>
      </c>
      <c r="Z15" s="1815" t="str">
        <f t="shared" si="7"/>
        <v>商业繁华度</v>
      </c>
      <c r="AA15" s="1812">
        <f t="shared" si="3"/>
        <v>0.96153846153846156</v>
      </c>
      <c r="AB15" s="1812">
        <f t="shared" si="4"/>
        <v>0.96153846153846156</v>
      </c>
      <c r="AC15" s="1812">
        <f t="shared" si="5"/>
        <v>0.94339622641509435</v>
      </c>
    </row>
    <row r="16" spans="1:29" ht="15">
      <c r="A16" s="428"/>
      <c r="B16" s="446"/>
      <c r="C16" s="447" t="s">
        <v>3058</v>
      </c>
      <c r="D16" s="448"/>
      <c r="E16" s="447" t="s">
        <v>3056</v>
      </c>
      <c r="F16" s="449"/>
      <c r="G16" s="447" t="s">
        <v>3056</v>
      </c>
      <c r="H16" s="450"/>
      <c r="I16" s="447" t="s">
        <v>3153</v>
      </c>
      <c r="J16" s="448"/>
      <c r="K16" s="615"/>
      <c r="L16" s="1140"/>
      <c r="M16" s="1131"/>
      <c r="N16" s="1131"/>
      <c r="O16" s="1131"/>
      <c r="P16" s="3153"/>
      <c r="Q16" s="1811"/>
      <c r="R16" s="772"/>
      <c r="S16" s="773"/>
      <c r="T16" s="772"/>
      <c r="U16" s="773"/>
      <c r="V16" s="772"/>
      <c r="W16" s="773"/>
      <c r="X16" s="1814"/>
      <c r="Y16" s="3146"/>
      <c r="Z16" s="1815"/>
      <c r="AA16" s="1812">
        <v>1</v>
      </c>
      <c r="AB16" s="1812">
        <v>1</v>
      </c>
      <c r="AC16" s="1812">
        <v>1</v>
      </c>
    </row>
    <row r="17" spans="1:29" ht="57">
      <c r="A17" s="428"/>
      <c r="B17" s="451" t="s">
        <v>2090</v>
      </c>
      <c r="C17" s="2607" t="str">
        <f>估价对象房地状况!C6</f>
        <v>周边有302、快速直达专线102路等公交线路，交通便捷度一般。</v>
      </c>
      <c r="D17" s="450">
        <v>100</v>
      </c>
      <c r="E17" s="452"/>
      <c r="F17" s="453">
        <f>SUMIF(78:78,E18,79:79)-SUMIF(78:78,C18,79:79)+100</f>
        <v>100</v>
      </c>
      <c r="G17" s="454"/>
      <c r="H17" s="455">
        <f>SUMIF(78:78,G18,79:79)-SUMIF(78:78,C18,79:79)+100</f>
        <v>102</v>
      </c>
      <c r="I17" s="452"/>
      <c r="J17" s="455">
        <f>SUMIF(78:78,I18,79:79)-SUMIF(78:78,C18,79:79)+100</f>
        <v>102</v>
      </c>
      <c r="K17" s="614">
        <v>2</v>
      </c>
      <c r="L17" s="1140"/>
      <c r="M17" s="1131"/>
      <c r="N17" s="1131"/>
      <c r="O17" s="1131"/>
      <c r="P17" s="3153"/>
      <c r="Q17" s="1811" t="str">
        <f>B17</f>
        <v>交通便捷度</v>
      </c>
      <c r="R17" s="772" t="s">
        <v>17</v>
      </c>
      <c r="S17" s="773">
        <f>F17</f>
        <v>100</v>
      </c>
      <c r="T17" s="772" t="s">
        <v>17</v>
      </c>
      <c r="U17" s="773">
        <f>H17</f>
        <v>102</v>
      </c>
      <c r="V17" s="772" t="s">
        <v>17</v>
      </c>
      <c r="W17" s="773">
        <f>J17</f>
        <v>102</v>
      </c>
      <c r="X17" s="1814"/>
      <c r="Y17" s="3146"/>
      <c r="Z17" s="1815" t="str">
        <f>Q17</f>
        <v>交通便捷度</v>
      </c>
      <c r="AA17" s="1812">
        <f t="shared" si="3"/>
        <v>1</v>
      </c>
      <c r="AB17" s="1812">
        <f t="shared" si="4"/>
        <v>0.98039215686274506</v>
      </c>
      <c r="AC17" s="1812">
        <f t="shared" si="5"/>
        <v>0.98039215686274506</v>
      </c>
    </row>
    <row r="18" spans="1:29" ht="15">
      <c r="A18" s="428"/>
      <c r="B18" s="456"/>
      <c r="C18" s="2608" t="s">
        <v>3057</v>
      </c>
      <c r="D18" s="450"/>
      <c r="E18" s="2610" t="s">
        <v>3057</v>
      </c>
      <c r="F18" s="453"/>
      <c r="G18" s="2610" t="s">
        <v>3056</v>
      </c>
      <c r="H18" s="448"/>
      <c r="I18" s="2610" t="s">
        <v>3056</v>
      </c>
      <c r="J18" s="448"/>
      <c r="K18" s="615"/>
      <c r="L18" s="1140"/>
      <c r="M18" s="1131"/>
      <c r="N18" s="1131"/>
      <c r="O18" s="1131"/>
      <c r="P18" s="3153"/>
      <c r="Q18" s="1811"/>
      <c r="R18" s="772"/>
      <c r="S18" s="773"/>
      <c r="T18" s="772"/>
      <c r="U18" s="773"/>
      <c r="V18" s="772"/>
      <c r="W18" s="773"/>
      <c r="X18" s="1814"/>
      <c r="Y18" s="3146"/>
      <c r="Z18" s="1815"/>
      <c r="AA18" s="1812">
        <v>1</v>
      </c>
      <c r="AB18" s="1812">
        <v>1</v>
      </c>
      <c r="AC18" s="1812">
        <v>1</v>
      </c>
    </row>
    <row r="19" spans="1:29" ht="71.25">
      <c r="A19" s="428"/>
      <c r="B19" s="451" t="s">
        <v>2638</v>
      </c>
      <c r="C19" s="2607" t="str">
        <f>估价对象房地状况!C7</f>
        <v>估价对象周边无银行、商场、学校、医院，有社区超市等，公共配套设施较差。</v>
      </c>
      <c r="D19" s="455">
        <v>100</v>
      </c>
      <c r="E19" s="457"/>
      <c r="F19" s="458">
        <f>SUMIF(80:80,E20,81:81)-SUMIF(80:80,C20,81:81)+100</f>
        <v>104</v>
      </c>
      <c r="G19" s="459"/>
      <c r="H19" s="450">
        <f>SUMIF(80:80,G20,81:81)-SUMIF(80:80,C20,81:81)+100</f>
        <v>104</v>
      </c>
      <c r="I19" s="457"/>
      <c r="J19" s="450">
        <f>SUMIF(80:80,I20,81:81)-SUMIF(80:80,C20,81:81)+100</f>
        <v>104</v>
      </c>
      <c r="K19" s="614">
        <v>2</v>
      </c>
      <c r="L19" s="1140"/>
      <c r="M19" s="1131"/>
      <c r="N19" s="1131"/>
      <c r="O19" s="1131"/>
      <c r="P19" s="3153"/>
      <c r="Q19" s="1811" t="str">
        <f>B19</f>
        <v>公共配套设施</v>
      </c>
      <c r="R19" s="772" t="s">
        <v>17</v>
      </c>
      <c r="S19" s="773">
        <f>F19</f>
        <v>104</v>
      </c>
      <c r="T19" s="772" t="s">
        <v>17</v>
      </c>
      <c r="U19" s="773">
        <f>H19</f>
        <v>104</v>
      </c>
      <c r="V19" s="772" t="s">
        <v>17</v>
      </c>
      <c r="W19" s="773">
        <f>J19</f>
        <v>104</v>
      </c>
      <c r="X19" s="1814"/>
      <c r="Y19" s="3146"/>
      <c r="Z19" s="1815" t="str">
        <f>Q19</f>
        <v>公共配套设施</v>
      </c>
      <c r="AA19" s="1812">
        <f t="shared" si="3"/>
        <v>0.96153846153846156</v>
      </c>
      <c r="AB19" s="1812">
        <f t="shared" si="4"/>
        <v>0.96153846153846156</v>
      </c>
      <c r="AC19" s="1812">
        <f t="shared" si="5"/>
        <v>0.96153846153846156</v>
      </c>
    </row>
    <row r="20" spans="1:29" ht="15">
      <c r="A20" s="428"/>
      <c r="B20" s="456"/>
      <c r="C20" s="447" t="s">
        <v>3058</v>
      </c>
      <c r="D20" s="448"/>
      <c r="E20" s="2605" t="s">
        <v>3056</v>
      </c>
      <c r="F20" s="449"/>
      <c r="G20" s="2605" t="s">
        <v>3056</v>
      </c>
      <c r="H20" s="448"/>
      <c r="I20" s="2605" t="s">
        <v>3056</v>
      </c>
      <c r="J20" s="448"/>
      <c r="K20" s="615"/>
      <c r="L20" s="1140"/>
      <c r="M20" s="1131"/>
      <c r="N20" s="1131"/>
      <c r="O20" s="1131"/>
      <c r="P20" s="3153"/>
      <c r="Q20" s="1811"/>
      <c r="R20" s="772"/>
      <c r="S20" s="773"/>
      <c r="T20" s="772"/>
      <c r="U20" s="773"/>
      <c r="V20" s="772"/>
      <c r="W20" s="773"/>
      <c r="X20" s="1814"/>
      <c r="Y20" s="3146"/>
      <c r="Z20" s="1815"/>
      <c r="AA20" s="1812">
        <v>1</v>
      </c>
      <c r="AB20" s="1812">
        <v>1</v>
      </c>
      <c r="AC20" s="1812">
        <v>1</v>
      </c>
    </row>
    <row r="21" spans="1:29" ht="42.75">
      <c r="A21" s="428"/>
      <c r="B21" s="1384" t="s">
        <v>2639</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153"/>
      <c r="Q21" s="1811" t="str">
        <f>B21</f>
        <v>基础设施水平</v>
      </c>
      <c r="R21" s="772" t="s">
        <v>17</v>
      </c>
      <c r="S21" s="773">
        <f>F21</f>
        <v>100</v>
      </c>
      <c r="T21" s="772" t="s">
        <v>17</v>
      </c>
      <c r="U21" s="773">
        <f>H21</f>
        <v>100</v>
      </c>
      <c r="V21" s="772" t="s">
        <v>17</v>
      </c>
      <c r="W21" s="773">
        <f>J21</f>
        <v>100</v>
      </c>
      <c r="X21" s="1814"/>
      <c r="Y21" s="3146"/>
      <c r="Z21" s="1815" t="str">
        <f>Q21</f>
        <v>基础设施水平</v>
      </c>
      <c r="AA21" s="1812">
        <f t="shared" ref="AA21" si="8">D21/F21</f>
        <v>1</v>
      </c>
      <c r="AB21" s="1812">
        <f t="shared" ref="AB21" si="9">D21/H21</f>
        <v>1</v>
      </c>
      <c r="AC21" s="1812">
        <f t="shared" ref="AC21" si="10">D21/J21</f>
        <v>1</v>
      </c>
    </row>
    <row r="22" spans="1:29" ht="15">
      <c r="A22" s="428"/>
      <c r="B22" s="1384"/>
      <c r="C22" s="2608" t="s">
        <v>3059</v>
      </c>
      <c r="D22" s="448"/>
      <c r="E22" s="447" t="s">
        <v>3059</v>
      </c>
      <c r="F22" s="449"/>
      <c r="G22" s="447" t="s">
        <v>3059</v>
      </c>
      <c r="H22" s="448"/>
      <c r="I22" s="447" t="s">
        <v>3059</v>
      </c>
      <c r="J22" s="448"/>
      <c r="K22" s="1383"/>
      <c r="L22" s="1140"/>
      <c r="M22" s="1131"/>
      <c r="N22" s="1131"/>
      <c r="O22" s="1131"/>
      <c r="P22" s="3153"/>
      <c r="Q22" s="1811"/>
      <c r="R22" s="772"/>
      <c r="S22" s="773"/>
      <c r="T22" s="772"/>
      <c r="U22" s="773"/>
      <c r="V22" s="772"/>
      <c r="W22" s="773"/>
      <c r="X22" s="1814"/>
      <c r="Y22" s="3146"/>
      <c r="Z22" s="1815"/>
      <c r="AA22" s="1812">
        <v>1</v>
      </c>
      <c r="AB22" s="1812">
        <v>1</v>
      </c>
      <c r="AC22" s="1812">
        <v>1</v>
      </c>
    </row>
    <row r="23" spans="1:29" ht="71.25">
      <c r="A23" s="428"/>
      <c r="B23" s="451" t="s">
        <v>2093</v>
      </c>
      <c r="C23" s="2662" t="str">
        <f>估价对象房地状况!C9</f>
        <v>周边绿化均为城市绿化，无高等教育机构等，综合评价环境状况一般</v>
      </c>
      <c r="D23" s="450">
        <v>100</v>
      </c>
      <c r="E23" s="452"/>
      <c r="F23" s="453">
        <f>SUMIF(84:84,E24,85:85)-SUMIF(84:84,C24,85:85)+100</f>
        <v>102</v>
      </c>
      <c r="G23" s="454"/>
      <c r="H23" s="450">
        <f>SUMIF(84:84,G24,85:85)-SUMIF(84:84,C24,85:85)+100</f>
        <v>102</v>
      </c>
      <c r="I23" s="452"/>
      <c r="J23" s="450">
        <f>SUMIF(84:84,I24,85:85)-SUMIF(84:84,C24,85:85)+100</f>
        <v>102</v>
      </c>
      <c r="K23" s="614">
        <v>2</v>
      </c>
      <c r="L23" s="1140"/>
      <c r="M23" s="1131"/>
      <c r="N23" s="1131"/>
      <c r="O23" s="1131"/>
      <c r="P23" s="3153"/>
      <c r="Q23" s="1811" t="str">
        <f>B23</f>
        <v>自然及人文环境</v>
      </c>
      <c r="R23" s="772" t="s">
        <v>17</v>
      </c>
      <c r="S23" s="773">
        <f>F23</f>
        <v>102</v>
      </c>
      <c r="T23" s="772" t="s">
        <v>17</v>
      </c>
      <c r="U23" s="773">
        <f>H23</f>
        <v>102</v>
      </c>
      <c r="V23" s="772" t="s">
        <v>17</v>
      </c>
      <c r="W23" s="773">
        <f>J23</f>
        <v>102</v>
      </c>
      <c r="X23" s="1814"/>
      <c r="Y23" s="3146"/>
      <c r="Z23" s="1815" t="str">
        <f>Q23</f>
        <v>自然及人文环境</v>
      </c>
      <c r="AA23" s="1812">
        <f t="shared" si="3"/>
        <v>0.98039215686274506</v>
      </c>
      <c r="AB23" s="1812">
        <f t="shared" si="4"/>
        <v>0.98039215686274506</v>
      </c>
      <c r="AC23" s="1812">
        <f t="shared" si="5"/>
        <v>0.98039215686274506</v>
      </c>
    </row>
    <row r="24" spans="1:29" ht="15">
      <c r="A24" s="428"/>
      <c r="B24" s="456"/>
      <c r="C24" s="447" t="s">
        <v>3057</v>
      </c>
      <c r="D24" s="448"/>
      <c r="E24" s="2605" t="s">
        <v>3056</v>
      </c>
      <c r="F24" s="449"/>
      <c r="G24" s="2605" t="s">
        <v>3056</v>
      </c>
      <c r="H24" s="448"/>
      <c r="I24" s="2605" t="s">
        <v>3056</v>
      </c>
      <c r="J24" s="448"/>
      <c r="K24" s="615"/>
      <c r="L24" s="1140"/>
      <c r="M24" s="1131"/>
      <c r="N24" s="1131"/>
      <c r="O24" s="1131"/>
      <c r="P24" s="3153"/>
      <c r="Q24" s="1811"/>
      <c r="R24" s="772"/>
      <c r="S24" s="773"/>
      <c r="T24" s="772"/>
      <c r="U24" s="773"/>
      <c r="V24" s="772"/>
      <c r="W24" s="773"/>
      <c r="X24" s="1814"/>
      <c r="Y24" s="3146"/>
      <c r="Z24" s="1815"/>
      <c r="AA24" s="1812">
        <v>1</v>
      </c>
      <c r="AB24" s="1812">
        <v>1</v>
      </c>
      <c r="AC24" s="1812">
        <v>1</v>
      </c>
    </row>
    <row r="25" spans="1:29" ht="15">
      <c r="A25" s="428"/>
      <c r="B25" s="422" t="s">
        <v>2640</v>
      </c>
      <c r="C25" s="2945" t="s">
        <v>3159</v>
      </c>
      <c r="D25" s="2946">
        <v>100</v>
      </c>
      <c r="E25" s="2945" t="s">
        <v>3159</v>
      </c>
      <c r="F25" s="2947">
        <f>SUMIF(86:86,E25,87:87)-SUMIF(86:86,C25,87:87)+100</f>
        <v>100</v>
      </c>
      <c r="G25" s="2945" t="s">
        <v>3159</v>
      </c>
      <c r="H25" s="2946">
        <f>SUMIF(86:86,G25,87:87)-SUMIF(86:86,C25,87:87)+100</f>
        <v>100</v>
      </c>
      <c r="I25" s="2945" t="s">
        <v>3159</v>
      </c>
      <c r="J25" s="2946">
        <f>SUMIF(86:86,I25,87:87)-SUMIF(86:86,C25,87:87)+100</f>
        <v>100</v>
      </c>
      <c r="K25" s="612">
        <v>2</v>
      </c>
      <c r="L25" s="1140"/>
      <c r="M25" s="1131"/>
      <c r="N25" s="1131"/>
      <c r="O25" s="1131"/>
      <c r="P25" s="3153"/>
      <c r="Q25" s="1811" t="str">
        <f t="shared" ref="Q25:Q46" si="11">B25</f>
        <v>临街状况</v>
      </c>
      <c r="R25" s="772" t="s">
        <v>17</v>
      </c>
      <c r="S25" s="773">
        <f>F25</f>
        <v>100</v>
      </c>
      <c r="T25" s="772" t="s">
        <v>17</v>
      </c>
      <c r="U25" s="773">
        <f>H25</f>
        <v>100</v>
      </c>
      <c r="V25" s="772" t="s">
        <v>17</v>
      </c>
      <c r="W25" s="773">
        <f>J25</f>
        <v>100</v>
      </c>
      <c r="X25" s="1814"/>
      <c r="Y25" s="3146"/>
      <c r="Z25" s="1815" t="str">
        <f>Q25</f>
        <v>临街状况</v>
      </c>
      <c r="AA25" s="1812">
        <f t="shared" si="3"/>
        <v>1</v>
      </c>
      <c r="AB25" s="1812">
        <f t="shared" si="4"/>
        <v>1</v>
      </c>
      <c r="AC25" s="1812">
        <f t="shared" si="5"/>
        <v>1</v>
      </c>
    </row>
    <row r="26" spans="1:29" ht="15">
      <c r="A26" s="428"/>
      <c r="B26" s="2940" t="s">
        <v>3138</v>
      </c>
      <c r="C26" s="434" t="s">
        <v>3108</v>
      </c>
      <c r="D26" s="435">
        <v>100</v>
      </c>
      <c r="E26" s="434" t="s">
        <v>3108</v>
      </c>
      <c r="F26" s="461">
        <f>SUMIF(88:88,E26,89:89)-SUMIF(88:88,C26,89:89)+100</f>
        <v>100</v>
      </c>
      <c r="G26" s="434" t="s">
        <v>3108</v>
      </c>
      <c r="H26" s="435">
        <f>SUMIF(88:88,G26,89:89)-SUMIF(88:88,C26,89:89)+100</f>
        <v>100</v>
      </c>
      <c r="I26" s="434" t="s">
        <v>3108</v>
      </c>
      <c r="J26" s="435">
        <f>SUMIF(88:88,I26,89:89)-SUMIF(88:88,C26,89:89)+100</f>
        <v>100</v>
      </c>
      <c r="K26" s="613"/>
      <c r="L26" s="1140"/>
      <c r="M26" s="1131"/>
      <c r="N26" s="1131"/>
      <c r="O26" s="1131"/>
      <c r="P26" s="3153"/>
      <c r="Q26" s="1811" t="str">
        <f t="shared" si="11"/>
        <v>可视性</v>
      </c>
      <c r="R26" s="772" t="s">
        <v>17</v>
      </c>
      <c r="S26" s="773">
        <f>F26</f>
        <v>100</v>
      </c>
      <c r="T26" s="772" t="s">
        <v>17</v>
      </c>
      <c r="U26" s="773">
        <f>H26</f>
        <v>100</v>
      </c>
      <c r="V26" s="772" t="s">
        <v>17</v>
      </c>
      <c r="W26" s="773">
        <f>J26</f>
        <v>100</v>
      </c>
      <c r="X26" s="1814"/>
      <c r="Y26" s="3146"/>
      <c r="Z26" s="1815" t="str">
        <f>Q26</f>
        <v>可视性</v>
      </c>
      <c r="AA26" s="1812">
        <f t="shared" si="3"/>
        <v>1</v>
      </c>
      <c r="AB26" s="1812">
        <f t="shared" si="4"/>
        <v>1</v>
      </c>
      <c r="AC26" s="1812">
        <f t="shared" si="5"/>
        <v>1</v>
      </c>
    </row>
    <row r="27" spans="1:29" s="116" customFormat="1" ht="15">
      <c r="A27" s="431"/>
      <c r="B27" s="451" t="s">
        <v>2641</v>
      </c>
      <c r="C27" s="2663" t="s">
        <v>3165</v>
      </c>
      <c r="D27" s="462">
        <v>100</v>
      </c>
      <c r="E27" s="2663" t="s">
        <v>3056</v>
      </c>
      <c r="F27" s="464">
        <f>SUMIF(90:90,E27,91:91)-SUMIF(90:90,C27,91:91)+100</f>
        <v>109</v>
      </c>
      <c r="G27" s="2663" t="s">
        <v>3056</v>
      </c>
      <c r="H27" s="462">
        <f>SUMIF(90:90,G27,91:91)-SUMIF(90:90,C27,91:91)+100</f>
        <v>109</v>
      </c>
      <c r="I27" s="2663" t="s">
        <v>3153</v>
      </c>
      <c r="J27" s="462">
        <f>SUMIF(90:90,I27,91:91)-SUMIF(90:90,C27,91:91)+100</f>
        <v>112</v>
      </c>
      <c r="K27" s="612">
        <v>3</v>
      </c>
      <c r="L27" s="1132"/>
      <c r="M27" s="1133"/>
      <c r="N27" s="1133"/>
      <c r="O27" s="1133"/>
      <c r="P27" s="3153"/>
      <c r="Q27" s="1796" t="str">
        <f t="shared" si="11"/>
        <v>人流量</v>
      </c>
      <c r="R27" s="768" t="s">
        <v>17</v>
      </c>
      <c r="S27" s="769">
        <f>F27</f>
        <v>109</v>
      </c>
      <c r="T27" s="768" t="s">
        <v>17</v>
      </c>
      <c r="U27" s="769">
        <f>H27</f>
        <v>109</v>
      </c>
      <c r="V27" s="768" t="s">
        <v>17</v>
      </c>
      <c r="W27" s="769">
        <f>J27</f>
        <v>112</v>
      </c>
      <c r="X27" s="770"/>
      <c r="Y27" s="3146"/>
      <c r="Z27" s="54" t="str">
        <f>Q27</f>
        <v>人流量</v>
      </c>
      <c r="AA27" s="1812">
        <f>D27/F27</f>
        <v>0.91743119266055051</v>
      </c>
      <c r="AB27" s="1812">
        <f>D27/H27</f>
        <v>0.91743119266055051</v>
      </c>
      <c r="AC27" s="1812">
        <f>D27/J27</f>
        <v>0.8928571428571429</v>
      </c>
    </row>
    <row r="28" spans="1:29" ht="15.75" thickBot="1">
      <c r="A28" s="428"/>
      <c r="B28" s="422" t="s">
        <v>2642</v>
      </c>
      <c r="C28" s="616">
        <v>1</v>
      </c>
      <c r="D28" s="435">
        <v>100</v>
      </c>
      <c r="E28" s="616">
        <v>1</v>
      </c>
      <c r="F28" s="461">
        <f>SUMIF(92:92,E28,93:93)-SUMIF(92:92,C28,93:93)+100</f>
        <v>100</v>
      </c>
      <c r="G28" s="616">
        <v>1</v>
      </c>
      <c r="H28" s="435">
        <f>SUMIF(92:92,G28,93:93)-SUMIF(92:92,C28,93:93)+100</f>
        <v>100</v>
      </c>
      <c r="I28" s="616" t="s">
        <v>3109</v>
      </c>
      <c r="J28" s="435">
        <f>SUMIF(92:92,I28,93:93)-SUMIF(92:92,C28,93:93)+100</f>
        <v>80</v>
      </c>
      <c r="K28" s="613"/>
      <c r="L28" s="1140"/>
      <c r="M28" s="1131"/>
      <c r="N28" s="1131"/>
      <c r="O28" s="1131"/>
      <c r="P28" s="3153"/>
      <c r="Q28" s="1811" t="str">
        <f t="shared" si="11"/>
        <v>楼层</v>
      </c>
      <c r="R28" s="772" t="s">
        <v>17</v>
      </c>
      <c r="S28" s="773">
        <f t="shared" ref="S28:S46" si="12">F28</f>
        <v>100</v>
      </c>
      <c r="T28" s="772" t="s">
        <v>17</v>
      </c>
      <c r="U28" s="773">
        <f t="shared" ref="U28:U46" si="13">H28</f>
        <v>100</v>
      </c>
      <c r="V28" s="772" t="s">
        <v>17</v>
      </c>
      <c r="W28" s="773">
        <f t="shared" ref="W28:W46" si="14">J28</f>
        <v>80</v>
      </c>
      <c r="X28" s="1814"/>
      <c r="Y28" s="3146"/>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53"/>
      <c r="Q29" s="1811">
        <f t="shared" si="11"/>
        <v>111</v>
      </c>
      <c r="R29" s="772" t="s">
        <v>17</v>
      </c>
      <c r="S29" s="773">
        <f t="shared" si="12"/>
        <v>100</v>
      </c>
      <c r="T29" s="772" t="s">
        <v>17</v>
      </c>
      <c r="U29" s="773">
        <f t="shared" si="13"/>
        <v>100</v>
      </c>
      <c r="V29" s="772" t="s">
        <v>17</v>
      </c>
      <c r="W29" s="773">
        <f t="shared" si="14"/>
        <v>100</v>
      </c>
      <c r="X29" s="1814"/>
      <c r="Y29" s="3146"/>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53"/>
      <c r="Q30" s="1811">
        <f t="shared" si="11"/>
        <v>111</v>
      </c>
      <c r="R30" s="772" t="s">
        <v>17</v>
      </c>
      <c r="S30" s="773">
        <f t="shared" si="12"/>
        <v>100</v>
      </c>
      <c r="T30" s="772" t="s">
        <v>17</v>
      </c>
      <c r="U30" s="773">
        <f t="shared" si="13"/>
        <v>100</v>
      </c>
      <c r="V30" s="772" t="s">
        <v>17</v>
      </c>
      <c r="W30" s="773">
        <f t="shared" si="14"/>
        <v>100</v>
      </c>
      <c r="X30" s="1814"/>
      <c r="Y30" s="3146"/>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53"/>
      <c r="Q31" s="1811">
        <f t="shared" si="11"/>
        <v>111</v>
      </c>
      <c r="R31" s="772" t="s">
        <v>17</v>
      </c>
      <c r="S31" s="773">
        <f t="shared" si="12"/>
        <v>100</v>
      </c>
      <c r="T31" s="772" t="s">
        <v>17</v>
      </c>
      <c r="U31" s="773">
        <f t="shared" si="13"/>
        <v>100</v>
      </c>
      <c r="V31" s="772" t="s">
        <v>17</v>
      </c>
      <c r="W31" s="773">
        <f t="shared" si="14"/>
        <v>100</v>
      </c>
      <c r="X31" s="1814"/>
      <c r="Y31" s="3146"/>
      <c r="Z31" s="1815">
        <f t="shared" si="15"/>
        <v>111</v>
      </c>
      <c r="AA31" s="1812">
        <f t="shared" si="3"/>
        <v>1</v>
      </c>
      <c r="AB31" s="1812">
        <f t="shared" si="4"/>
        <v>1</v>
      </c>
      <c r="AC31" s="1812">
        <f t="shared" si="5"/>
        <v>1</v>
      </c>
    </row>
    <row r="32" spans="1:29" ht="15">
      <c r="A32" s="440" t="s">
        <v>2547</v>
      </c>
      <c r="B32" s="70" t="s">
        <v>2643</v>
      </c>
      <c r="C32" s="2617" t="s">
        <v>3111</v>
      </c>
      <c r="D32" s="467">
        <v>100</v>
      </c>
      <c r="E32" s="2617" t="s">
        <v>3112</v>
      </c>
      <c r="F32" s="461">
        <f>SUMIF(100:100,E32,101:101)-SUMIF(100:100,C32,101:101)+100</f>
        <v>97.5</v>
      </c>
      <c r="G32" s="2617" t="s">
        <v>3113</v>
      </c>
      <c r="H32" s="435">
        <f>SUMIF(100:100,G32,101:101)-SUMIF(100:100,C32,101:101)+100</f>
        <v>92.5</v>
      </c>
      <c r="I32" s="2617" t="s">
        <v>3113</v>
      </c>
      <c r="J32" s="467">
        <f>SUMIF(100:100,I32,101:101)-SUMIF(100:100,C32,101:101)+100</f>
        <v>92.5</v>
      </c>
      <c r="K32" s="612">
        <v>2.5</v>
      </c>
      <c r="L32" s="1140"/>
      <c r="M32" s="1131"/>
      <c r="N32" s="1131"/>
      <c r="O32" s="1131"/>
      <c r="P32" s="3147" t="s">
        <v>2549</v>
      </c>
      <c r="Q32" s="1811" t="str">
        <f t="shared" si="11"/>
        <v>商业类型</v>
      </c>
      <c r="R32" s="772" t="s">
        <v>17</v>
      </c>
      <c r="S32" s="773">
        <f t="shared" si="12"/>
        <v>97.5</v>
      </c>
      <c r="T32" s="772" t="s">
        <v>17</v>
      </c>
      <c r="U32" s="773">
        <f t="shared" si="13"/>
        <v>92.5</v>
      </c>
      <c r="V32" s="772" t="s">
        <v>17</v>
      </c>
      <c r="W32" s="773">
        <f t="shared" si="14"/>
        <v>92.5</v>
      </c>
      <c r="X32" s="1814"/>
      <c r="Y32" s="3150" t="s">
        <v>2549</v>
      </c>
      <c r="Z32" s="1815" t="str">
        <f t="shared" si="15"/>
        <v>商业类型</v>
      </c>
      <c r="AA32" s="1812">
        <f t="shared" si="3"/>
        <v>1.0256410256410255</v>
      </c>
      <c r="AB32" s="1812">
        <f t="shared" si="4"/>
        <v>1.0810810810810811</v>
      </c>
      <c r="AC32" s="1812">
        <f t="shared" si="5"/>
        <v>1.0810810810810811</v>
      </c>
    </row>
    <row r="33" spans="1:29" s="471" customFormat="1" ht="15">
      <c r="A33" s="468"/>
      <c r="B33" s="422" t="s">
        <v>2550</v>
      </c>
      <c r="C33" s="469">
        <f>典型户型修正!B24</f>
        <v>1381.84</v>
      </c>
      <c r="D33" s="135">
        <v>100</v>
      </c>
      <c r="E33" s="430">
        <v>265</v>
      </c>
      <c r="F33" s="425">
        <f>LOOKUP(E33,103:103,104:104)-LOOKUP(C33,103:103,104:104)+100</f>
        <v>101</v>
      </c>
      <c r="G33" s="429">
        <v>23</v>
      </c>
      <c r="H33" s="135">
        <f>LOOKUP(G33,103:103,104:104)-LOOKUP(C33,103:103,104:104)+100</f>
        <v>103</v>
      </c>
      <c r="I33" s="429">
        <v>126</v>
      </c>
      <c r="J33" s="135">
        <f>LOOKUP(I33,103:103,104:104)-LOOKUP(C33,103:103,104:104)+100</f>
        <v>102</v>
      </c>
      <c r="K33" s="613"/>
      <c r="L33" s="1138"/>
      <c r="M33" s="1141"/>
      <c r="N33" s="1141"/>
      <c r="O33" s="1141"/>
      <c r="P33" s="3148"/>
      <c r="Q33" s="774" t="str">
        <f t="shared" si="11"/>
        <v>项目建筑规模</v>
      </c>
      <c r="R33" s="775" t="s">
        <v>17</v>
      </c>
      <c r="S33" s="776">
        <f t="shared" si="12"/>
        <v>101</v>
      </c>
      <c r="T33" s="775" t="s">
        <v>17</v>
      </c>
      <c r="U33" s="776">
        <f t="shared" si="13"/>
        <v>103</v>
      </c>
      <c r="V33" s="775" t="s">
        <v>17</v>
      </c>
      <c r="W33" s="776">
        <f t="shared" si="14"/>
        <v>102</v>
      </c>
      <c r="X33" s="777"/>
      <c r="Y33" s="3150"/>
      <c r="Z33" s="778" t="str">
        <f t="shared" si="15"/>
        <v>项目建筑规模</v>
      </c>
      <c r="AA33" s="1812">
        <f t="shared" si="3"/>
        <v>0.99009900990099009</v>
      </c>
      <c r="AB33" s="1812">
        <f t="shared" si="4"/>
        <v>0.970873786407767</v>
      </c>
      <c r="AC33" s="1812">
        <f t="shared" si="5"/>
        <v>0.98039215686274506</v>
      </c>
    </row>
    <row r="34" spans="1:29" ht="15">
      <c r="A34" s="472"/>
      <c r="B34" s="422" t="s">
        <v>2551</v>
      </c>
      <c r="C34" s="2618" t="s">
        <v>3062</v>
      </c>
      <c r="D34" s="435">
        <v>100</v>
      </c>
      <c r="E34" s="2618" t="s">
        <v>3062</v>
      </c>
      <c r="F34" s="461">
        <f>SUMIF(105:105,E34,106:106)-SUMIF(105:105,C34,106:106)+100</f>
        <v>100</v>
      </c>
      <c r="G34" s="2618" t="s">
        <v>3062</v>
      </c>
      <c r="H34" s="435">
        <f>SUMIF(105:105,G34,106:106)-SUMIF(105:105,C34,106:106)+100</f>
        <v>100</v>
      </c>
      <c r="I34" s="2618" t="s">
        <v>3062</v>
      </c>
      <c r="J34" s="435">
        <f>SUMIF(105:105,I34,106:106)-SUMIF(105:105,C34,106:106)+100</f>
        <v>100</v>
      </c>
      <c r="K34" s="612">
        <v>2</v>
      </c>
      <c r="L34" s="1140"/>
      <c r="M34" s="1131"/>
      <c r="N34" s="1131"/>
      <c r="O34" s="1131"/>
      <c r="P34" s="3148"/>
      <c r="Q34" s="1811" t="str">
        <f t="shared" si="11"/>
        <v>建筑结构</v>
      </c>
      <c r="R34" s="772" t="s">
        <v>17</v>
      </c>
      <c r="S34" s="773">
        <f t="shared" si="12"/>
        <v>100</v>
      </c>
      <c r="T34" s="772" t="s">
        <v>17</v>
      </c>
      <c r="U34" s="773">
        <f t="shared" si="13"/>
        <v>100</v>
      </c>
      <c r="V34" s="772" t="s">
        <v>17</v>
      </c>
      <c r="W34" s="773">
        <f t="shared" si="14"/>
        <v>100</v>
      </c>
      <c r="X34" s="1814"/>
      <c r="Y34" s="3150"/>
      <c r="Z34" s="1815" t="str">
        <f t="shared" si="15"/>
        <v>建筑结构</v>
      </c>
      <c r="AA34" s="1812">
        <f t="shared" si="3"/>
        <v>1</v>
      </c>
      <c r="AB34" s="1812">
        <f t="shared" si="4"/>
        <v>1</v>
      </c>
      <c r="AC34" s="1812">
        <f t="shared" si="5"/>
        <v>1</v>
      </c>
    </row>
    <row r="35" spans="1:29" ht="15">
      <c r="A35" s="472"/>
      <c r="B35" s="422" t="s">
        <v>2644</v>
      </c>
      <c r="C35" s="2613" t="s">
        <v>3070</v>
      </c>
      <c r="D35" s="435">
        <v>100</v>
      </c>
      <c r="E35" s="2613" t="s">
        <v>3116</v>
      </c>
      <c r="F35" s="461">
        <f>SUMIF(107:107,E35,108:108)-SUMIF(107:107,C35,108:108)+100</f>
        <v>102</v>
      </c>
      <c r="G35" s="2613" t="s">
        <v>3116</v>
      </c>
      <c r="H35" s="435">
        <f>SUMIF(107:107,G35,108:108)-SUMIF(107:107,C35,108:108)+100</f>
        <v>102</v>
      </c>
      <c r="I35" s="2613" t="s">
        <v>3116</v>
      </c>
      <c r="J35" s="435">
        <f>SUMIF(107:107,I35,108:108)-SUMIF(107:107,C35,108:108)+100</f>
        <v>102</v>
      </c>
      <c r="K35" s="612">
        <v>1</v>
      </c>
      <c r="L35" s="1140"/>
      <c r="M35" s="1131"/>
      <c r="N35" s="1131"/>
      <c r="O35" s="1131"/>
      <c r="P35" s="3148"/>
      <c r="Q35" s="1811" t="str">
        <f t="shared" si="11"/>
        <v>公共部分装修</v>
      </c>
      <c r="R35" s="772" t="s">
        <v>17</v>
      </c>
      <c r="S35" s="773">
        <f t="shared" si="12"/>
        <v>102</v>
      </c>
      <c r="T35" s="772" t="s">
        <v>17</v>
      </c>
      <c r="U35" s="773">
        <f t="shared" si="13"/>
        <v>102</v>
      </c>
      <c r="V35" s="772" t="s">
        <v>17</v>
      </c>
      <c r="W35" s="773">
        <f t="shared" si="14"/>
        <v>102</v>
      </c>
      <c r="X35" s="1814"/>
      <c r="Y35" s="3150"/>
      <c r="Z35" s="1815" t="str">
        <f t="shared" si="15"/>
        <v>公共部分装修</v>
      </c>
      <c r="AA35" s="1812">
        <f t="shared" si="3"/>
        <v>0.98039215686274506</v>
      </c>
      <c r="AB35" s="1812">
        <f t="shared" si="4"/>
        <v>0.98039215686274506</v>
      </c>
      <c r="AC35" s="1812">
        <f t="shared" si="5"/>
        <v>0.98039215686274506</v>
      </c>
    </row>
    <row r="36" spans="1:29" ht="15">
      <c r="A36" s="472"/>
      <c r="B36" s="422" t="s">
        <v>2645</v>
      </c>
      <c r="C36" s="474">
        <f>'数据-取费表'!N6</f>
        <v>0.95</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148"/>
      <c r="Q36" s="1811" t="str">
        <f t="shared" si="11"/>
        <v>成新度</v>
      </c>
      <c r="R36" s="772" t="s">
        <v>17</v>
      </c>
      <c r="S36" s="773">
        <f t="shared" si="12"/>
        <v>99</v>
      </c>
      <c r="T36" s="772" t="s">
        <v>17</v>
      </c>
      <c r="U36" s="773">
        <f t="shared" si="13"/>
        <v>100</v>
      </c>
      <c r="V36" s="772" t="s">
        <v>17</v>
      </c>
      <c r="W36" s="773">
        <f t="shared" si="14"/>
        <v>99</v>
      </c>
      <c r="X36" s="1814"/>
      <c r="Y36" s="3150"/>
      <c r="Z36" s="1815" t="str">
        <f t="shared" si="15"/>
        <v>成新度</v>
      </c>
      <c r="AA36" s="1812">
        <f t="shared" si="3"/>
        <v>1.0101010101010102</v>
      </c>
      <c r="AB36" s="1812">
        <f t="shared" si="4"/>
        <v>1</v>
      </c>
      <c r="AC36" s="1812">
        <f t="shared" si="5"/>
        <v>1.0101010101010102</v>
      </c>
    </row>
    <row r="37" spans="1:29" s="116" customFormat="1" ht="15">
      <c r="A37" s="473"/>
      <c r="B37" s="422" t="s">
        <v>2646</v>
      </c>
      <c r="C37" s="2613" t="s">
        <v>3059</v>
      </c>
      <c r="D37" s="135">
        <v>100</v>
      </c>
      <c r="E37" s="2613" t="s">
        <v>3121</v>
      </c>
      <c r="F37" s="461">
        <f>SUMIF(112:112,E37,113:113)-SUMIF(112:112,C37,113:113)+100</f>
        <v>99</v>
      </c>
      <c r="G37" s="2613" t="s">
        <v>3121</v>
      </c>
      <c r="H37" s="435">
        <f>SUMIF(112:112,G37,113:113)-SUMIF(112:112,C37,113:113)+100</f>
        <v>99</v>
      </c>
      <c r="I37" s="2613" t="s">
        <v>3121</v>
      </c>
      <c r="J37" s="435">
        <f>SUMIF(112:112,I37,113:113)-SUMIF(112:112,C37,113:113)+100</f>
        <v>99</v>
      </c>
      <c r="K37" s="612">
        <v>1</v>
      </c>
      <c r="L37" s="1132"/>
      <c r="M37" s="1133"/>
      <c r="N37" s="1133"/>
      <c r="O37" s="1133"/>
      <c r="P37" s="3148"/>
      <c r="Q37" s="1796" t="str">
        <f t="shared" si="11"/>
        <v>市政基础设施</v>
      </c>
      <c r="R37" s="768" t="s">
        <v>17</v>
      </c>
      <c r="S37" s="769">
        <f t="shared" si="12"/>
        <v>99</v>
      </c>
      <c r="T37" s="768" t="s">
        <v>17</v>
      </c>
      <c r="U37" s="769">
        <f t="shared" si="13"/>
        <v>99</v>
      </c>
      <c r="V37" s="768" t="s">
        <v>17</v>
      </c>
      <c r="W37" s="769">
        <f t="shared" si="14"/>
        <v>99</v>
      </c>
      <c r="X37" s="770"/>
      <c r="Y37" s="3150"/>
      <c r="Z37" s="54" t="str">
        <f t="shared" si="15"/>
        <v>市政基础设施</v>
      </c>
      <c r="AA37" s="771">
        <f t="shared" si="3"/>
        <v>1.0101010101010102</v>
      </c>
      <c r="AB37" s="771">
        <f t="shared" si="4"/>
        <v>1.0101010101010102</v>
      </c>
      <c r="AC37" s="771">
        <f t="shared" si="5"/>
        <v>1.0101010101010102</v>
      </c>
    </row>
    <row r="38" spans="1:29" ht="15">
      <c r="A38" s="472"/>
      <c r="B38" s="422" t="s">
        <v>2647</v>
      </c>
      <c r="C38" s="2613" t="s">
        <v>3123</v>
      </c>
      <c r="D38" s="435">
        <v>100</v>
      </c>
      <c r="E38" s="2613" t="s">
        <v>3123</v>
      </c>
      <c r="F38" s="461">
        <f>SUMIF(114:114,E38,115:115)-SUMIF(114:114,C38,115:115)+100</f>
        <v>100</v>
      </c>
      <c r="G38" s="2613" t="s">
        <v>3125</v>
      </c>
      <c r="H38" s="435">
        <f>SUMIF(114:114,G38,115:115)-SUMIF(114:114,C38,115:115)+100</f>
        <v>98</v>
      </c>
      <c r="I38" s="2613" t="s">
        <v>3125</v>
      </c>
      <c r="J38" s="435">
        <f>SUMIF(114:114,I38,115:115)-SUMIF(114:114,C38,115:115)+100</f>
        <v>98</v>
      </c>
      <c r="K38" s="612">
        <v>2</v>
      </c>
      <c r="L38" s="1140"/>
      <c r="M38" s="1131"/>
      <c r="N38" s="1131"/>
      <c r="O38" s="1131"/>
      <c r="P38" s="3148" t="s">
        <v>2549</v>
      </c>
      <c r="Q38" s="1811" t="str">
        <f t="shared" si="11"/>
        <v>业态</v>
      </c>
      <c r="R38" s="772" t="s">
        <v>17</v>
      </c>
      <c r="S38" s="773">
        <f t="shared" si="12"/>
        <v>100</v>
      </c>
      <c r="T38" s="772" t="s">
        <v>17</v>
      </c>
      <c r="U38" s="773">
        <f t="shared" si="13"/>
        <v>98</v>
      </c>
      <c r="V38" s="772" t="s">
        <v>17</v>
      </c>
      <c r="W38" s="773">
        <f t="shared" si="14"/>
        <v>98</v>
      </c>
      <c r="X38" s="1814"/>
      <c r="Y38" s="3150" t="s">
        <v>2549</v>
      </c>
      <c r="Z38" s="1815" t="str">
        <f t="shared" si="15"/>
        <v>业态</v>
      </c>
      <c r="AA38" s="1812">
        <f t="shared" si="3"/>
        <v>1</v>
      </c>
      <c r="AB38" s="1812">
        <f t="shared" si="4"/>
        <v>1.0204081632653061</v>
      </c>
      <c r="AC38" s="1812">
        <f t="shared" si="5"/>
        <v>1.0204081632653061</v>
      </c>
    </row>
    <row r="39" spans="1:29" ht="15">
      <c r="A39" s="472"/>
      <c r="B39" s="422" t="s">
        <v>2648</v>
      </c>
      <c r="C39" s="2613" t="s">
        <v>3127</v>
      </c>
      <c r="D39" s="435">
        <v>100</v>
      </c>
      <c r="E39" s="2613" t="s">
        <v>3127</v>
      </c>
      <c r="F39" s="461">
        <f>SUMIF(116:116,E39,117:117)-SUMIF(116:116,C39,117:117)+100</f>
        <v>100</v>
      </c>
      <c r="G39" s="2613" t="s">
        <v>3127</v>
      </c>
      <c r="H39" s="435">
        <f>SUMIF(116:116,G39,117:117)-SUMIF(116:116,C39,117:117)+100</f>
        <v>100</v>
      </c>
      <c r="I39" s="2613" t="s">
        <v>3127</v>
      </c>
      <c r="J39" s="435">
        <f>SUMIF(116:116,I39,117:117)-SUMIF(116:116,C39,117:117)+100</f>
        <v>100</v>
      </c>
      <c r="K39" s="612">
        <v>2</v>
      </c>
      <c r="L39" s="1140"/>
      <c r="M39" s="1131"/>
      <c r="N39" s="1131"/>
      <c r="O39" s="1131"/>
      <c r="P39" s="3148"/>
      <c r="Q39" s="1811" t="str">
        <f t="shared" si="11"/>
        <v>层高</v>
      </c>
      <c r="R39" s="772" t="s">
        <v>17</v>
      </c>
      <c r="S39" s="773">
        <f t="shared" si="12"/>
        <v>100</v>
      </c>
      <c r="T39" s="772" t="s">
        <v>17</v>
      </c>
      <c r="U39" s="773">
        <f t="shared" si="13"/>
        <v>100</v>
      </c>
      <c r="V39" s="772" t="s">
        <v>17</v>
      </c>
      <c r="W39" s="773">
        <f t="shared" si="14"/>
        <v>100</v>
      </c>
      <c r="X39" s="1814"/>
      <c r="Y39" s="3150"/>
      <c r="Z39" s="1815" t="str">
        <f t="shared" si="15"/>
        <v>层高</v>
      </c>
      <c r="AA39" s="1812">
        <f t="shared" si="3"/>
        <v>1</v>
      </c>
      <c r="AB39" s="1812">
        <f t="shared" si="4"/>
        <v>1</v>
      </c>
      <c r="AC39" s="1812">
        <f t="shared" si="5"/>
        <v>1</v>
      </c>
    </row>
    <row r="40" spans="1:29" ht="15" hidden="1">
      <c r="A40" s="472"/>
      <c r="B40" s="422" t="s">
        <v>2649</v>
      </c>
      <c r="C40" s="2948" t="s">
        <v>3129</v>
      </c>
      <c r="D40" s="2943">
        <v>100</v>
      </c>
      <c r="E40" s="2949">
        <f>F118</f>
        <v>0</v>
      </c>
      <c r="F40" s="2944">
        <f>SUMIF(118:118,E40,119:119)-SUMIF(118:118,C40,119:119)+100</f>
        <v>100</v>
      </c>
      <c r="G40" s="2949">
        <f>C118</f>
        <v>0</v>
      </c>
      <c r="H40" s="2943">
        <f>SUMIF(118:118,G40,119:119)-SUMIF(118:118,C40,119:119)+100</f>
        <v>100</v>
      </c>
      <c r="I40" s="2949">
        <f>E118</f>
        <v>0</v>
      </c>
      <c r="J40" s="2943">
        <f>SUMIF(118:118,I40,119:119)-SUMIF(118:118,C40,119:119)+100</f>
        <v>100</v>
      </c>
      <c r="K40" s="613"/>
      <c r="L40" s="1140"/>
      <c r="M40" s="1131"/>
      <c r="N40" s="1131"/>
      <c r="O40" s="1131"/>
      <c r="P40" s="3148"/>
      <c r="Q40" s="1811" t="str">
        <f t="shared" si="11"/>
        <v>单套建筑面积</v>
      </c>
      <c r="R40" s="772" t="s">
        <v>17</v>
      </c>
      <c r="S40" s="773">
        <f t="shared" si="12"/>
        <v>100</v>
      </c>
      <c r="T40" s="772" t="s">
        <v>17</v>
      </c>
      <c r="U40" s="773">
        <f t="shared" si="13"/>
        <v>100</v>
      </c>
      <c r="V40" s="772" t="s">
        <v>17</v>
      </c>
      <c r="W40" s="773">
        <f t="shared" si="14"/>
        <v>100</v>
      </c>
      <c r="X40" s="1814"/>
      <c r="Y40" s="3150"/>
      <c r="Z40" s="1815" t="str">
        <f t="shared" si="15"/>
        <v>单套建筑面积</v>
      </c>
      <c r="AA40" s="1812">
        <f t="shared" si="3"/>
        <v>1</v>
      </c>
      <c r="AB40" s="1812">
        <f t="shared" si="4"/>
        <v>1</v>
      </c>
      <c r="AC40" s="1812">
        <f t="shared" si="5"/>
        <v>1</v>
      </c>
    </row>
    <row r="41" spans="1:29" s="471" customFormat="1" ht="15" hidden="1">
      <c r="A41" s="468"/>
      <c r="B41" s="1813" t="s">
        <v>2650</v>
      </c>
      <c r="C41" s="616" t="s">
        <v>3130</v>
      </c>
      <c r="D41" s="435">
        <v>100</v>
      </c>
      <c r="E41" s="616" t="s">
        <v>3130</v>
      </c>
      <c r="F41" s="461">
        <f>SUMIF(120:120,E41,121:121)-SUMIF(120:120,C41,121:121)+100</f>
        <v>100</v>
      </c>
      <c r="G41" s="616" t="s">
        <v>3130</v>
      </c>
      <c r="H41" s="435">
        <f>SUMIF(120:120,G41,121:121)-SUMIF(120:120,C41,121:121)+100</f>
        <v>100</v>
      </c>
      <c r="I41" s="616" t="s">
        <v>3130</v>
      </c>
      <c r="J41" s="435">
        <f>SUMIF(120:120,I41,121:121)-SUMIF(120:120,C41,121:121)+100</f>
        <v>100</v>
      </c>
      <c r="K41" s="612">
        <v>2</v>
      </c>
      <c r="L41" s="1138"/>
      <c r="M41" s="1141"/>
      <c r="N41" s="1141"/>
      <c r="O41" s="1141"/>
      <c r="P41" s="3148"/>
      <c r="Q41" s="774" t="str">
        <f t="shared" si="11"/>
        <v>进深比</v>
      </c>
      <c r="R41" s="775" t="s">
        <v>17</v>
      </c>
      <c r="S41" s="776">
        <f t="shared" si="12"/>
        <v>100</v>
      </c>
      <c r="T41" s="775" t="s">
        <v>17</v>
      </c>
      <c r="U41" s="776">
        <f t="shared" si="13"/>
        <v>100</v>
      </c>
      <c r="V41" s="775" t="s">
        <v>17</v>
      </c>
      <c r="W41" s="776">
        <f t="shared" si="14"/>
        <v>100</v>
      </c>
      <c r="X41" s="777"/>
      <c r="Y41" s="3150"/>
      <c r="Z41" s="778" t="str">
        <f t="shared" si="15"/>
        <v>进深比</v>
      </c>
      <c r="AA41" s="1812">
        <f t="shared" si="3"/>
        <v>1</v>
      </c>
      <c r="AB41" s="1812">
        <f t="shared" si="4"/>
        <v>1</v>
      </c>
      <c r="AC41" s="1812">
        <f t="shared" si="5"/>
        <v>1</v>
      </c>
    </row>
    <row r="42" spans="1:29" ht="15">
      <c r="A42" s="472"/>
      <c r="B42" s="422" t="s">
        <v>2651</v>
      </c>
      <c r="C42" s="2613" t="s">
        <v>3070</v>
      </c>
      <c r="D42" s="435">
        <v>100</v>
      </c>
      <c r="E42" s="2613" t="s">
        <v>3116</v>
      </c>
      <c r="F42" s="461">
        <f>SUMIF(122:122,E42,123:123)-SUMIF(122:122,C42,123:123)+100</f>
        <v>102</v>
      </c>
      <c r="G42" s="2613" t="s">
        <v>3070</v>
      </c>
      <c r="H42" s="435">
        <f>SUMIF(122:122,G42,123:123)-SUMIF(122:122,C42,123:123)+100</f>
        <v>100</v>
      </c>
      <c r="I42" s="2613" t="s">
        <v>3116</v>
      </c>
      <c r="J42" s="435">
        <f>SUMIF(122:122,I42,123:123)-SUMIF(122:122,C42,123:123)+100</f>
        <v>102</v>
      </c>
      <c r="K42" s="612">
        <v>1</v>
      </c>
      <c r="L42" s="1140"/>
      <c r="M42" s="1131"/>
      <c r="N42" s="1131"/>
      <c r="O42" s="1131"/>
      <c r="P42" s="3148"/>
      <c r="Q42" s="1811" t="str">
        <f t="shared" si="11"/>
        <v>内部装修</v>
      </c>
      <c r="R42" s="772" t="s">
        <v>17</v>
      </c>
      <c r="S42" s="773">
        <f t="shared" si="12"/>
        <v>102</v>
      </c>
      <c r="T42" s="772" t="s">
        <v>17</v>
      </c>
      <c r="U42" s="773">
        <f t="shared" si="13"/>
        <v>100</v>
      </c>
      <c r="V42" s="772" t="s">
        <v>17</v>
      </c>
      <c r="W42" s="773">
        <f t="shared" si="14"/>
        <v>102</v>
      </c>
      <c r="X42" s="1814"/>
      <c r="Y42" s="3150"/>
      <c r="Z42" s="1815" t="str">
        <f t="shared" si="15"/>
        <v>内部装修</v>
      </c>
      <c r="AA42" s="1812">
        <f t="shared" si="3"/>
        <v>0.98039215686274506</v>
      </c>
      <c r="AB42" s="1812">
        <f t="shared" si="4"/>
        <v>1</v>
      </c>
      <c r="AC42" s="1812">
        <f t="shared" si="5"/>
        <v>0.98039215686274506</v>
      </c>
    </row>
    <row r="43" spans="1:29" ht="15.75" thickBot="1">
      <c r="A43" s="472"/>
      <c r="B43" s="422" t="s">
        <v>2560</v>
      </c>
      <c r="C43" s="2613" t="s">
        <v>3056</v>
      </c>
      <c r="D43" s="435">
        <v>100</v>
      </c>
      <c r="E43" s="2613" t="s">
        <v>3056</v>
      </c>
      <c r="F43" s="461">
        <f>SUMIF(124:124,E43,125:125)-SUMIF(124:124,C43,125:125)+100</f>
        <v>100</v>
      </c>
      <c r="G43" s="2613" t="s">
        <v>3056</v>
      </c>
      <c r="H43" s="435">
        <f>SUMIF(124:124,G43,125:125)-SUMIF(124:124,C43,125:125)+100</f>
        <v>100</v>
      </c>
      <c r="I43" s="2613" t="s">
        <v>3056</v>
      </c>
      <c r="J43" s="435">
        <f>SUMIF(124:124,I43,125:125)-SUMIF(124:124,C43,125:125)+100</f>
        <v>100</v>
      </c>
      <c r="K43" s="612">
        <v>2</v>
      </c>
      <c r="L43" s="1140"/>
      <c r="M43" s="1131"/>
      <c r="N43" s="1131"/>
      <c r="O43" s="1131"/>
      <c r="P43" s="3148"/>
      <c r="Q43" s="1811" t="str">
        <f t="shared" si="11"/>
        <v>内部装修维护情况</v>
      </c>
      <c r="R43" s="772" t="s">
        <v>17</v>
      </c>
      <c r="S43" s="773">
        <f t="shared" si="12"/>
        <v>100</v>
      </c>
      <c r="T43" s="772" t="s">
        <v>17</v>
      </c>
      <c r="U43" s="773">
        <f t="shared" si="13"/>
        <v>100</v>
      </c>
      <c r="V43" s="772" t="s">
        <v>17</v>
      </c>
      <c r="W43" s="773">
        <f t="shared" si="14"/>
        <v>100</v>
      </c>
      <c r="X43" s="1814"/>
      <c r="Y43" s="3150"/>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148"/>
      <c r="Q44" s="1796">
        <f t="shared" si="11"/>
        <v>111</v>
      </c>
      <c r="R44" s="768" t="s">
        <v>17</v>
      </c>
      <c r="S44" s="769">
        <f t="shared" si="12"/>
        <v>100</v>
      </c>
      <c r="T44" s="768" t="s">
        <v>17</v>
      </c>
      <c r="U44" s="769">
        <f t="shared" si="13"/>
        <v>100</v>
      </c>
      <c r="V44" s="768" t="s">
        <v>17</v>
      </c>
      <c r="W44" s="769">
        <f t="shared" si="14"/>
        <v>100</v>
      </c>
      <c r="X44" s="770"/>
      <c r="Y44" s="3150"/>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48"/>
      <c r="Q45" s="1811">
        <f t="shared" si="11"/>
        <v>111</v>
      </c>
      <c r="R45" s="772" t="s">
        <v>17</v>
      </c>
      <c r="S45" s="773">
        <f t="shared" si="12"/>
        <v>100</v>
      </c>
      <c r="T45" s="772" t="s">
        <v>17</v>
      </c>
      <c r="U45" s="773">
        <f t="shared" si="13"/>
        <v>100</v>
      </c>
      <c r="V45" s="772" t="s">
        <v>17</v>
      </c>
      <c r="W45" s="773">
        <f t="shared" si="14"/>
        <v>100</v>
      </c>
      <c r="X45" s="1814"/>
      <c r="Y45" s="3150"/>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49"/>
      <c r="Q46" s="1811">
        <f t="shared" si="11"/>
        <v>111</v>
      </c>
      <c r="R46" s="772" t="s">
        <v>17</v>
      </c>
      <c r="S46" s="773">
        <f t="shared" si="12"/>
        <v>100</v>
      </c>
      <c r="T46" s="772" t="s">
        <v>17</v>
      </c>
      <c r="U46" s="773">
        <f t="shared" si="13"/>
        <v>100</v>
      </c>
      <c r="V46" s="772" t="s">
        <v>17</v>
      </c>
      <c r="W46" s="773">
        <f t="shared" si="14"/>
        <v>100</v>
      </c>
      <c r="X46" s="1814"/>
      <c r="Y46" s="3151"/>
      <c r="Z46" s="1815">
        <f t="shared" si="15"/>
        <v>111</v>
      </c>
      <c r="AA46" s="1812">
        <f t="shared" si="3"/>
        <v>1</v>
      </c>
      <c r="AB46" s="1812">
        <f t="shared" si="4"/>
        <v>1</v>
      </c>
      <c r="AC46" s="1812">
        <f t="shared" si="5"/>
        <v>1</v>
      </c>
    </row>
    <row r="47" spans="1:29" ht="15">
      <c r="A47" s="479" t="s">
        <v>2561</v>
      </c>
      <c r="B47" s="480"/>
      <c r="C47" s="1407" t="s">
        <v>1</v>
      </c>
      <c r="D47" s="1408"/>
      <c r="E47" s="1409">
        <f>F62</f>
        <v>44531</v>
      </c>
      <c r="F47" s="1410"/>
      <c r="G47" s="1411">
        <f>G62</f>
        <v>43043</v>
      </c>
      <c r="H47" s="1412"/>
      <c r="I47" s="1409">
        <f>H62</f>
        <v>39285</v>
      </c>
      <c r="J47" s="1412"/>
      <c r="K47" s="781"/>
      <c r="L47" s="1143"/>
      <c r="M47" s="1144"/>
      <c r="N47" s="1131"/>
      <c r="O47" s="1144"/>
      <c r="P47" s="3143" t="str">
        <f>A47</f>
        <v>成交单价（元/平方米）</v>
      </c>
      <c r="Q47" s="3143"/>
      <c r="R47" s="3174">
        <f>E47</f>
        <v>44531</v>
      </c>
      <c r="S47" s="3174"/>
      <c r="T47" s="3174">
        <f>G47</f>
        <v>43043</v>
      </c>
      <c r="U47" s="3174"/>
      <c r="V47" s="3174">
        <f>I47</f>
        <v>39285</v>
      </c>
      <c r="W47" s="3174"/>
      <c r="X47" s="757"/>
      <c r="Y47" s="779"/>
      <c r="Z47" s="757"/>
      <c r="AA47" s="757"/>
      <c r="AB47" s="757"/>
      <c r="AC47" s="757"/>
    </row>
    <row r="48" spans="1:29" ht="15.75" thickBot="1">
      <c r="A48" s="486" t="s">
        <v>2652</v>
      </c>
      <c r="B48" s="487"/>
      <c r="C48" s="1413">
        <f>R49</f>
        <v>38351</v>
      </c>
      <c r="D48" s="1414"/>
      <c r="E48" s="1415">
        <f>R48</f>
        <v>36878</v>
      </c>
      <c r="F48" s="1415"/>
      <c r="G48" s="1413">
        <f>T48</f>
        <v>37219</v>
      </c>
      <c r="H48" s="1414"/>
      <c r="I48" s="1415">
        <f>V48</f>
        <v>40955</v>
      </c>
      <c r="J48" s="1414"/>
      <c r="K48" s="782"/>
      <c r="L48" s="1143"/>
      <c r="M48" s="1144"/>
      <c r="N48" s="1131"/>
      <c r="O48" s="1144"/>
      <c r="P48" s="3143" t="str">
        <f>A48</f>
        <v>比较价值（元/平方米）</v>
      </c>
      <c r="Q48" s="3143"/>
      <c r="R48" s="3144">
        <f>IF(F1="售价",ROUND(PRODUCT(R47,AA7:AA46),0),ROUND(PRODUCT(R47,AA7:AA46),1))</f>
        <v>36878</v>
      </c>
      <c r="S48" s="3144"/>
      <c r="T48" s="3144">
        <f>IF(F1="售价",ROUND(PRODUCT(T47,AB7:AB46),0),ROUND(PRODUCT(T47,AB7:AB46),1))</f>
        <v>37219</v>
      </c>
      <c r="U48" s="3144"/>
      <c r="V48" s="3144">
        <f>IF(F1="售价",ROUND(PRODUCT(V47,AC7:AC46),0),ROUND(PRODUCT(V47,AC7:AC46),1))</f>
        <v>40955</v>
      </c>
      <c r="W48" s="3144"/>
      <c r="X48" s="757"/>
      <c r="Y48" s="757"/>
      <c r="Z48" s="757"/>
      <c r="AA48" s="757"/>
      <c r="AB48" s="757"/>
      <c r="AC48" s="757"/>
    </row>
    <row r="49" spans="1:29" ht="15.75" thickBot="1">
      <c r="A49" s="492" t="s">
        <v>2653</v>
      </c>
      <c r="B49" s="493"/>
      <c r="C49" s="1417">
        <f>R49</f>
        <v>38351</v>
      </c>
      <c r="D49" s="1417"/>
      <c r="E49" s="1417"/>
      <c r="F49" s="1417"/>
      <c r="G49" s="1417"/>
      <c r="H49" s="1417"/>
      <c r="I49" s="1417"/>
      <c r="J49" s="1417"/>
      <c r="K49" s="783"/>
      <c r="L49" s="1143"/>
      <c r="M49" s="1144"/>
      <c r="N49" s="1131"/>
      <c r="O49" s="1144"/>
      <c r="P49" s="3140" t="str">
        <f>A49</f>
        <v>估价对象XX用房的比较价值（楼面单价，元/平方米）</v>
      </c>
      <c r="Q49" s="3141"/>
      <c r="R49" s="3142">
        <f>IF(F1="售价",ROUND(AVERAGE(R48:V48),0),ROUND(AVERAGE(R48:V48),1))</f>
        <v>38351</v>
      </c>
      <c r="S49" s="3142"/>
      <c r="T49" s="3142"/>
      <c r="U49" s="3142"/>
      <c r="V49" s="3142"/>
      <c r="W49" s="3142"/>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2654</v>
      </c>
      <c r="D52" s="498"/>
      <c r="E52" s="499">
        <f>IF(E47&lt;E48,E48/E47-1,E47/E48-1)</f>
        <v>0.20752209989695758</v>
      </c>
      <c r="F52" s="500" t="str">
        <f>IF(OR(E52&gt;=0.3,E52&lt;=-0.3),"超过30%","")</f>
        <v/>
      </c>
      <c r="G52" s="499">
        <f>IF(G47&lt;G48,G48/G47-1,G47/G48-1)</f>
        <v>0.15647921760391204</v>
      </c>
      <c r="H52" s="500" t="str">
        <f>IF(OR(G52&gt;=0.3,G52&lt;=-0.3),"超过30%","")</f>
        <v/>
      </c>
      <c r="I52" s="499">
        <f>IF(I47&lt;I48,I48/I47-1,I47/I48-1)</f>
        <v>4.2509863815705762E-2</v>
      </c>
      <c r="J52" s="500" t="str">
        <f>IF(OR(I52&gt;=0.3,I52&lt;=-0.3),"超过30%","")</f>
        <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2655</v>
      </c>
      <c r="D53" s="501"/>
      <c r="E53" s="499">
        <f>IF(E48&lt;G48,G48/E48-1,E48/G48-1)</f>
        <v>9.2467053527849341E-3</v>
      </c>
      <c r="F53" s="500" t="str">
        <f>IF(OR(E53&gt;=0.2,E53&lt;=-0.2),"超过20%","")</f>
        <v/>
      </c>
      <c r="G53" s="499">
        <f>IF(G48&lt;I48,I48/G48-1,G48/I48-1)</f>
        <v>0.10037883876514675</v>
      </c>
      <c r="H53" s="500" t="str">
        <f>IF(OR(G53&gt;=0.2,G53&lt;=-0.2),"超过20%","")</f>
        <v/>
      </c>
      <c r="I53" s="499">
        <f>IF(I48&lt;E48,E48/I48-1,I48/E48-1)</f>
        <v>0.11055371766364774</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2656</v>
      </c>
      <c r="D54" s="501"/>
      <c r="E54" s="499">
        <f>IF(E47&lt;G47,G47/E47-1,E47/G47-1)</f>
        <v>3.4570081081708892E-2</v>
      </c>
      <c r="F54" s="500" t="str">
        <f>IF(OR(E54&gt;=0.3,E54&lt;=-0.3),"超过30%","")</f>
        <v/>
      </c>
      <c r="G54" s="499">
        <f>IF(G47&lt;I47,I47/G47-1,G47/I47-1)</f>
        <v>9.5659921089474409E-2</v>
      </c>
      <c r="H54" s="500" t="str">
        <f>IF(OR(G54&gt;=0.3,G54&lt;=-0.3),"超过30%","")</f>
        <v/>
      </c>
      <c r="I54" s="499">
        <f>IF(I47&lt;E47,E47/I47-1,I47/E47-1)</f>
        <v>0.13353697339951642</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2532</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2569</v>
      </c>
      <c r="B60" s="516"/>
      <c r="C60" s="517"/>
      <c r="D60" s="518"/>
      <c r="E60" s="518"/>
      <c r="F60" s="518"/>
      <c r="G60" s="518"/>
      <c r="H60" s="518"/>
      <c r="I60" s="518"/>
      <c r="J60" s="518"/>
      <c r="K60" s="518"/>
      <c r="L60" s="518"/>
      <c r="M60" s="519"/>
      <c r="N60" s="518"/>
      <c r="O60" s="519"/>
      <c r="P60" s="2626"/>
      <c r="Q60" s="504"/>
    </row>
    <row r="61" spans="1:29" s="116" customFormat="1" ht="15">
      <c r="A61" s="521" t="s">
        <v>2534</v>
      </c>
      <c r="B61" s="510"/>
      <c r="C61" s="522" t="s">
        <v>2636</v>
      </c>
      <c r="D61" s="523"/>
      <c r="E61" s="523">
        <v>0.99</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44531</v>
      </c>
      <c r="G62" s="512">
        <f>ROUND(G61*E61,0)</f>
        <v>43043</v>
      </c>
      <c r="H62" s="512">
        <f>ROUND(H61*E61,0)</f>
        <v>39285</v>
      </c>
      <c r="I62" s="512"/>
      <c r="J62" s="512"/>
      <c r="K62" s="512"/>
      <c r="L62" s="512"/>
      <c r="M62" s="514"/>
      <c r="N62" s="1151"/>
      <c r="O62" s="1151"/>
      <c r="P62" s="2626"/>
      <c r="Q62" s="504"/>
    </row>
    <row r="63" spans="1:29">
      <c r="A63" s="527" t="s">
        <v>2572</v>
      </c>
      <c r="B63" s="528" t="s">
        <v>2538</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2542</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2639</v>
      </c>
      <c r="C82" s="658" t="s">
        <v>2658</v>
      </c>
      <c r="D82" s="658" t="s">
        <v>2659</v>
      </c>
      <c r="E82" s="658" t="s">
        <v>2660</v>
      </c>
      <c r="F82" s="658" t="s">
        <v>2661</v>
      </c>
      <c r="G82" s="658" t="s">
        <v>2662</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2663</v>
      </c>
      <c r="C86" s="2951" t="s">
        <v>3160</v>
      </c>
      <c r="D86" s="554" t="s">
        <v>3137</v>
      </c>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6" t="s">
        <v>2581</v>
      </c>
      <c r="D88" s="2936" t="s">
        <v>2582</v>
      </c>
      <c r="E88" s="2936" t="s">
        <v>2583</v>
      </c>
      <c r="F88" s="2936" t="s">
        <v>2584</v>
      </c>
      <c r="G88" s="2936" t="s">
        <v>2585</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6" t="s">
        <v>2581</v>
      </c>
      <c r="D90" s="2936" t="s">
        <v>2582</v>
      </c>
      <c r="E90" s="2936" t="s">
        <v>2583</v>
      </c>
      <c r="F90" s="2936" t="s">
        <v>2584</v>
      </c>
      <c r="G90" s="2936" t="s">
        <v>2585</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7" t="s">
        <v>3110</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2547</v>
      </c>
      <c r="B100" s="528" t="s">
        <v>2664</v>
      </c>
      <c r="C100" s="530" t="s">
        <v>3154</v>
      </c>
      <c r="D100" s="530" t="s">
        <v>3155</v>
      </c>
      <c r="E100" s="2950" t="s">
        <v>3156</v>
      </c>
      <c r="F100" s="530" t="s">
        <v>3157</v>
      </c>
      <c r="G100" s="2950" t="s">
        <v>3158</v>
      </c>
      <c r="H100" s="530"/>
      <c r="I100" s="530"/>
      <c r="J100" s="530"/>
      <c r="K100" s="531"/>
      <c r="L100" s="532"/>
      <c r="M100" s="533"/>
      <c r="N100" s="1152"/>
      <c r="O100" s="1152"/>
      <c r="P100" s="2628"/>
      <c r="Q100" s="504"/>
    </row>
    <row r="101" spans="1:17" ht="15.75" thickBot="1">
      <c r="A101" s="534"/>
      <c r="B101" s="543"/>
      <c r="C101" s="544">
        <v>100</v>
      </c>
      <c r="D101" s="544">
        <f t="shared" ref="D101:M101" si="23">C101-$K32</f>
        <v>97.5</v>
      </c>
      <c r="E101" s="544">
        <f t="shared" si="23"/>
        <v>95</v>
      </c>
      <c r="F101" s="544">
        <f t="shared" si="23"/>
        <v>92.5</v>
      </c>
      <c r="G101" s="544">
        <f t="shared" si="23"/>
        <v>90</v>
      </c>
      <c r="H101" s="544">
        <f t="shared" si="23"/>
        <v>87.5</v>
      </c>
      <c r="I101" s="544">
        <f t="shared" si="23"/>
        <v>85</v>
      </c>
      <c r="J101" s="544">
        <f t="shared" si="23"/>
        <v>82.5</v>
      </c>
      <c r="K101" s="544">
        <f t="shared" si="23"/>
        <v>80</v>
      </c>
      <c r="L101" s="544">
        <f t="shared" si="23"/>
        <v>77.5</v>
      </c>
      <c r="M101" s="545">
        <f t="shared" si="23"/>
        <v>75</v>
      </c>
      <c r="N101" s="1153"/>
      <c r="O101" s="1153"/>
      <c r="P101" s="2628"/>
      <c r="Q101" s="504"/>
    </row>
    <row r="102" spans="1:17" ht="29.25" thickTop="1">
      <c r="A102" s="534"/>
      <c r="B102" s="538" t="s">
        <v>2597</v>
      </c>
      <c r="C102" s="578" t="str">
        <f>C103&amp;"(含)"&amp;"-"&amp;D103</f>
        <v>0(含)-50</v>
      </c>
      <c r="D102" s="578" t="str">
        <f t="shared" ref="D102:L102" si="24">D103&amp;"(含)"&amp;"-"&amp;E103</f>
        <v>50(含)-200</v>
      </c>
      <c r="E102" s="578" t="str">
        <f t="shared" si="24"/>
        <v>200(含)-1000</v>
      </c>
      <c r="F102" s="578" t="str">
        <f t="shared" si="24"/>
        <v>1000(含)-5000</v>
      </c>
      <c r="G102" s="578" t="str">
        <f t="shared" si="24"/>
        <v xml:space="preserve">5000(含)- </v>
      </c>
      <c r="H102" s="578" t="str">
        <f t="shared" si="24"/>
        <v xml:space="preserve"> (含)-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50</v>
      </c>
      <c r="E103" s="595">
        <v>200</v>
      </c>
      <c r="F103" s="595">
        <v>1000</v>
      </c>
      <c r="G103" s="595">
        <v>5000</v>
      </c>
      <c r="H103" s="595" t="s">
        <v>3161</v>
      </c>
      <c r="I103" s="595"/>
      <c r="J103" s="596"/>
      <c r="K103" s="596"/>
      <c r="L103" s="597"/>
      <c r="M103" s="598"/>
      <c r="N103" s="1154"/>
      <c r="O103" s="1154"/>
      <c r="P103" s="2629"/>
      <c r="Q103" s="559"/>
    </row>
    <row r="104" spans="1:17" s="471" customFormat="1" ht="15.75" thickBot="1">
      <c r="A104" s="553"/>
      <c r="B104" s="543"/>
      <c r="C104" s="560">
        <v>100</v>
      </c>
      <c r="D104" s="536">
        <f>C104-1</f>
        <v>99</v>
      </c>
      <c r="E104" s="536">
        <f t="shared" ref="E104:G104" si="25">D104-1</f>
        <v>98</v>
      </c>
      <c r="F104" s="536">
        <f t="shared" si="25"/>
        <v>97</v>
      </c>
      <c r="G104" s="536">
        <f t="shared" si="25"/>
        <v>96</v>
      </c>
      <c r="H104" s="536"/>
      <c r="I104" s="536"/>
      <c r="J104" s="536"/>
      <c r="K104" s="536"/>
      <c r="L104" s="536"/>
      <c r="M104" s="537"/>
      <c r="N104" s="1153"/>
      <c r="O104" s="1153"/>
      <c r="P104" s="2629"/>
      <c r="Q104" s="559"/>
    </row>
    <row r="105" spans="1:17" ht="15" thickTop="1">
      <c r="A105" s="599"/>
      <c r="B105" s="538" t="s">
        <v>2598</v>
      </c>
      <c r="C105" s="554" t="s">
        <v>3114</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3"/>
      <c r="O106" s="1153"/>
      <c r="P106" s="2628"/>
      <c r="Q106" s="504"/>
    </row>
    <row r="107" spans="1:17" ht="15" thickTop="1">
      <c r="A107" s="599"/>
      <c r="B107" s="538" t="s">
        <v>2600</v>
      </c>
      <c r="C107" s="554" t="s">
        <v>3115</v>
      </c>
      <c r="D107" s="554" t="s">
        <v>3117</v>
      </c>
      <c r="E107" s="554" t="s">
        <v>3118</v>
      </c>
      <c r="F107" s="583" t="s">
        <v>3119</v>
      </c>
      <c r="G107" s="583"/>
      <c r="H107" s="583"/>
      <c r="I107" s="583"/>
      <c r="J107" s="583"/>
      <c r="K107" s="584"/>
      <c r="L107" s="585"/>
      <c r="M107" s="586"/>
      <c r="N107" s="1152"/>
      <c r="O107" s="1152"/>
      <c r="P107" s="2628"/>
      <c r="Q107" s="504"/>
    </row>
    <row r="108" spans="1:17" ht="15.75" thickBot="1">
      <c r="A108" s="534"/>
      <c r="B108" s="543"/>
      <c r="C108" s="544">
        <v>100</v>
      </c>
      <c r="D108" s="544">
        <f t="shared" ref="D108:M108" si="27">C108-$K35</f>
        <v>99</v>
      </c>
      <c r="E108" s="544">
        <f t="shared" si="27"/>
        <v>98</v>
      </c>
      <c r="F108" s="544">
        <f t="shared" si="27"/>
        <v>97</v>
      </c>
      <c r="G108" s="544">
        <f t="shared" si="27"/>
        <v>96</v>
      </c>
      <c r="H108" s="544">
        <f t="shared" si="27"/>
        <v>95</v>
      </c>
      <c r="I108" s="544">
        <f t="shared" si="27"/>
        <v>94</v>
      </c>
      <c r="J108" s="544">
        <f t="shared" si="27"/>
        <v>93</v>
      </c>
      <c r="K108" s="544">
        <f t="shared" si="27"/>
        <v>92</v>
      </c>
      <c r="L108" s="544">
        <f t="shared" si="27"/>
        <v>91</v>
      </c>
      <c r="M108" s="545">
        <f t="shared" si="27"/>
        <v>90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3"/>
      <c r="O111" s="1153"/>
      <c r="P111" s="2628"/>
      <c r="Q111" s="504"/>
    </row>
    <row r="112" spans="1:17" s="471" customFormat="1" ht="15" thickTop="1">
      <c r="A112" s="593"/>
      <c r="B112" s="538" t="s">
        <v>2602</v>
      </c>
      <c r="C112" s="554" t="s">
        <v>3120</v>
      </c>
      <c r="D112" s="554" t="s">
        <v>3122</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4"/>
      <c r="O113" s="1154"/>
      <c r="P113" s="2629"/>
      <c r="Q113" s="559"/>
    </row>
    <row r="114" spans="1:17" ht="15" thickTop="1">
      <c r="A114" s="599"/>
      <c r="B114" s="538" t="s">
        <v>2665</v>
      </c>
      <c r="C114" s="554" t="s">
        <v>3124</v>
      </c>
      <c r="D114" s="554" t="s">
        <v>3126</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3"/>
      <c r="O115" s="1153"/>
      <c r="P115" s="2628"/>
      <c r="Q115" s="504"/>
    </row>
    <row r="116" spans="1:17" ht="15" thickTop="1">
      <c r="A116" s="599"/>
      <c r="B116" s="538" t="s">
        <v>2666</v>
      </c>
      <c r="C116" s="554" t="s">
        <v>3128</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2667</v>
      </c>
      <c r="C118" s="625"/>
      <c r="D118" s="625"/>
      <c r="E118" s="625"/>
      <c r="F118" s="625"/>
      <c r="G118" s="625"/>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2668</v>
      </c>
      <c r="C120" s="583" t="s">
        <v>3131</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4"/>
      <c r="O121" s="1154"/>
      <c r="P121" s="2629"/>
      <c r="Q121" s="559"/>
    </row>
    <row r="122" spans="1:17" ht="15" thickTop="1">
      <c r="A122" s="599"/>
      <c r="B122" s="538" t="s">
        <v>2604</v>
      </c>
      <c r="C122" s="554" t="s">
        <v>3115</v>
      </c>
      <c r="D122" s="554" t="s">
        <v>3117</v>
      </c>
      <c r="E122" s="554" t="s">
        <v>3118</v>
      </c>
      <c r="F122" s="583" t="s">
        <v>3119</v>
      </c>
      <c r="G122" s="583"/>
      <c r="H122" s="583"/>
      <c r="I122" s="583"/>
      <c r="J122" s="583"/>
      <c r="K122" s="584"/>
      <c r="L122" s="585"/>
      <c r="M122" s="586"/>
      <c r="N122" s="1152"/>
      <c r="O122" s="1152"/>
      <c r="P122" s="2628"/>
      <c r="Q122" s="504"/>
    </row>
    <row r="123" spans="1:17" ht="15.75" thickBot="1">
      <c r="A123" s="534"/>
      <c r="B123" s="543"/>
      <c r="C123" s="544">
        <v>100</v>
      </c>
      <c r="D123" s="544">
        <f t="shared" ref="D123:M123" si="32">C123-$K42</f>
        <v>99</v>
      </c>
      <c r="E123" s="544">
        <f t="shared" si="32"/>
        <v>98</v>
      </c>
      <c r="F123" s="544">
        <f t="shared" si="32"/>
        <v>97</v>
      </c>
      <c r="G123" s="544">
        <f t="shared" si="32"/>
        <v>96</v>
      </c>
      <c r="H123" s="544">
        <f t="shared" si="32"/>
        <v>95</v>
      </c>
      <c r="I123" s="544">
        <f t="shared" si="32"/>
        <v>94</v>
      </c>
      <c r="J123" s="544">
        <f t="shared" si="32"/>
        <v>93</v>
      </c>
      <c r="K123" s="544">
        <f t="shared" si="32"/>
        <v>92</v>
      </c>
      <c r="L123" s="544">
        <f t="shared" si="32"/>
        <v>91</v>
      </c>
      <c r="M123" s="545">
        <f t="shared" si="32"/>
        <v>90</v>
      </c>
      <c r="N123" s="1153"/>
      <c r="O123" s="1153"/>
      <c r="P123" s="2628"/>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2990</v>
      </c>
      <c r="C1" s="3187" t="s">
        <v>2991</v>
      </c>
      <c r="D1" s="3188"/>
      <c r="E1" s="3188"/>
      <c r="F1" s="3188"/>
      <c r="G1" s="3188"/>
      <c r="H1" s="3188"/>
      <c r="I1" s="3188"/>
      <c r="J1" s="3188"/>
      <c r="K1" s="3188"/>
      <c r="L1" s="3188"/>
      <c r="M1" s="3188"/>
      <c r="N1" s="3188"/>
      <c r="O1" s="3188"/>
      <c r="P1" s="3188"/>
      <c r="Q1" s="3188"/>
      <c r="R1" s="3188"/>
      <c r="S1" s="3189"/>
      <c r="T1" s="1204" t="s">
        <v>2992</v>
      </c>
    </row>
    <row r="2" spans="1:45" s="705" customFormat="1" ht="38.25">
      <c r="A2" s="1205"/>
      <c r="B2" s="701" t="s">
        <v>2993</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5.5">
      <c r="A5" s="1215"/>
      <c r="B5" s="1770" t="str">
        <f>'比较法-商业'!B25</f>
        <v>临街状况</v>
      </c>
      <c r="C5" s="1216" t="str">
        <f>'比较法-商业'!C86</f>
        <v>单面临街</v>
      </c>
      <c r="D5" s="1216" t="str">
        <f>'比较法-商业'!D86</f>
        <v>不临街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3139</v>
      </c>
      <c r="C13" s="1216" t="s">
        <v>3141</v>
      </c>
      <c r="D13" s="1216" t="s">
        <v>3142</v>
      </c>
      <c r="E13" s="1216" t="s">
        <v>3144</v>
      </c>
      <c r="F13" s="1216" t="s">
        <v>3146</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2994</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2995</v>
      </c>
      <c r="B17" s="2915" t="s">
        <v>2996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2997</v>
      </c>
      <c r="E19" s="1793"/>
      <c r="F19" s="1793"/>
      <c r="G19" s="1793"/>
      <c r="H19" s="1280"/>
      <c r="I19" s="168"/>
      <c r="J19" s="168"/>
      <c r="K19" s="168"/>
      <c r="L19" s="168"/>
      <c r="M19" s="168"/>
      <c r="N19" s="168"/>
      <c r="O19" s="168"/>
      <c r="P19" s="168"/>
      <c r="Q19" s="168"/>
      <c r="R19" s="786"/>
      <c r="S19" s="137"/>
    </row>
    <row r="20" spans="1:45" ht="16.5" thickBot="1">
      <c r="A20" s="713" t="s">
        <v>2998</v>
      </c>
      <c r="B20" s="338">
        <f>IF(D20="——",S22,S22-F20)</f>
        <v>11129</v>
      </c>
      <c r="C20" s="168"/>
      <c r="D20" s="2917" t="s">
        <v>70</v>
      </c>
      <c r="E20" s="1794"/>
      <c r="F20" s="1204" t="e">
        <f ca="1">SUMIF(INDIRECT("'"&amp;H20&amp;"'"&amp;"!A:A"),"承租人权益价值",INDIRECT("'"&amp;H20&amp;"'"&amp;"!c:c"))</f>
        <v>#REF!</v>
      </c>
      <c r="G20" s="1204" t="s">
        <v>2999</v>
      </c>
      <c r="H20" s="2918" t="s">
        <v>3147</v>
      </c>
      <c r="I20" s="168"/>
      <c r="J20" s="168"/>
      <c r="K20" s="168"/>
      <c r="L20" s="168"/>
      <c r="M20" s="168"/>
      <c r="N20" s="168"/>
      <c r="O20" s="168"/>
      <c r="P20" s="168"/>
      <c r="Q20" s="168"/>
      <c r="R20" s="786"/>
      <c r="S20" s="137"/>
    </row>
    <row r="21" spans="1:45" ht="15.75">
      <c r="A21" s="713" t="s">
        <v>3000</v>
      </c>
      <c r="B21" s="338">
        <f>R22</f>
        <v>26846</v>
      </c>
      <c r="C21" s="168"/>
      <c r="D21" s="168"/>
      <c r="E21" s="168"/>
      <c r="F21" s="168"/>
      <c r="G21" s="168"/>
      <c r="H21" s="168"/>
      <c r="I21" s="168"/>
      <c r="J21" s="168"/>
      <c r="K21" s="168"/>
      <c r="L21" s="168"/>
      <c r="M21" s="168"/>
      <c r="N21" s="168"/>
      <c r="O21" s="168"/>
      <c r="P21" s="168"/>
      <c r="Q21" s="168"/>
      <c r="R21" s="786"/>
      <c r="S21" s="137"/>
    </row>
    <row r="22" spans="1:45">
      <c r="A22" s="361" t="s">
        <v>3001</v>
      </c>
      <c r="B22" s="23">
        <f>SUM(B24:B10000)</f>
        <v>4145.53</v>
      </c>
      <c r="C22" s="3132" t="s">
        <v>33</v>
      </c>
      <c r="D22" s="3133"/>
      <c r="E22" s="3133"/>
      <c r="F22" s="3133"/>
      <c r="G22" s="3133"/>
      <c r="H22" s="3133"/>
      <c r="I22" s="3133"/>
      <c r="J22" s="3133"/>
      <c r="K22" s="3133"/>
      <c r="L22" s="3133"/>
      <c r="M22" s="3133"/>
      <c r="N22" s="3133"/>
      <c r="O22" s="3133"/>
      <c r="P22" s="3133"/>
      <c r="Q22" s="3186"/>
      <c r="R22" s="714">
        <f>ROUND(S22*10000/B22,0)</f>
        <v>26846</v>
      </c>
      <c r="S22" s="23">
        <f>SUM(S24:S10000)</f>
        <v>11129</v>
      </c>
    </row>
    <row r="23" spans="1:45" s="12" customFormat="1" ht="24">
      <c r="A23" s="11" t="s">
        <v>3002</v>
      </c>
      <c r="B23" s="11" t="s">
        <v>3003</v>
      </c>
      <c r="C23" s="11" t="s">
        <v>3004</v>
      </c>
      <c r="D23" s="11" t="str">
        <f>B5</f>
        <v>临街状况</v>
      </c>
      <c r="E23" s="11" t="s">
        <v>3004</v>
      </c>
      <c r="F23" s="11" t="str">
        <f>B7</f>
        <v>可视性</v>
      </c>
      <c r="G23" s="11" t="s">
        <v>3004</v>
      </c>
      <c r="H23" s="11" t="str">
        <f>B9</f>
        <v>人流量</v>
      </c>
      <c r="I23" s="11" t="s">
        <v>3004</v>
      </c>
      <c r="J23" s="11" t="str">
        <f>B11</f>
        <v>内部装修</v>
      </c>
      <c r="K23" s="11" t="s">
        <v>3004</v>
      </c>
      <c r="L23" s="11" t="str">
        <f>B13</f>
        <v>楼层</v>
      </c>
      <c r="M23" s="11" t="s">
        <v>3004</v>
      </c>
      <c r="N23" s="11" t="str">
        <f>B15</f>
        <v>修正项7</v>
      </c>
      <c r="O23" s="11" t="s">
        <v>3004</v>
      </c>
      <c r="P23" s="11" t="str">
        <f>B17</f>
        <v>楼层</v>
      </c>
      <c r="Q23" s="11" t="s">
        <v>3004</v>
      </c>
      <c r="R23" s="715" t="s">
        <v>3005</v>
      </c>
      <c r="S23" s="11" t="s">
        <v>3006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3007</v>
      </c>
      <c r="B24" s="716">
        <f>ROUND('数据-汇总表'!E3/3,2)</f>
        <v>1381.84</v>
      </c>
      <c r="C24" s="717">
        <v>1</v>
      </c>
      <c r="D24" s="718"/>
      <c r="E24" s="717">
        <v>1</v>
      </c>
      <c r="F24" s="718"/>
      <c r="G24" s="717">
        <v>1</v>
      </c>
      <c r="H24" s="718"/>
      <c r="I24" s="717">
        <v>1</v>
      </c>
      <c r="J24" s="718" t="s">
        <v>3070</v>
      </c>
      <c r="K24" s="717">
        <v>1</v>
      </c>
      <c r="L24" s="718" t="s">
        <v>3140</v>
      </c>
      <c r="M24" s="717">
        <v>1</v>
      </c>
      <c r="N24" s="718"/>
      <c r="O24" s="717">
        <v>1</v>
      </c>
      <c r="P24" s="718"/>
      <c r="Q24" s="717">
        <v>1</v>
      </c>
      <c r="R24" s="719">
        <f>'比较法-商业'!C49</f>
        <v>38351</v>
      </c>
      <c r="S24" s="717">
        <f t="shared" ref="S24:S54" si="11">ROUND(R24*B24/10000,0)</f>
        <v>5299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1381.84</v>
      </c>
      <c r="C25" s="23">
        <f>IF(B25="",1,(LOOKUP(B25,$3:$3,$4:$4)-LOOKUP($B$24,$3:$3,$4:$4)+100)/100)</f>
        <v>1</v>
      </c>
      <c r="D25" s="718"/>
      <c r="E25" s="23">
        <f>(SUMIF($5:$5,D25,$6:$6)-SUMIF($5:$5,$D$24,$6:$6)+100)/100</f>
        <v>1</v>
      </c>
      <c r="F25" s="718"/>
      <c r="G25" s="23">
        <f>(SUMIF($7:$7,F25,$8:$8)-SUMIF($7:$7,$F$24,$8:$8)+100)/100</f>
        <v>1</v>
      </c>
      <c r="H25" s="718"/>
      <c r="I25" s="23">
        <f>(SUMIF($9:$9,H25,$10:$10)-SUMIF($9:$9,$H$24,$10:$10)+100)/100</f>
        <v>1</v>
      </c>
      <c r="J25" s="718" t="s">
        <v>3070</v>
      </c>
      <c r="K25" s="23">
        <f>(SUMIF($11:$11,J25,$12:$12)-SUMIF($11:$11,$J$24,$12:$12)+100)/100</f>
        <v>1</v>
      </c>
      <c r="L25" s="718" t="s">
        <v>3143</v>
      </c>
      <c r="M25" s="23">
        <f>(SUMIF($13:$13,L25,$14:$14)-SUMIF($13:$13,$L$24,$14:$14)+100)/100</f>
        <v>0.6</v>
      </c>
      <c r="N25" s="718"/>
      <c r="O25" s="23">
        <f>(SUMIF($15:$15,N25,$16:$16)-SUMIF($15:$15,$N$24,$16:$16)+100)/100</f>
        <v>1</v>
      </c>
      <c r="P25" s="718"/>
      <c r="Q25" s="23">
        <f>(SUMIF($17:$17,P25,$18:$18)-SUMIF($17:$17,$P$24,$18:$18)+100)/100</f>
        <v>1</v>
      </c>
      <c r="R25" s="714">
        <f>IF(B25="",0,ROUND($R$24*C25*E25*G25*I25*K25*M25*O25*Q25,0))</f>
        <v>23011</v>
      </c>
      <c r="S25" s="361">
        <f t="shared" si="11"/>
        <v>3180</v>
      </c>
    </row>
    <row r="26" spans="1:45">
      <c r="A26" s="159"/>
      <c r="B26" s="58">
        <f>'数据-汇总表'!E3-典型户型修正!B24-典型户型修正!B25</f>
        <v>1381.8499999999997</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3070</v>
      </c>
      <c r="K26" s="23">
        <f t="shared" ref="K26:K89" si="16">(SUMIF($11:$11,J26,$12:$12)-SUMIF($11:$11,$J$24,$12:$12)+100)/100</f>
        <v>1</v>
      </c>
      <c r="L26" s="718" t="s">
        <v>3145</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19176</v>
      </c>
      <c r="S26" s="361">
        <f t="shared" si="11"/>
        <v>2650</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3" sqref="C13"/>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3104</v>
      </c>
      <c r="D1" s="1821" t="s">
        <v>70</v>
      </c>
      <c r="E1" s="1822" t="s">
        <v>1388</v>
      </c>
      <c r="F1" s="1283">
        <f ca="1">J53</f>
        <v>35.47</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7133</v>
      </c>
      <c r="C2" s="1846" t="s">
        <v>1518</v>
      </c>
      <c r="D2" s="1846"/>
      <c r="E2" s="1847"/>
      <c r="F2" s="1848"/>
      <c r="G2" s="1849"/>
      <c r="H2" s="1841"/>
      <c r="I2" s="1841"/>
      <c r="J2" s="1841"/>
      <c r="K2" s="1842"/>
      <c r="L2" s="1841"/>
      <c r="M2" s="1841"/>
    </row>
    <row r="3" spans="1:37" ht="18" customHeight="1" thickBot="1">
      <c r="A3" s="1850" t="s">
        <v>1519</v>
      </c>
      <c r="B3" s="1851">
        <f ca="1">IF(ISERROR(B2*10000/F43),0,ROUND(B2*10000/F43,0))</f>
        <v>17206</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382</v>
      </c>
      <c r="D5" s="1823" t="s">
        <v>1403</v>
      </c>
      <c r="E5" s="1293"/>
      <c r="F5" s="1294"/>
      <c r="G5" s="1852"/>
      <c r="H5" s="344">
        <v>1</v>
      </c>
      <c r="I5" s="345" t="s">
        <v>1402</v>
      </c>
      <c r="J5" s="1292">
        <f ca="1">J6+J10+J12</f>
        <v>0</v>
      </c>
      <c r="K5" s="1823" t="s">
        <v>1403</v>
      </c>
      <c r="L5" s="1293"/>
      <c r="M5" s="1294"/>
    </row>
    <row r="6" spans="1:37" ht="18" customHeight="1">
      <c r="A6" s="1291" t="s">
        <v>1035</v>
      </c>
      <c r="B6" s="3192" t="s">
        <v>1404</v>
      </c>
      <c r="C6" s="1296">
        <f ca="1">ROUND(F6*F8*F7*(1-F9)/10000,0)</f>
        <v>381</v>
      </c>
      <c r="D6" s="164" t="s">
        <v>3013</v>
      </c>
      <c r="E6" s="347" t="s">
        <v>1406</v>
      </c>
      <c r="F6" s="348">
        <f ca="1">INDIRECT("'数据-取费表'!u"&amp;$G$1)</f>
        <v>2.8</v>
      </c>
      <c r="G6" s="1852"/>
      <c r="H6" s="1291" t="s">
        <v>1035</v>
      </c>
      <c r="I6" s="3192" t="s">
        <v>1404</v>
      </c>
      <c r="J6" s="346">
        <f ca="1">ROUND(M6*M8*M7*(1-M9)/10000,0)</f>
        <v>0</v>
      </c>
      <c r="K6" s="164" t="s">
        <v>3012</v>
      </c>
      <c r="L6" s="347" t="s">
        <v>1406</v>
      </c>
      <c r="M6" s="348">
        <f ca="1">INDIRECT("'数据-取费表'!z"&amp;$G$1)</f>
        <v>0</v>
      </c>
    </row>
    <row r="7" spans="1:37" ht="18" customHeight="1">
      <c r="A7" s="1295"/>
      <c r="B7" s="3193"/>
      <c r="C7" s="1297"/>
      <c r="D7" s="352"/>
      <c r="E7" s="1298" t="s">
        <v>1407</v>
      </c>
      <c r="F7" s="348">
        <f ca="1">IF(INDIRECT("'数据-取费表'!ah"&amp;$G$1)="",INDIRECT("'数据-取费表'!k"&amp;$G$1),INDIRECT("'数据-取费表'!ah"&amp;$G$1))</f>
        <v>4145.53</v>
      </c>
      <c r="G7" s="1852"/>
      <c r="H7" s="349"/>
      <c r="I7" s="3193"/>
      <c r="J7" s="351"/>
      <c r="K7" s="352"/>
      <c r="L7" s="347" t="s">
        <v>1407</v>
      </c>
      <c r="M7" s="348">
        <f ca="1">F7</f>
        <v>4145.53</v>
      </c>
    </row>
    <row r="8" spans="1:37" ht="18" customHeight="1">
      <c r="A8" s="349"/>
      <c r="B8" s="3193"/>
      <c r="C8" s="351"/>
      <c r="D8" s="352"/>
      <c r="E8" s="347" t="s">
        <v>1408</v>
      </c>
      <c r="F8" s="348">
        <f ca="1">INDIRECT("'数据-取费表'!ai"&amp;$G$1)</f>
        <v>365</v>
      </c>
      <c r="G8" s="1852"/>
      <c r="H8" s="349"/>
      <c r="I8" s="3193"/>
      <c r="J8" s="351"/>
      <c r="K8" s="352"/>
      <c r="L8" s="347" t="s">
        <v>1408</v>
      </c>
      <c r="M8" s="348">
        <f ca="1">INDIRECT("'数据-取费表'!ai"&amp;$G$1)</f>
        <v>365</v>
      </c>
    </row>
    <row r="9" spans="1:37" ht="18" customHeight="1">
      <c r="A9" s="349"/>
      <c r="B9" s="3194"/>
      <c r="C9" s="351"/>
      <c r="D9" s="352"/>
      <c r="E9" s="347" t="s">
        <v>1409</v>
      </c>
      <c r="F9" s="357">
        <f ca="1">INDIRECT("'数据-取费表'!w"&amp;$G$1)</f>
        <v>0.1</v>
      </c>
      <c r="G9" s="1852"/>
      <c r="H9" s="349"/>
      <c r="I9" s="3194"/>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1</v>
      </c>
      <c r="D10" s="1825" t="s">
        <v>3014</v>
      </c>
      <c r="E10" s="358" t="s">
        <v>1412</v>
      </c>
      <c r="F10" s="1366" t="s">
        <v>3082</v>
      </c>
      <c r="G10" s="1852"/>
      <c r="H10" s="1291" t="s">
        <v>1039</v>
      </c>
      <c r="I10" s="1824" t="s">
        <v>1410</v>
      </c>
      <c r="J10" s="346">
        <f ca="1">ROUND(IF(M10="押一",M6*M8*M7/12*M11,IF(M10="押二",M6*M8*M7/12*2*M11,IF(M10="押三",M6*M8*M7/12*3*M11,J11*M11)))/10000,0)</f>
        <v>0</v>
      </c>
      <c r="K10" s="1825" t="s">
        <v>3015</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1219</v>
      </c>
      <c r="D13" s="1331" t="s">
        <v>1417</v>
      </c>
      <c r="E13" s="1331" t="s">
        <v>1418</v>
      </c>
      <c r="F13" s="1332">
        <f ca="1">INDIRECT("'数据-取费表'!y"&amp;$G$1)</f>
        <v>0.95</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829</v>
      </c>
      <c r="D14" s="1801" t="s">
        <v>1420</v>
      </c>
      <c r="E14" s="1795"/>
      <c r="F14" s="364"/>
      <c r="G14" s="1852"/>
      <c r="H14" s="1201" t="s">
        <v>1035</v>
      </c>
      <c r="I14" s="347" t="s">
        <v>1421</v>
      </c>
      <c r="J14" s="23">
        <f ca="1">C29</f>
        <v>1283</v>
      </c>
      <c r="K14" s="14"/>
      <c r="L14" s="980"/>
      <c r="M14" s="981"/>
    </row>
    <row r="15" spans="1:37" s="1859" customFormat="1" ht="18" customHeight="1" thickBot="1">
      <c r="A15" s="1201" t="s">
        <v>1036</v>
      </c>
      <c r="B15" s="347" t="s">
        <v>1422</v>
      </c>
      <c r="C15" s="23">
        <f ca="1">ROUND(C14*F15,0)</f>
        <v>25</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21</v>
      </c>
      <c r="K16" s="1337" t="s">
        <v>1427</v>
      </c>
      <c r="L16" s="1338"/>
      <c r="M16" s="1294"/>
    </row>
    <row r="17" spans="1:37" s="1859" customFormat="1" ht="18" customHeight="1">
      <c r="A17" s="1201" t="s">
        <v>1391</v>
      </c>
      <c r="B17" s="347" t="s">
        <v>1428</v>
      </c>
      <c r="C17" s="23">
        <f ca="1">ROUND(F17*(F43+INDIRECT("'数据-取费表'!S"&amp;$G$1))/10000,0)</f>
        <v>83</v>
      </c>
      <c r="D17" s="347" t="s">
        <v>1429</v>
      </c>
      <c r="E17" s="347" t="s">
        <v>1430</v>
      </c>
      <c r="F17" s="25">
        <f>'数据-取费表'!B35</f>
        <v>200</v>
      </c>
      <c r="G17" s="1855"/>
      <c r="H17" s="1201" t="s">
        <v>1035</v>
      </c>
      <c r="I17" s="347" t="s">
        <v>1431</v>
      </c>
      <c r="J17" s="23">
        <f ca="1">ROUND(IF(项目基本情况!B11="自然人",J5*M17,J18+J19+J20),1)</f>
        <v>14.7</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12</v>
      </c>
      <c r="D18" s="347" t="s">
        <v>1423</v>
      </c>
      <c r="E18" s="347" t="s">
        <v>1424</v>
      </c>
      <c r="F18" s="367">
        <f>'数据-取费表'!B36</f>
        <v>1.4999999999999999E-2</v>
      </c>
      <c r="G18" s="1855"/>
      <c r="H18" s="1201" t="s">
        <v>1034</v>
      </c>
      <c r="I18" s="347" t="s">
        <v>1435</v>
      </c>
      <c r="J18" s="23">
        <f ca="1">ROUND(J5*M18/(1+'数据-取费表'!C42),2)</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949</v>
      </c>
      <c r="D19" s="139" t="s">
        <v>1438</v>
      </c>
      <c r="E19" s="1819"/>
      <c r="F19" s="25"/>
      <c r="G19" s="1852"/>
      <c r="H19" s="1201" t="s">
        <v>1036</v>
      </c>
      <c r="I19" s="347" t="s">
        <v>1439</v>
      </c>
      <c r="J19" s="23">
        <f ca="1">IF(K19="按租金收入计税",ROUND(J5*M19,2),ROUND(C29*M19*0.7,2))</f>
        <v>10.78</v>
      </c>
      <c r="K19" s="1829" t="s">
        <v>1440</v>
      </c>
      <c r="L19" s="347" t="s">
        <v>1424</v>
      </c>
      <c r="M19" s="367">
        <f>IF(K19="按租金收入计税",'数据-取费表'!B51,'数据-取费表'!B50)</f>
        <v>1.2E-2</v>
      </c>
    </row>
    <row r="20" spans="1:37" s="1859" customFormat="1" ht="18" customHeight="1">
      <c r="A20" s="1201" t="s">
        <v>1039</v>
      </c>
      <c r="B20" s="347" t="s">
        <v>1441</v>
      </c>
      <c r="C20" s="23">
        <f ca="1">ROUND(C19*F20,0)</f>
        <v>19</v>
      </c>
      <c r="D20" s="369" t="s">
        <v>1442</v>
      </c>
      <c r="E20" s="347" t="s">
        <v>1424</v>
      </c>
      <c r="F20" s="367">
        <f>'数据-取费表'!B37</f>
        <v>0.02</v>
      </c>
      <c r="G20" s="1855"/>
      <c r="H20" s="1201" t="s">
        <v>1390</v>
      </c>
      <c r="I20" s="164" t="s">
        <v>1443</v>
      </c>
      <c r="J20" s="24">
        <f ca="1">ROUND(M20*M21/10000,2)</f>
        <v>3.93</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6541.77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单利计息。建造成本、管理费用、销售费用产生的利息。</v>
      </c>
      <c r="E22" s="1819"/>
      <c r="F22" s="25"/>
      <c r="G22" s="1852"/>
      <c r="H22" s="1201" t="s">
        <v>1039</v>
      </c>
      <c r="I22" s="347" t="s">
        <v>1451</v>
      </c>
      <c r="J22" s="23">
        <f ca="1">ROUND(J14*M22,1)</f>
        <v>6.4</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21</v>
      </c>
      <c r="D23" s="375" t="str">
        <f>IF(F23&lt;=1,"(建造成本+管理费用)×利率×(建设周期÷2)","(建造成本+管理费用)×((1+利率)^(建设周期÷2)-1)")</f>
        <v>(建造成本+管理费用)×利率×(建设周期÷2)</v>
      </c>
      <c r="E23" s="347" t="s">
        <v>1454</v>
      </c>
      <c r="F23" s="371">
        <f>'数据-取费表'!B20</f>
        <v>1</v>
      </c>
      <c r="G23" s="1855"/>
      <c r="H23" s="1201" t="s">
        <v>1075</v>
      </c>
      <c r="I23" s="347" t="s">
        <v>1455</v>
      </c>
      <c r="J23" s="23">
        <f ca="1">ROUND(J13*M23,1)</f>
        <v>0</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5"/>
      <c r="H24" s="1339" t="s">
        <v>1394</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-21</v>
      </c>
      <c r="K25" s="1345" t="s">
        <v>1466</v>
      </c>
      <c r="L25" s="1346"/>
      <c r="M25" s="1347"/>
    </row>
    <row r="26" spans="1:37">
      <c r="A26" s="1201" t="s">
        <v>1034</v>
      </c>
      <c r="B26" s="347" t="s">
        <v>1467</v>
      </c>
      <c r="C26" s="23">
        <f ca="1">ROUND((C19+C20)*F26,0)</f>
        <v>194</v>
      </c>
      <c r="D26" s="369" t="s">
        <v>1468</v>
      </c>
      <c r="E26" s="358" t="s">
        <v>1469</v>
      </c>
      <c r="F26" s="357">
        <f ca="1">INDIRECT("'数据-取费表'!q"&amp;$G$1)</f>
        <v>0.2</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4.0000000000000001E-3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1283</v>
      </c>
      <c r="D29" s="1342"/>
      <c r="E29" s="1340"/>
      <c r="F29" s="1343"/>
      <c r="G29" s="1855"/>
      <c r="H29" s="380" t="s">
        <v>1033</v>
      </c>
      <c r="I29" s="381" t="s">
        <v>1481</v>
      </c>
      <c r="J29" s="382">
        <f ca="1">ROUND(J26/(1+F40)^F41,0)</f>
        <v>0</v>
      </c>
      <c r="K29" s="383" t="s">
        <v>1482</v>
      </c>
      <c r="L29" s="384"/>
      <c r="M29" s="385">
        <f ca="1">INDIRECT("'数据-取费表'!k"&amp;$G$1)</f>
        <v>4145.53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47</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35.1</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20.37</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10.78</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3.93</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6541.77</v>
      </c>
      <c r="G35" s="1852"/>
      <c r="H35" s="743"/>
      <c r="I35" s="1861"/>
      <c r="J35" s="1862"/>
      <c r="K35" s="1863"/>
      <c r="L35" s="1860"/>
      <c r="M35" s="1860"/>
    </row>
    <row r="36" spans="1:18" ht="18" customHeight="1">
      <c r="A36" s="1352" t="s">
        <v>1039</v>
      </c>
      <c r="B36" s="347" t="s">
        <v>1451</v>
      </c>
      <c r="C36" s="23">
        <f ca="1">ROUND(C29*F36,1)</f>
        <v>6.4</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1.2</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3.8</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335</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7133</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35.47</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17206</v>
      </c>
      <c r="D43" s="383" t="s">
        <v>1490</v>
      </c>
      <c r="E43" s="384" t="s">
        <v>1491</v>
      </c>
      <c r="F43" s="385">
        <f ca="1">INDIRECT("'数据-取费表'!k"&amp;$G$1)</f>
        <v>4145.53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-7453</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3062</v>
      </c>
      <c r="K47" s="1883" t="s">
        <v>1529</v>
      </c>
      <c r="L47" s="1884">
        <f ca="1">INDIRECT("'数据-取费表'!d"&amp;$G$1)</f>
        <v>40</v>
      </c>
      <c r="M47" s="1839" t="str">
        <f>IF(ISNUMBER(FIND("住宅",C1)),"住宅","非住宅")</f>
        <v>非住宅</v>
      </c>
      <c r="O47" s="1885" t="s">
        <v>1040</v>
      </c>
      <c r="P47" s="1886" t="s">
        <v>1530</v>
      </c>
      <c r="Q47" s="1887">
        <f ca="1">C40+J29</f>
        <v>7133</v>
      </c>
      <c r="R47" s="1887" t="s">
        <v>1531</v>
      </c>
    </row>
    <row r="48" spans="1:18" s="1843" customFormat="1" ht="28.5" thickBot="1">
      <c r="A48" s="1360" t="s">
        <v>1135</v>
      </c>
      <c r="B48" s="345" t="s">
        <v>1402</v>
      </c>
      <c r="C48" s="1818">
        <f ca="1">C49+C53+C55</f>
        <v>0</v>
      </c>
      <c r="D48" s="1362"/>
      <c r="E48" s="1363"/>
      <c r="F48" s="1181"/>
      <c r="G48" s="790"/>
      <c r="H48" s="791"/>
      <c r="I48" s="1888" t="s">
        <v>1532</v>
      </c>
      <c r="J48" s="1889" t="s">
        <v>3083</v>
      </c>
      <c r="K48" s="1890" t="s">
        <v>1533</v>
      </c>
      <c r="L48" s="1891">
        <f ca="1">INDIRECT("'数据-取费表'!f"&amp;$G$1)</f>
        <v>35.47</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3016</v>
      </c>
      <c r="E49" s="1831" t="s">
        <v>1493</v>
      </c>
      <c r="F49" s="1281"/>
      <c r="G49" s="1892"/>
      <c r="H49" s="791"/>
      <c r="I49" s="1888" t="s">
        <v>1536</v>
      </c>
      <c r="J49" s="1893">
        <v>2014</v>
      </c>
      <c r="K49" s="1890" t="s">
        <v>1537</v>
      </c>
      <c r="L49" s="1894"/>
      <c r="O49" s="1895" t="s">
        <v>1042</v>
      </c>
      <c r="P49" s="1886" t="s">
        <v>1538</v>
      </c>
      <c r="Q49" s="1887">
        <f ca="1">C29</f>
        <v>1283</v>
      </c>
      <c r="R49" s="1887" t="s">
        <v>1531</v>
      </c>
    </row>
    <row r="50" spans="1:18" s="1843" customFormat="1" ht="13.5" thickBot="1">
      <c r="A50" s="1195"/>
      <c r="B50" s="1198"/>
      <c r="C50" s="1368"/>
      <c r="D50" s="1172"/>
      <c r="E50" s="1277" t="s">
        <v>1407</v>
      </c>
      <c r="F50" s="1278">
        <f ca="1">F7</f>
        <v>4145.53</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57</v>
      </c>
      <c r="K51" s="1901" t="s">
        <v>1543</v>
      </c>
      <c r="L51" s="1902">
        <f ca="1">ROUND(-PV(INDIRECT("'数据-取费表'!h"&amp;$G$1),L48,(C39-C13*C76),0),0)</f>
        <v>4345</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35.47</v>
      </c>
      <c r="R52" s="1887" t="s">
        <v>1548</v>
      </c>
    </row>
    <row r="53" spans="1:18" s="1843" customFormat="1" ht="24.75" thickBot="1">
      <c r="A53" s="1405" t="s">
        <v>1137</v>
      </c>
      <c r="B53" s="1832" t="s">
        <v>1410</v>
      </c>
      <c r="C53" s="361">
        <f ca="1">ROUND(IF(F53="押一",F49*F51*F50/12*F11,IF(F53="押二",F49*F51*F50/12*2*F11,IF(F53="押三",F49*F51*F50/12*3*F11,C54*F11)))/10000,0)</f>
        <v>0</v>
      </c>
      <c r="D53" s="1825" t="s">
        <v>3014</v>
      </c>
      <c r="E53" s="358" t="s">
        <v>1412</v>
      </c>
      <c r="F53" s="1366"/>
      <c r="I53" s="1906" t="s">
        <v>1549</v>
      </c>
      <c r="J53" s="1907">
        <f ca="1">IF(M47="住宅",J51,IF(D1="——",MIN(J51,L48),IF(D1="在建（套用方法）",MIN(J51,L48-'数据-取费表'!B24),IF(D1="土地（套用方法）",MIN(J51,L48-'数据-取费表'!B20)))))</f>
        <v>35.47</v>
      </c>
      <c r="K53" s="3190" t="s">
        <v>1550</v>
      </c>
      <c r="L53" s="3191"/>
      <c r="O53" s="1885" t="s">
        <v>1046</v>
      </c>
      <c r="P53" s="1886" t="s">
        <v>1551</v>
      </c>
      <c r="Q53" s="1887">
        <f ca="1">Q47+Q48</f>
        <v>7133</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1219</v>
      </c>
      <c r="D56" s="1915"/>
      <c r="E56" s="1916"/>
      <c r="F56" s="1908"/>
      <c r="I56" s="1917" t="s">
        <v>1556</v>
      </c>
      <c r="J56" s="1918" t="s">
        <v>3040</v>
      </c>
      <c r="K56" s="1888" t="s">
        <v>1557</v>
      </c>
      <c r="L56" s="1891" t="str">
        <f ca="1">IF(L48&lt;J51,"——",L48-J53)</f>
        <v>——</v>
      </c>
      <c r="O56" s="1885" t="s">
        <v>1040</v>
      </c>
      <c r="P56" s="1886" t="s">
        <v>1530</v>
      </c>
      <c r="Q56" s="1887">
        <f ca="1">C40+J29</f>
        <v>7133</v>
      </c>
      <c r="R56" s="1887" t="s">
        <v>1531</v>
      </c>
    </row>
    <row r="57" spans="1:18" s="1843" customFormat="1" ht="24.75" thickBot="1">
      <c r="A57" s="1919"/>
      <c r="B57" s="1169" t="s">
        <v>1480</v>
      </c>
      <c r="C57" s="282">
        <f ca="1">C29</f>
        <v>1283</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22</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14.7</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10.78</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3.93</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7133</v>
      </c>
      <c r="R62" s="1887" t="s">
        <v>1047</v>
      </c>
    </row>
    <row r="63" spans="1:18" s="1843" customFormat="1" ht="13.5" thickBot="1">
      <c r="A63" s="372"/>
      <c r="B63" s="1175"/>
      <c r="C63" s="28"/>
      <c r="D63" s="1185"/>
      <c r="E63" s="1169" t="s">
        <v>1501</v>
      </c>
      <c r="F63" s="348">
        <f t="shared" ca="1" si="0"/>
        <v>6541.77</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6.4</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1.2</v>
      </c>
      <c r="D65" s="1183" t="s">
        <v>1456</v>
      </c>
      <c r="E65" s="1169" t="s">
        <v>1457</v>
      </c>
      <c r="F65" s="376">
        <f t="shared" ca="1" si="0"/>
        <v>1E-3</v>
      </c>
      <c r="I65" s="1930" t="s">
        <v>1581</v>
      </c>
      <c r="J65" s="1931">
        <v>40</v>
      </c>
      <c r="K65" s="1931">
        <v>30</v>
      </c>
      <c r="L65" s="1931">
        <v>50</v>
      </c>
      <c r="M65" s="1933">
        <v>0.02</v>
      </c>
      <c r="O65" s="1885" t="s">
        <v>1040</v>
      </c>
      <c r="P65" s="1886" t="s">
        <v>1582</v>
      </c>
      <c r="Q65" s="1887">
        <f ca="1">C40+J29</f>
        <v>7133</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-22</v>
      </c>
      <c r="D67" s="1182" t="s">
        <v>1466</v>
      </c>
      <c r="E67" s="1187"/>
      <c r="F67" s="1188"/>
      <c r="O67" s="1895" t="s">
        <v>1042</v>
      </c>
      <c r="P67" s="1886" t="s">
        <v>1564</v>
      </c>
      <c r="Q67" s="1934">
        <f ca="1">L51</f>
        <v>4345</v>
      </c>
      <c r="R67" s="1887" t="s">
        <v>1584</v>
      </c>
    </row>
    <row r="68" spans="1:18" s="1843" customFormat="1" ht="16.5" thickBot="1">
      <c r="A68" s="1166" t="s">
        <v>1032</v>
      </c>
      <c r="B68" s="1167" t="s">
        <v>1487</v>
      </c>
      <c r="C68" s="346">
        <f ca="1">ROUND(C67*(1-((1+F70)/(1+F68))^F69)/(F68-F70),0)</f>
        <v>-320</v>
      </c>
      <c r="D68" s="1184" t="s">
        <v>1471</v>
      </c>
      <c r="E68" s="1169" t="s">
        <v>1472</v>
      </c>
      <c r="F68" s="357">
        <f ca="1">F40</f>
        <v>0.06</v>
      </c>
      <c r="O68" s="1895" t="s">
        <v>1043</v>
      </c>
      <c r="P68" s="1935" t="s">
        <v>1585</v>
      </c>
      <c r="Q68" s="1887">
        <f ca="1">ROUND(Q69-Q70*Q71,0)</f>
        <v>231</v>
      </c>
      <c r="R68" s="1887" t="s">
        <v>1051</v>
      </c>
    </row>
    <row r="69" spans="1:18" s="1843" customFormat="1" ht="13.5" thickBot="1">
      <c r="A69" s="1170"/>
      <c r="B69" s="1171"/>
      <c r="C69" s="351"/>
      <c r="D69" s="1189" t="s">
        <v>1475</v>
      </c>
      <c r="E69" s="1169" t="s">
        <v>1476</v>
      </c>
      <c r="F69" s="379">
        <f ca="1">F41</f>
        <v>35.47</v>
      </c>
      <c r="O69" s="1895" t="s">
        <v>1048</v>
      </c>
      <c r="P69" s="1935" t="s">
        <v>1586</v>
      </c>
      <c r="Q69" s="1887">
        <f ca="1">C39</f>
        <v>335</v>
      </c>
      <c r="R69" s="1887" t="s">
        <v>1531</v>
      </c>
    </row>
    <row r="70" spans="1:18" s="1843" customFormat="1" ht="13.5" thickBot="1">
      <c r="A70" s="1173"/>
      <c r="B70" s="1174"/>
      <c r="C70" s="355"/>
      <c r="D70" s="1185"/>
      <c r="E70" s="1169" t="s">
        <v>1479</v>
      </c>
      <c r="F70" s="1275"/>
      <c r="O70" s="1895" t="s">
        <v>1049</v>
      </c>
      <c r="P70" s="1935" t="s">
        <v>1587</v>
      </c>
      <c r="Q70" s="1887">
        <f ca="1">C13</f>
        <v>1219</v>
      </c>
      <c r="R70" s="1887" t="s">
        <v>1531</v>
      </c>
    </row>
    <row r="71" spans="1:18" s="1843" customFormat="1" ht="13.5" thickBot="1">
      <c r="A71" s="1190" t="s">
        <v>1033</v>
      </c>
      <c r="B71" s="1191" t="s">
        <v>1489</v>
      </c>
      <c r="C71" s="382">
        <f ca="1">ROUND(C68*10000/F71,0)</f>
        <v>-772</v>
      </c>
      <c r="D71" s="1192" t="s">
        <v>1490</v>
      </c>
      <c r="E71" s="1193" t="s">
        <v>1491</v>
      </c>
      <c r="F71" s="385">
        <f ca="1">F43</f>
        <v>4145.53</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104</v>
      </c>
      <c r="D75" s="1843"/>
      <c r="E75" s="1843"/>
      <c r="F75" s="1843"/>
      <c r="K75" s="1869"/>
      <c r="L75" s="1843"/>
      <c r="O75" s="1885" t="s">
        <v>1046</v>
      </c>
      <c r="P75" s="1886" t="s">
        <v>1551</v>
      </c>
      <c r="Q75" s="1887">
        <f ca="1">Q65+Q66</f>
        <v>7133</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0.69</v>
      </c>
    </row>
    <row r="80" spans="1:18">
      <c r="B80" s="386" t="s">
        <v>1513</v>
      </c>
      <c r="C80" s="318">
        <f ca="1">ROUND(C75/C39,3)</f>
        <v>0.31</v>
      </c>
    </row>
    <row r="81" spans="2:3">
      <c r="B81" s="314" t="s">
        <v>1514</v>
      </c>
      <c r="C81" s="282"/>
    </row>
    <row r="82" spans="2:3">
      <c r="B82" s="317" t="s">
        <v>1515</v>
      </c>
      <c r="C82" s="319">
        <f ca="1">1-C83</f>
        <v>0.82899999999999996</v>
      </c>
    </row>
    <row r="83" spans="2:3">
      <c r="B83" s="317" t="s">
        <v>1516</v>
      </c>
      <c r="C83" s="318">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192" t="s">
        <v>1404</v>
      </c>
      <c r="C6" s="1296">
        <f ca="1">ROUND(F6*F8*F7*(1-F9),0)</f>
        <v>0</v>
      </c>
      <c r="D6" s="164" t="s">
        <v>3008</v>
      </c>
      <c r="E6" s="347" t="s">
        <v>1406</v>
      </c>
      <c r="F6" s="348">
        <f ca="1">INDIRECT("'数据-取费表'!u"&amp;$G$1)</f>
        <v>0</v>
      </c>
      <c r="G6" s="1852"/>
      <c r="H6" s="1291" t="s">
        <v>1035</v>
      </c>
      <c r="I6" s="3192" t="s">
        <v>1404</v>
      </c>
      <c r="J6" s="346">
        <f ca="1">ROUND(M6*M8*M7*(1-M9),0)</f>
        <v>0</v>
      </c>
      <c r="K6" s="1835" t="s">
        <v>3011</v>
      </c>
      <c r="L6" s="347" t="s">
        <v>1406</v>
      </c>
      <c r="M6" s="348">
        <f ca="1">INDIRECT("'数据-取费表'!z"&amp;$G$1)</f>
        <v>0</v>
      </c>
    </row>
    <row r="7" spans="1:37" ht="18" customHeight="1">
      <c r="A7" s="1295"/>
      <c r="B7" s="3193"/>
      <c r="C7" s="1297"/>
      <c r="D7" s="352"/>
      <c r="E7" s="1298" t="s">
        <v>1407</v>
      </c>
      <c r="F7" s="348">
        <f ca="1">IF(INDIRECT("'数据-取费表'!ah"&amp;$G$1)="",INDIRECT("'数据-取费表'!k"&amp;$G$1),INDIRECT("'数据-取费表'!ah"&amp;$G$1))</f>
        <v>0</v>
      </c>
      <c r="G7" s="1852"/>
      <c r="H7" s="349"/>
      <c r="I7" s="3193"/>
      <c r="J7" s="351"/>
      <c r="K7" s="352"/>
      <c r="L7" s="347" t="s">
        <v>1407</v>
      </c>
      <c r="M7" s="348">
        <f ca="1">F7</f>
        <v>0</v>
      </c>
    </row>
    <row r="8" spans="1:37" ht="18" customHeight="1">
      <c r="A8" s="349"/>
      <c r="B8" s="3193"/>
      <c r="C8" s="351"/>
      <c r="D8" s="352"/>
      <c r="E8" s="347" t="s">
        <v>1408</v>
      </c>
      <c r="F8" s="348">
        <f ca="1">INDIRECT("'数据-取费表'!ai"&amp;$G$1)</f>
        <v>0</v>
      </c>
      <c r="G8" s="1852"/>
      <c r="H8" s="349"/>
      <c r="I8" s="3193"/>
      <c r="J8" s="351"/>
      <c r="K8" s="352"/>
      <c r="L8" s="347" t="s">
        <v>1408</v>
      </c>
      <c r="M8" s="348">
        <f ca="1">INDIRECT("'数据-取费表'!ai"&amp;$G$1)</f>
        <v>0</v>
      </c>
    </row>
    <row r="9" spans="1:37" ht="18" customHeight="1">
      <c r="A9" s="349"/>
      <c r="B9" s="3194"/>
      <c r="C9" s="351"/>
      <c r="D9" s="352"/>
      <c r="E9" s="347" t="s">
        <v>1409</v>
      </c>
      <c r="F9" s="357">
        <f ca="1">INDIRECT("'数据-取费表'!w"&amp;$G$1)</f>
        <v>0</v>
      </c>
      <c r="G9" s="1852"/>
      <c r="H9" s="349"/>
      <c r="I9" s="3194"/>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3009</v>
      </c>
      <c r="E10" s="358" t="s">
        <v>1412</v>
      </c>
      <c r="F10" s="1366"/>
      <c r="G10" s="1852"/>
      <c r="H10" s="1291" t="s">
        <v>1039</v>
      </c>
      <c r="I10" s="1824" t="s">
        <v>1410</v>
      </c>
      <c r="J10" s="346">
        <f ca="1">ROUND(IF(M10="押一",M6*M8*M7/12*M11,IF(M10="押二",M6*M8*M7/12*2*M11,IF(M10="押三",M6*M8*M7/12*3*M11,J11*M11))),0)</f>
        <v>0</v>
      </c>
      <c r="K10" s="1836" t="s">
        <v>3010</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单利计息。建造成本、管理费用、销售费用产生的利息。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190" t="s">
        <v>1550</v>
      </c>
      <c r="L53" s="3191"/>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2510</v>
      </c>
      <c r="B1" s="2563"/>
      <c r="C1" s="2563"/>
      <c r="D1" s="2563"/>
      <c r="E1" s="2564"/>
    </row>
    <row r="2" spans="1:6" ht="15.75">
      <c r="A2" s="2565" t="s">
        <v>2311</v>
      </c>
      <c r="B2" s="2566">
        <f ca="1">SUMIF(B6:B13,"&lt;&gt;#ref!",B6:B13)</f>
        <v>7133</v>
      </c>
      <c r="C2" s="2567" t="s">
        <v>2503</v>
      </c>
      <c r="D2" s="2568" t="s">
        <v>2504</v>
      </c>
      <c r="E2" s="2569">
        <f>SUM(E6:E13)</f>
        <v>4145.53</v>
      </c>
    </row>
    <row r="3" spans="1:6" ht="15.75">
      <c r="A3" s="2565" t="s">
        <v>1396</v>
      </c>
      <c r="B3" s="2566">
        <f ca="1">ROUND(B2*10000/E2,0)</f>
        <v>17206</v>
      </c>
      <c r="C3" s="2567" t="s">
        <v>2511</v>
      </c>
      <c r="D3" s="2570"/>
      <c r="E3" s="2571"/>
    </row>
    <row r="4" spans="1:6" ht="15.75">
      <c r="A4" s="2572"/>
      <c r="B4" s="2570"/>
      <c r="C4" s="2570"/>
      <c r="D4" s="2570"/>
      <c r="E4" s="2571"/>
    </row>
    <row r="5" spans="1:6" ht="15">
      <c r="A5" s="2573" t="s">
        <v>2505</v>
      </c>
      <c r="B5" s="3195" t="s">
        <v>2506</v>
      </c>
      <c r="C5" s="3195"/>
      <c r="D5" s="2574"/>
      <c r="E5" s="2575" t="s">
        <v>2507</v>
      </c>
      <c r="F5" s="2576" t="s">
        <v>2508</v>
      </c>
    </row>
    <row r="6" spans="1:6">
      <c r="A6" s="2577" t="str">
        <f>'数据-取费表'!AN6</f>
        <v>收益法</v>
      </c>
      <c r="B6" s="2576">
        <f ca="1">IF(F6="是",'数据-取费表'!AO6,0)</f>
        <v>7133</v>
      </c>
      <c r="C6" s="2567" t="s">
        <v>2503</v>
      </c>
      <c r="D6" s="2570"/>
      <c r="E6" s="2578">
        <f>IF(OR(A6=0,F6="否"),0,'数据-取费表'!K6+'数据-取费表'!S6)</f>
        <v>4145.53</v>
      </c>
      <c r="F6" s="2579" t="s">
        <v>2509</v>
      </c>
    </row>
    <row r="7" spans="1:6">
      <c r="A7" s="2577">
        <f>'数据-取费表'!AN7</f>
        <v>0</v>
      </c>
      <c r="B7" s="2576" t="e">
        <f ca="1">IF(F7="是",'数据-取费表'!AO7,0)</f>
        <v>#REF!</v>
      </c>
      <c r="C7" s="2567" t="s">
        <v>2503</v>
      </c>
      <c r="D7" s="2570"/>
      <c r="E7" s="2578">
        <f>IF(OR(A7=0,F7="否"),0,'数据-取费表'!K7+'数据-取费表'!S7)</f>
        <v>0</v>
      </c>
      <c r="F7" s="2579" t="s">
        <v>2509</v>
      </c>
    </row>
    <row r="8" spans="1:6">
      <c r="A8" s="2577">
        <f>'数据-取费表'!AN8</f>
        <v>0</v>
      </c>
      <c r="B8" s="2576" t="e">
        <f ca="1">IF(F8="是",'数据-取费表'!AO8,0)</f>
        <v>#REF!</v>
      </c>
      <c r="C8" s="2567" t="s">
        <v>2503</v>
      </c>
      <c r="D8" s="2570"/>
      <c r="E8" s="2578">
        <f>IF(OR(A8=0,F8="否"),0,'数据-取费表'!K8+'数据-取费表'!S8)</f>
        <v>0</v>
      </c>
      <c r="F8" s="2579" t="s">
        <v>2509</v>
      </c>
    </row>
    <row r="9" spans="1:6">
      <c r="A9" s="2577">
        <f>'数据-取费表'!AN9</f>
        <v>0</v>
      </c>
      <c r="B9" s="2576" t="e">
        <f ca="1">IF(F9="是",'数据-取费表'!AO9,0)</f>
        <v>#REF!</v>
      </c>
      <c r="C9" s="2567" t="s">
        <v>2503</v>
      </c>
      <c r="D9" s="2570"/>
      <c r="E9" s="2578">
        <f>IF(OR(A9=0,F9="否"),0,'数据-取费表'!K9+'数据-取费表'!S9)</f>
        <v>0</v>
      </c>
      <c r="F9" s="2579" t="s">
        <v>2509</v>
      </c>
    </row>
    <row r="10" spans="1:6">
      <c r="A10" s="2577">
        <f>'数据-取费表'!AN10</f>
        <v>0</v>
      </c>
      <c r="B10" s="2576" t="e">
        <f ca="1">IF(F10="是",'数据-取费表'!AO10,0)</f>
        <v>#REF!</v>
      </c>
      <c r="C10" s="2567" t="s">
        <v>2503</v>
      </c>
      <c r="D10" s="2570"/>
      <c r="E10" s="2578">
        <f>IF(OR(A10=0,F10="否"),0,'数据-取费表'!K10+'数据-取费表'!S10)</f>
        <v>0</v>
      </c>
      <c r="F10" s="2579" t="s">
        <v>2509</v>
      </c>
    </row>
    <row r="11" spans="1:6">
      <c r="A11" s="2577">
        <f>'数据-取费表'!AN11</f>
        <v>0</v>
      </c>
      <c r="B11" s="2576" t="e">
        <f ca="1">IF(F11="是",'数据-取费表'!AO11,0)</f>
        <v>#REF!</v>
      </c>
      <c r="C11" s="2567" t="s">
        <v>2503</v>
      </c>
      <c r="D11" s="2570"/>
      <c r="E11" s="2578">
        <f>IF(OR(A11=0,F11="否"),0,'数据-取费表'!K11+'数据-取费表'!S11)</f>
        <v>0</v>
      </c>
      <c r="F11" s="2579" t="s">
        <v>2509</v>
      </c>
    </row>
    <row r="12" spans="1:6">
      <c r="A12" s="2577">
        <f>'数据-取费表'!AN12</f>
        <v>0</v>
      </c>
      <c r="B12" s="2576" t="e">
        <f ca="1">IF(F12="是",'数据-取费表'!AO12,0)</f>
        <v>#REF!</v>
      </c>
      <c r="C12" s="2567" t="s">
        <v>2503</v>
      </c>
      <c r="D12" s="2570"/>
      <c r="E12" s="2578">
        <f>IF(OR(A12=0,F12="否"),0,'数据-取费表'!K12+'数据-取费表'!S12)</f>
        <v>0</v>
      </c>
      <c r="F12" s="2579" t="s">
        <v>2509</v>
      </c>
    </row>
    <row r="13" spans="1:6" ht="15" thickBot="1">
      <c r="A13" s="2580">
        <f>'数据-取费表'!AN13</f>
        <v>0</v>
      </c>
      <c r="B13" s="2576" t="e">
        <f ca="1">IF(F13="是",'数据-取费表'!AO13,0)</f>
        <v>#REF!</v>
      </c>
      <c r="C13" s="2581" t="s">
        <v>2503</v>
      </c>
      <c r="D13" s="2582"/>
      <c r="E13" s="2578">
        <f>IF(OR(A13=0,F13="否"),0,'数据-取费表'!K13+'数据-取费表'!S13)</f>
        <v>0</v>
      </c>
      <c r="F13" s="2579"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2" t="s">
        <v>1076</v>
      </c>
      <c r="B1" s="3213"/>
      <c r="C1" s="3214"/>
      <c r="D1" s="3215">
        <f>SUM(I10,I15,I20,I21,I23)</f>
        <v>0</v>
      </c>
      <c r="E1" s="3215"/>
      <c r="F1" s="3215"/>
      <c r="G1" s="3215"/>
      <c r="H1" s="3215"/>
      <c r="I1" s="3216"/>
    </row>
    <row r="2" spans="1:9">
      <c r="A2" s="3202" t="s">
        <v>1077</v>
      </c>
      <c r="B2" s="3203" t="s">
        <v>1078</v>
      </c>
      <c r="C2" s="3203"/>
      <c r="D2" s="1301" t="s">
        <v>1079</v>
      </c>
      <c r="E2" s="1301" t="s">
        <v>1080</v>
      </c>
      <c r="F2" s="1301" t="s">
        <v>1081</v>
      </c>
      <c r="G2" s="1301" t="s">
        <v>1082</v>
      </c>
      <c r="H2" s="1301" t="s">
        <v>1083</v>
      </c>
      <c r="I2" s="1302" t="s">
        <v>1084</v>
      </c>
    </row>
    <row r="3" spans="1:9">
      <c r="A3" s="3202"/>
      <c r="B3" s="3203" t="s">
        <v>1085</v>
      </c>
      <c r="C3" s="3203"/>
      <c r="D3" s="1303"/>
      <c r="E3" s="1301"/>
      <c r="F3" s="1304"/>
      <c r="G3" s="1304"/>
      <c r="H3" s="1305"/>
      <c r="I3" s="1306">
        <f>ROUND(D3*E3*F3*G3*H3/10000,0)</f>
        <v>0</v>
      </c>
    </row>
    <row r="4" spans="1:9">
      <c r="A4" s="3202"/>
      <c r="B4" s="3203" t="s">
        <v>1086</v>
      </c>
      <c r="C4" s="3203"/>
      <c r="D4" s="1303"/>
      <c r="E4" s="1301"/>
      <c r="F4" s="1304"/>
      <c r="G4" s="1304"/>
      <c r="H4" s="1305"/>
      <c r="I4" s="1306">
        <f t="shared" ref="I4:I9" si="0">ROUND(D4*E4*F4*G4*H4/10000,0)</f>
        <v>0</v>
      </c>
    </row>
    <row r="5" spans="1:9">
      <c r="A5" s="3202"/>
      <c r="B5" s="3203" t="s">
        <v>1087</v>
      </c>
      <c r="C5" s="3203"/>
      <c r="D5" s="1303"/>
      <c r="E5" s="1301"/>
      <c r="F5" s="1304"/>
      <c r="G5" s="1304"/>
      <c r="H5" s="1305"/>
      <c r="I5" s="1306">
        <f t="shared" si="0"/>
        <v>0</v>
      </c>
    </row>
    <row r="6" spans="1:9">
      <c r="A6" s="3202"/>
      <c r="B6" s="3203" t="s">
        <v>1088</v>
      </c>
      <c r="C6" s="3203"/>
      <c r="D6" s="1303"/>
      <c r="E6" s="1301"/>
      <c r="F6" s="1304"/>
      <c r="G6" s="1304"/>
      <c r="H6" s="1305"/>
      <c r="I6" s="1306">
        <f t="shared" si="0"/>
        <v>0</v>
      </c>
    </row>
    <row r="7" spans="1:9">
      <c r="A7" s="3202"/>
      <c r="B7" s="3203" t="s">
        <v>1089</v>
      </c>
      <c r="C7" s="3203"/>
      <c r="D7" s="1303"/>
      <c r="E7" s="1301"/>
      <c r="F7" s="1304"/>
      <c r="G7" s="1304"/>
      <c r="H7" s="1305"/>
      <c r="I7" s="1306">
        <f t="shared" si="0"/>
        <v>0</v>
      </c>
    </row>
    <row r="8" spans="1:9">
      <c r="A8" s="3202"/>
      <c r="B8" s="3203" t="s">
        <v>1090</v>
      </c>
      <c r="C8" s="3203"/>
      <c r="D8" s="1303"/>
      <c r="E8" s="1301"/>
      <c r="F8" s="1304"/>
      <c r="G8" s="1304"/>
      <c r="H8" s="1305"/>
      <c r="I8" s="1306">
        <f t="shared" si="0"/>
        <v>0</v>
      </c>
    </row>
    <row r="9" spans="1:9">
      <c r="A9" s="3202"/>
      <c r="B9" s="3203" t="s">
        <v>1091</v>
      </c>
      <c r="C9" s="3203"/>
      <c r="D9" s="1303"/>
      <c r="E9" s="1301"/>
      <c r="F9" s="1304"/>
      <c r="G9" s="1304"/>
      <c r="H9" s="1305"/>
      <c r="I9" s="1306">
        <f t="shared" si="0"/>
        <v>0</v>
      </c>
    </row>
    <row r="10" spans="1:9">
      <c r="A10" s="3202"/>
      <c r="B10" s="3204" t="s">
        <v>1092</v>
      </c>
      <c r="C10" s="3204"/>
      <c r="D10" s="1307"/>
      <c r="E10" s="1307" t="e">
        <f>ROUND(D1*10000/D10/H9,0)</f>
        <v>#DIV/0!</v>
      </c>
      <c r="F10" s="1308"/>
      <c r="G10" s="1308"/>
      <c r="H10" s="1309"/>
      <c r="I10" s="1310">
        <f>SUM(I3:I9)</f>
        <v>0</v>
      </c>
    </row>
    <row r="11" spans="1:9" ht="14.25">
      <c r="A11" s="3202" t="s">
        <v>1093</v>
      </c>
      <c r="B11" s="3203" t="s">
        <v>1094</v>
      </c>
      <c r="C11" s="3203"/>
      <c r="D11" s="1303" t="s">
        <v>1095</v>
      </c>
      <c r="E11" s="1303" t="s">
        <v>1096</v>
      </c>
      <c r="F11" s="1304" t="s">
        <v>1097</v>
      </c>
      <c r="G11" s="1304" t="s">
        <v>1083</v>
      </c>
      <c r="H11" s="1311" t="s">
        <v>1098</v>
      </c>
      <c r="I11" s="1302" t="s">
        <v>1084</v>
      </c>
    </row>
    <row r="12" spans="1:9">
      <c r="A12" s="3202"/>
      <c r="B12" s="3203" t="s">
        <v>1099</v>
      </c>
      <c r="C12" s="3203"/>
      <c r="D12" s="1303"/>
      <c r="E12" s="1303"/>
      <c r="F12" s="1304"/>
      <c r="G12" s="1305"/>
      <c r="H12" s="1312"/>
      <c r="I12" s="1302">
        <f>ROUND(D12*E12*F12*G12/10000,0)</f>
        <v>0</v>
      </c>
    </row>
    <row r="13" spans="1:9">
      <c r="A13" s="3202"/>
      <c r="B13" s="3203" t="s">
        <v>1100</v>
      </c>
      <c r="C13" s="3203"/>
      <c r="D13" s="1303"/>
      <c r="E13" s="1303"/>
      <c r="F13" s="1304"/>
      <c r="G13" s="1305"/>
      <c r="H13" s="1312"/>
      <c r="I13" s="1302">
        <f>ROUND(D13*E13*F13*G13/10000,0)</f>
        <v>0</v>
      </c>
    </row>
    <row r="14" spans="1:9">
      <c r="A14" s="3202"/>
      <c r="B14" s="3203" t="s">
        <v>1101</v>
      </c>
      <c r="C14" s="3203"/>
      <c r="D14" s="1303"/>
      <c r="E14" s="1303"/>
      <c r="F14" s="1304"/>
      <c r="G14" s="1305"/>
      <c r="H14" s="1312"/>
      <c r="I14" s="1302">
        <f>ROUND(D14*E14*F14*G14/10000,0)</f>
        <v>0</v>
      </c>
    </row>
    <row r="15" spans="1:9">
      <c r="A15" s="3202"/>
      <c r="B15" s="3204" t="s">
        <v>1092</v>
      </c>
      <c r="C15" s="3204"/>
      <c r="D15" s="1307"/>
      <c r="E15" s="1307">
        <f>SUM(E12:E14)</f>
        <v>0</v>
      </c>
      <c r="F15" s="1308"/>
      <c r="G15" s="1305"/>
      <c r="H15" s="1312"/>
      <c r="I15" s="1313">
        <f>SUM(I12:I14)</f>
        <v>0</v>
      </c>
    </row>
    <row r="16" spans="1:9" ht="24">
      <c r="A16" s="3202" t="s">
        <v>1102</v>
      </c>
      <c r="B16" s="3203" t="s">
        <v>1103</v>
      </c>
      <c r="C16" s="3203"/>
      <c r="D16" s="1303" t="s">
        <v>1079</v>
      </c>
      <c r="E16" s="1314" t="s">
        <v>1104</v>
      </c>
      <c r="F16" s="1304" t="s">
        <v>1105</v>
      </c>
      <c r="G16" s="1305" t="s">
        <v>1083</v>
      </c>
      <c r="H16" s="1311" t="s">
        <v>1098</v>
      </c>
      <c r="I16" s="1302" t="s">
        <v>1084</v>
      </c>
    </row>
    <row r="17" spans="1:9" ht="14.25">
      <c r="A17" s="3202"/>
      <c r="B17" s="3203" t="s">
        <v>1106</v>
      </c>
      <c r="C17" s="3203"/>
      <c r="D17" s="1303"/>
      <c r="E17" s="1303"/>
      <c r="F17" s="1304"/>
      <c r="G17" s="1305"/>
      <c r="H17" s="1315"/>
      <c r="I17" s="1316">
        <f>ROUND(D17*E17*F17*G17/10000,0)</f>
        <v>0</v>
      </c>
    </row>
    <row r="18" spans="1:9" ht="14.25">
      <c r="A18" s="3202"/>
      <c r="B18" s="3203" t="s">
        <v>1107</v>
      </c>
      <c r="C18" s="3203"/>
      <c r="D18" s="1303"/>
      <c r="E18" s="1303"/>
      <c r="F18" s="1304"/>
      <c r="G18" s="1305"/>
      <c r="H18" s="1315"/>
      <c r="I18" s="1316">
        <f>ROUND(D18*E18*F18*G18/10000,0)</f>
        <v>0</v>
      </c>
    </row>
    <row r="19" spans="1:9" ht="14.25">
      <c r="A19" s="3202"/>
      <c r="B19" s="3203" t="s">
        <v>1108</v>
      </c>
      <c r="C19" s="3203"/>
      <c r="D19" s="1303"/>
      <c r="E19" s="1303"/>
      <c r="F19" s="1304"/>
      <c r="G19" s="1305"/>
      <c r="H19" s="1315"/>
      <c r="I19" s="1316">
        <f>ROUND(D19*E19*F19*G19/10000,0)</f>
        <v>0</v>
      </c>
    </row>
    <row r="20" spans="1:9">
      <c r="A20" s="3202"/>
      <c r="B20" s="3204" t="s">
        <v>1092</v>
      </c>
      <c r="C20" s="3204"/>
      <c r="D20" s="1307">
        <f>SUM(D17:D19)</f>
        <v>0</v>
      </c>
      <c r="E20" s="1307"/>
      <c r="F20" s="1308"/>
      <c r="G20" s="1305"/>
      <c r="H20" s="1312"/>
      <c r="I20" s="1313">
        <f>SUM(I17:I19)</f>
        <v>0</v>
      </c>
    </row>
    <row r="21" spans="1:9">
      <c r="A21" s="3202" t="s">
        <v>1109</v>
      </c>
      <c r="B21" s="3205"/>
      <c r="C21" s="3205"/>
      <c r="D21" s="3205"/>
      <c r="E21" s="3205"/>
      <c r="F21" s="3205"/>
      <c r="G21" s="3205"/>
      <c r="H21" s="1766">
        <v>0.1</v>
      </c>
      <c r="I21" s="1310">
        <f>ROUND(I10*H21,0)</f>
        <v>0</v>
      </c>
    </row>
    <row r="22" spans="1:9" ht="14.25">
      <c r="A22" s="3206" t="s">
        <v>1110</v>
      </c>
      <c r="B22" s="3207"/>
      <c r="C22" s="3208"/>
      <c r="D22" s="1317" t="s">
        <v>1111</v>
      </c>
      <c r="E22" s="1317" t="s">
        <v>1112</v>
      </c>
      <c r="F22" s="1318" t="s">
        <v>1113</v>
      </c>
      <c r="G22" s="1318" t="s">
        <v>1114</v>
      </c>
      <c r="H22" s="1311" t="s">
        <v>1115</v>
      </c>
      <c r="I22" s="1302" t="s">
        <v>1116</v>
      </c>
    </row>
    <row r="23" spans="1:9" ht="14.25" thickBot="1">
      <c r="A23" s="3209"/>
      <c r="B23" s="3210"/>
      <c r="C23" s="3211"/>
      <c r="D23" s="1319"/>
      <c r="E23" s="1319"/>
      <c r="F23" s="1319"/>
      <c r="G23" s="1320"/>
      <c r="H23" s="1321"/>
      <c r="I23" s="1322">
        <f>ROUND(E23*D23*F23*(1-G23)/10000,0)</f>
        <v>0</v>
      </c>
    </row>
    <row r="26" spans="1:9">
      <c r="A26" s="1323" t="s">
        <v>1117</v>
      </c>
      <c r="B26" s="1323"/>
      <c r="C26" s="1323"/>
      <c r="D26" s="1323"/>
      <c r="E26" s="3199">
        <f>C27-C30-C31-C32</f>
        <v>0</v>
      </c>
      <c r="F26" s="3199"/>
      <c r="G26" s="3199"/>
      <c r="H26" s="1738" t="s">
        <v>1341</v>
      </c>
    </row>
    <row r="27" spans="1:9">
      <c r="A27" s="1324">
        <v>1</v>
      </c>
      <c r="B27" s="1325" t="s">
        <v>1118</v>
      </c>
      <c r="C27" s="1325">
        <f>C28+C29</f>
        <v>0</v>
      </c>
      <c r="D27" s="1325"/>
      <c r="E27" s="3200"/>
      <c r="F27" s="3200"/>
      <c r="G27" s="3200"/>
    </row>
    <row r="28" spans="1:9">
      <c r="A28" s="1326" t="s">
        <v>1119</v>
      </c>
      <c r="B28" s="1325" t="s">
        <v>1120</v>
      </c>
      <c r="C28" s="1325"/>
      <c r="D28" s="1325"/>
      <c r="E28" s="3200"/>
      <c r="F28" s="3200"/>
      <c r="G28" s="3200"/>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01"/>
      <c r="F32" s="3201"/>
      <c r="G32" s="3201"/>
    </row>
    <row r="33" spans="1:7" hidden="1">
      <c r="A33" s="3196" t="s">
        <v>1129</v>
      </c>
      <c r="B33" s="3197"/>
      <c r="C33" s="3197"/>
      <c r="D33" s="3198"/>
      <c r="E33" s="3199"/>
      <c r="F33" s="3199"/>
      <c r="G33" s="3199"/>
    </row>
    <row r="34" spans="1:7" hidden="1">
      <c r="A34" s="1328">
        <v>1</v>
      </c>
      <c r="B34" s="1325" t="s">
        <v>1130</v>
      </c>
      <c r="C34" s="1325"/>
      <c r="D34" s="1325"/>
      <c r="E34" s="3200"/>
      <c r="F34" s="3200"/>
      <c r="G34" s="3200"/>
    </row>
    <row r="35" spans="1:7" hidden="1">
      <c r="A35" s="1328">
        <v>2</v>
      </c>
      <c r="B35" s="1325" t="s">
        <v>1131</v>
      </c>
      <c r="C35" s="1325"/>
      <c r="D35" s="1325"/>
      <c r="E35" s="3200"/>
      <c r="F35" s="3200"/>
      <c r="G35" s="3200"/>
    </row>
    <row r="36" spans="1:7" hidden="1">
      <c r="A36" s="1328">
        <v>3</v>
      </c>
      <c r="B36" s="1325" t="s">
        <v>1132</v>
      </c>
      <c r="C36" s="1325"/>
      <c r="D36" s="1325"/>
      <c r="E36" s="3200"/>
      <c r="F36" s="3200"/>
      <c r="G36" s="3200"/>
    </row>
    <row r="37" spans="1:7" hidden="1">
      <c r="A37" s="1328">
        <v>4</v>
      </c>
      <c r="B37" s="1325" t="s">
        <v>1133</v>
      </c>
      <c r="C37" s="1325"/>
      <c r="D37" s="1325"/>
      <c r="E37" s="3200"/>
      <c r="F37" s="3200"/>
      <c r="G37" s="3200"/>
    </row>
    <row r="38" spans="1:7" hidden="1">
      <c r="A38" s="3196" t="s">
        <v>1134</v>
      </c>
      <c r="B38" s="3197"/>
      <c r="C38" s="3197"/>
      <c r="D38" s="3198"/>
      <c r="E38" s="3199"/>
      <c r="F38" s="3199"/>
      <c r="G38" s="31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667" t="s">
        <v>2669</v>
      </c>
      <c r="C1" s="1621" t="s">
        <v>2514</v>
      </c>
      <c r="D1" s="1622"/>
      <c r="E1" s="1631"/>
      <c r="F1" s="2585"/>
      <c r="G1" s="1632" t="s">
        <v>2627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2311</v>
      </c>
      <c r="B2" s="1418" t="e">
        <f ca="1">IF(C2="——",ROUND(C50*D3/10000,0),ROUND(C50*D3/10000,0)-D2)</f>
        <v>#DIV/0!</v>
      </c>
      <c r="C2" s="2587"/>
      <c r="D2" s="1365" t="e">
        <f ca="1">SUMIF(INDIRECT("'"&amp;F2&amp;"'"&amp;"!A:A"),"承租人权益价值",INDIRECT("'"&amp;F2&amp;"'"&amp;"!c:c"))</f>
        <v>#REF!</v>
      </c>
      <c r="E2" s="2588" t="s">
        <v>2312</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2313</v>
      </c>
      <c r="B3" s="609" t="e">
        <f ca="1">IF(C2="——",C50,ROUND(B2*10000/D3,0))</f>
        <v>#DIV/0!</v>
      </c>
      <c r="C3" s="400" t="s">
        <v>2628</v>
      </c>
      <c r="D3" s="399">
        <f>IF(D1="",'数据-汇总表'!E3,SUMIF('数据-汇总表'!$C19:$C33,D1,'数据-汇总表'!$E19:$E33))</f>
        <v>4145.53</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223" t="s">
        <v>2635</v>
      </c>
      <c r="Q4" s="3224"/>
      <c r="R4" s="3227" t="s">
        <v>2631</v>
      </c>
      <c r="S4" s="3228"/>
      <c r="T4" s="3227" t="s">
        <v>2632</v>
      </c>
      <c r="U4" s="3228"/>
      <c r="V4" s="3229" t="s">
        <v>2633</v>
      </c>
      <c r="W4" s="3229"/>
      <c r="X4" s="2668"/>
      <c r="Y4" s="3227" t="s">
        <v>2635</v>
      </c>
      <c r="Z4" s="3228"/>
      <c r="AA4" s="3232" t="s">
        <v>2631</v>
      </c>
      <c r="AB4" s="3232" t="s">
        <v>2632</v>
      </c>
      <c r="AC4" s="3220" t="s">
        <v>2633</v>
      </c>
    </row>
    <row r="5" spans="1:29" ht="15">
      <c r="A5" s="404"/>
      <c r="B5" s="405"/>
      <c r="C5" s="3230" t="s">
        <v>2526</v>
      </c>
      <c r="D5" s="3178"/>
      <c r="E5" s="3233" t="s">
        <v>2527</v>
      </c>
      <c r="F5" s="3185"/>
      <c r="G5" s="3230" t="s">
        <v>2528</v>
      </c>
      <c r="H5" s="3178"/>
      <c r="I5" s="3230" t="s">
        <v>2529</v>
      </c>
      <c r="J5" s="3178"/>
      <c r="K5" s="610"/>
      <c r="L5" s="1130"/>
      <c r="M5" s="1131"/>
      <c r="N5" s="1131"/>
      <c r="O5" s="1131"/>
      <c r="P5" s="3225"/>
      <c r="Q5" s="3165"/>
      <c r="R5" s="3170"/>
      <c r="S5" s="3171"/>
      <c r="T5" s="3170"/>
      <c r="U5" s="3171"/>
      <c r="V5" s="3174"/>
      <c r="W5" s="3174"/>
      <c r="X5" s="1814"/>
      <c r="Y5" s="3170"/>
      <c r="Z5" s="3171"/>
      <c r="AA5" s="3156"/>
      <c r="AB5" s="3156"/>
      <c r="AC5" s="3221"/>
    </row>
    <row r="6" spans="1:29" ht="15.75" thickBot="1">
      <c r="A6" s="406"/>
      <c r="B6" s="407"/>
      <c r="C6" s="3175" t="s">
        <v>2530</v>
      </c>
      <c r="D6" s="3176"/>
      <c r="E6" s="3182" t="s">
        <v>2530</v>
      </c>
      <c r="F6" s="3183"/>
      <c r="G6" s="3175" t="s">
        <v>2530</v>
      </c>
      <c r="H6" s="3176"/>
      <c r="I6" s="3175" t="s">
        <v>2530</v>
      </c>
      <c r="J6" s="3176"/>
      <c r="K6" s="610" t="s">
        <v>2531</v>
      </c>
      <c r="L6" s="1130"/>
      <c r="M6" s="1131"/>
      <c r="N6" s="1131"/>
      <c r="O6" s="1131"/>
      <c r="P6" s="3226"/>
      <c r="Q6" s="3167"/>
      <c r="R6" s="3170"/>
      <c r="S6" s="3171"/>
      <c r="T6" s="3172"/>
      <c r="U6" s="3173"/>
      <c r="V6" s="3174"/>
      <c r="W6" s="3174"/>
      <c r="X6" s="1814"/>
      <c r="Y6" s="3172"/>
      <c r="Z6" s="3173"/>
      <c r="AA6" s="3157"/>
      <c r="AB6" s="3157"/>
      <c r="AC6" s="3222"/>
    </row>
    <row r="7" spans="1:29" s="116" customFormat="1" ht="15.75" thickBot="1">
      <c r="A7" s="408" t="s">
        <v>2532</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1" t="s">
        <v>2533</v>
      </c>
      <c r="Q7" s="3181"/>
      <c r="R7" s="768" t="s">
        <v>17</v>
      </c>
      <c r="S7" s="769">
        <f t="shared" ref="S7:S15" si="0">F7</f>
        <v>0</v>
      </c>
      <c r="T7" s="768" t="s">
        <v>17</v>
      </c>
      <c r="U7" s="769">
        <f t="shared" ref="U7:U15" si="1">H7</f>
        <v>0</v>
      </c>
      <c r="V7" s="768" t="s">
        <v>17</v>
      </c>
      <c r="W7" s="769">
        <f t="shared" ref="W7:W15" si="2">J7</f>
        <v>0</v>
      </c>
      <c r="X7" s="770"/>
      <c r="Y7" s="3179" t="s">
        <v>2533</v>
      </c>
      <c r="Z7" s="3180"/>
      <c r="AA7" s="771" t="e">
        <f>D7/F7</f>
        <v>#DIV/0!</v>
      </c>
      <c r="AB7" s="771" t="e">
        <f>D7/H7</f>
        <v>#DIV/0!</v>
      </c>
      <c r="AC7" s="2669" t="e">
        <f>D7/J7</f>
        <v>#DIV/0!</v>
      </c>
    </row>
    <row r="8" spans="1:29" s="116" customFormat="1" ht="15.75" thickBot="1">
      <c r="A8" s="408" t="s">
        <v>2534</v>
      </c>
      <c r="B8" s="409"/>
      <c r="C8" s="414" t="s">
        <v>2636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1" t="s">
        <v>2536</v>
      </c>
      <c r="Q8" s="3180"/>
      <c r="R8" s="768" t="s">
        <v>17</v>
      </c>
      <c r="S8" s="769">
        <f t="shared" si="0"/>
        <v>0</v>
      </c>
      <c r="T8" s="768" t="s">
        <v>17</v>
      </c>
      <c r="U8" s="769">
        <f t="shared" si="1"/>
        <v>0</v>
      </c>
      <c r="V8" s="768" t="s">
        <v>17</v>
      </c>
      <c r="W8" s="769">
        <f t="shared" si="2"/>
        <v>0</v>
      </c>
      <c r="X8" s="770"/>
      <c r="Y8" s="3179" t="s">
        <v>2536</v>
      </c>
      <c r="Z8" s="3180"/>
      <c r="AA8" s="771" t="e">
        <f t="shared" ref="AA8:AA47" si="3">D8/F8</f>
        <v>#DIV/0!</v>
      </c>
      <c r="AB8" s="771" t="e">
        <f t="shared" ref="AB8:AB47" si="4">D8/H8</f>
        <v>#DIV/0!</v>
      </c>
      <c r="AC8" s="2669" t="e">
        <f t="shared" ref="AC8:AC47" si="5">D8/J8</f>
        <v>#DIV/0!</v>
      </c>
    </row>
    <row r="9" spans="1:29" s="116" customFormat="1">
      <c r="A9" s="415" t="s">
        <v>2537</v>
      </c>
      <c r="B9" s="70" t="s">
        <v>2538</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154" t="s">
        <v>2539</v>
      </c>
      <c r="Q9" s="1796" t="str">
        <f t="shared" ref="Q9:Q15" si="6">B9</f>
        <v>用途</v>
      </c>
      <c r="R9" s="768" t="s">
        <v>17</v>
      </c>
      <c r="S9" s="769">
        <f t="shared" si="0"/>
        <v>100</v>
      </c>
      <c r="T9" s="768" t="s">
        <v>17</v>
      </c>
      <c r="U9" s="769">
        <f t="shared" si="1"/>
        <v>100</v>
      </c>
      <c r="V9" s="768" t="s">
        <v>17</v>
      </c>
      <c r="W9" s="769">
        <f t="shared" si="2"/>
        <v>100</v>
      </c>
      <c r="X9" s="770"/>
      <c r="Y9" s="2998" t="s">
        <v>2540</v>
      </c>
      <c r="Z9" s="54" t="str">
        <f t="shared" ref="Z9:Z15" si="7">Q9</f>
        <v>用途</v>
      </c>
      <c r="AA9" s="771">
        <f t="shared" si="3"/>
        <v>1</v>
      </c>
      <c r="AB9" s="771">
        <f t="shared" si="4"/>
        <v>1</v>
      </c>
      <c r="AC9" s="2669">
        <f t="shared" si="5"/>
        <v>1</v>
      </c>
    </row>
    <row r="10" spans="1:29" s="427" customFormat="1" ht="27">
      <c r="A10" s="421"/>
      <c r="B10" s="422" t="s">
        <v>2541</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154"/>
      <c r="Q10" s="1796" t="str">
        <f t="shared" si="6"/>
        <v>土地使用年限（年）</v>
      </c>
      <c r="R10" s="768" t="s">
        <v>17</v>
      </c>
      <c r="S10" s="769">
        <f t="shared" si="0"/>
        <v>100</v>
      </c>
      <c r="T10" s="768" t="s">
        <v>17</v>
      </c>
      <c r="U10" s="769">
        <f t="shared" si="1"/>
        <v>100</v>
      </c>
      <c r="V10" s="768" t="s">
        <v>17</v>
      </c>
      <c r="W10" s="769">
        <f t="shared" si="2"/>
        <v>100</v>
      </c>
      <c r="X10" s="770"/>
      <c r="Y10" s="2998"/>
      <c r="Z10" s="54" t="str">
        <f t="shared" si="7"/>
        <v>土地使用年限（年）</v>
      </c>
      <c r="AA10" s="771">
        <f t="shared" si="3"/>
        <v>1</v>
      </c>
      <c r="AB10" s="771">
        <f t="shared" si="4"/>
        <v>1</v>
      </c>
      <c r="AC10" s="2669">
        <f t="shared" si="5"/>
        <v>1</v>
      </c>
    </row>
    <row r="11" spans="1:29" ht="15">
      <c r="A11" s="428"/>
      <c r="B11" s="422" t="s">
        <v>2542</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154"/>
      <c r="Q11" s="1796" t="str">
        <f t="shared" si="6"/>
        <v>容积率</v>
      </c>
      <c r="R11" s="768" t="s">
        <v>17</v>
      </c>
      <c r="S11" s="769" t="e">
        <f t="shared" si="0"/>
        <v>#N/A</v>
      </c>
      <c r="T11" s="768" t="s">
        <v>17</v>
      </c>
      <c r="U11" s="769" t="e">
        <f t="shared" si="1"/>
        <v>#N/A</v>
      </c>
      <c r="V11" s="768" t="s">
        <v>17</v>
      </c>
      <c r="W11" s="769" t="e">
        <f t="shared" si="2"/>
        <v>#N/A</v>
      </c>
      <c r="X11" s="770"/>
      <c r="Y11" s="2998"/>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154"/>
      <c r="Q12" s="1796">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154"/>
      <c r="Q13" s="1796">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154"/>
      <c r="Q14" s="1796">
        <f t="shared" si="6"/>
        <v>111</v>
      </c>
      <c r="R14" s="768" t="s">
        <v>17</v>
      </c>
      <c r="S14" s="769">
        <f t="shared" si="0"/>
        <v>100</v>
      </c>
      <c r="T14" s="768" t="s">
        <v>17</v>
      </c>
      <c r="U14" s="769">
        <f t="shared" si="1"/>
        <v>100</v>
      </c>
      <c r="V14" s="768" t="s">
        <v>17</v>
      </c>
      <c r="W14" s="769">
        <f t="shared" si="2"/>
        <v>100</v>
      </c>
      <c r="X14" s="770"/>
      <c r="Y14" s="2998"/>
      <c r="Z14" s="54">
        <f t="shared" si="7"/>
        <v>111</v>
      </c>
      <c r="AA14" s="771">
        <f t="shared" si="3"/>
        <v>1</v>
      </c>
      <c r="AB14" s="771">
        <f t="shared" si="4"/>
        <v>1</v>
      </c>
      <c r="AC14" s="2669">
        <f t="shared" si="5"/>
        <v>1</v>
      </c>
    </row>
    <row r="15" spans="1:29" ht="15">
      <c r="A15" s="440" t="s">
        <v>2543</v>
      </c>
      <c r="B15" s="627" t="s">
        <v>2670</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52" t="s">
        <v>2544</v>
      </c>
      <c r="Q15" s="1811" t="str">
        <f t="shared" si="6"/>
        <v>办公集聚程度</v>
      </c>
      <c r="R15" s="772" t="s">
        <v>17</v>
      </c>
      <c r="S15" s="773">
        <f t="shared" si="0"/>
        <v>100</v>
      </c>
      <c r="T15" s="772" t="s">
        <v>17</v>
      </c>
      <c r="U15" s="773">
        <f t="shared" si="1"/>
        <v>100</v>
      </c>
      <c r="V15" s="772" t="s">
        <v>17</v>
      </c>
      <c r="W15" s="773">
        <f t="shared" si="2"/>
        <v>100</v>
      </c>
      <c r="X15" s="1814"/>
      <c r="Y15" s="3145" t="s">
        <v>2544</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153"/>
      <c r="Q16" s="1811"/>
      <c r="R16" s="772"/>
      <c r="S16" s="773"/>
      <c r="T16" s="772"/>
      <c r="U16" s="773"/>
      <c r="V16" s="772"/>
      <c r="W16" s="773"/>
      <c r="X16" s="1814"/>
      <c r="Y16" s="3146"/>
      <c r="Z16" s="1815"/>
      <c r="AA16" s="1812">
        <v>1</v>
      </c>
      <c r="AB16" s="1812">
        <v>1</v>
      </c>
      <c r="AC16" s="2672">
        <v>1</v>
      </c>
    </row>
    <row r="17" spans="1:29" ht="57">
      <c r="A17" s="428"/>
      <c r="B17" s="629" t="s">
        <v>2090</v>
      </c>
      <c r="C17" s="2673" t="str">
        <f>估价对象房地状况!C6</f>
        <v>周边有302、快速直达专线102路等公交线路，交通便捷度一般。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53"/>
      <c r="Q17" s="1811" t="str">
        <f>B17</f>
        <v>交通便捷度</v>
      </c>
      <c r="R17" s="772" t="s">
        <v>17</v>
      </c>
      <c r="S17" s="773">
        <f>F17</f>
        <v>100</v>
      </c>
      <c r="T17" s="772" t="s">
        <v>17</v>
      </c>
      <c r="U17" s="773">
        <f>H17</f>
        <v>100</v>
      </c>
      <c r="V17" s="772" t="s">
        <v>17</v>
      </c>
      <c r="W17" s="773">
        <f>J17</f>
        <v>100</v>
      </c>
      <c r="X17" s="1814"/>
      <c r="Y17" s="3146"/>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153"/>
      <c r="Q18" s="1811"/>
      <c r="R18" s="772"/>
      <c r="S18" s="773"/>
      <c r="T18" s="772"/>
      <c r="U18" s="773"/>
      <c r="V18" s="772"/>
      <c r="W18" s="773"/>
      <c r="X18" s="1814"/>
      <c r="Y18" s="3146"/>
      <c r="Z18" s="1815"/>
      <c r="AA18" s="1812">
        <v>1</v>
      </c>
      <c r="AB18" s="1812">
        <v>1</v>
      </c>
      <c r="AC18" s="2672">
        <v>1</v>
      </c>
    </row>
    <row r="19" spans="1:29" ht="71.25">
      <c r="A19" s="428"/>
      <c r="B19" s="629" t="s">
        <v>2671</v>
      </c>
      <c r="C19" s="2673" t="str">
        <f>估价对象房地状况!C7</f>
        <v>估价对象周边无银行、商场、学校、医院，有社区超市等，公共配套设施较差。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53"/>
      <c r="Q19" s="1811" t="str">
        <f>B19</f>
        <v>公共配套设施</v>
      </c>
      <c r="R19" s="772" t="s">
        <v>17</v>
      </c>
      <c r="S19" s="773">
        <f>F19</f>
        <v>100</v>
      </c>
      <c r="T19" s="772" t="s">
        <v>17</v>
      </c>
      <c r="U19" s="773">
        <f>H19</f>
        <v>100</v>
      </c>
      <c r="V19" s="772" t="s">
        <v>17</v>
      </c>
      <c r="W19" s="773">
        <f>J19</f>
        <v>100</v>
      </c>
      <c r="X19" s="1814"/>
      <c r="Y19" s="3146"/>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153"/>
      <c r="Q20" s="1811"/>
      <c r="R20" s="772"/>
      <c r="S20" s="773"/>
      <c r="T20" s="772"/>
      <c r="U20" s="773"/>
      <c r="V20" s="772"/>
      <c r="W20" s="773"/>
      <c r="X20" s="1814"/>
      <c r="Y20" s="3146"/>
      <c r="Z20" s="1815"/>
      <c r="AA20" s="1812">
        <v>1</v>
      </c>
      <c r="AB20" s="1812">
        <v>1</v>
      </c>
      <c r="AC20" s="2672">
        <v>1</v>
      </c>
    </row>
    <row r="21" spans="1:29" ht="42.75">
      <c r="A21" s="428"/>
      <c r="B21" s="631" t="s">
        <v>2672</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53"/>
      <c r="Q21" s="1811" t="str">
        <f>B21</f>
        <v>基础设施水平</v>
      </c>
      <c r="R21" s="772" t="s">
        <v>17</v>
      </c>
      <c r="S21" s="773">
        <f>F21</f>
        <v>100</v>
      </c>
      <c r="T21" s="772" t="s">
        <v>17</v>
      </c>
      <c r="U21" s="773">
        <f>H21</f>
        <v>100</v>
      </c>
      <c r="V21" s="772" t="s">
        <v>17</v>
      </c>
      <c r="W21" s="773">
        <f>J21</f>
        <v>100</v>
      </c>
      <c r="X21" s="1814"/>
      <c r="Y21" s="3146"/>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153"/>
      <c r="Q22" s="1811"/>
      <c r="R22" s="772"/>
      <c r="S22" s="773"/>
      <c r="T22" s="772"/>
      <c r="U22" s="773"/>
      <c r="V22" s="772"/>
      <c r="W22" s="773"/>
      <c r="X22" s="1814"/>
      <c r="Y22" s="3146"/>
      <c r="Z22" s="1815"/>
      <c r="AA22" s="1812">
        <v>1</v>
      </c>
      <c r="AB22" s="1812">
        <v>1</v>
      </c>
      <c r="AC22" s="2672">
        <v>1</v>
      </c>
    </row>
    <row r="23" spans="1:29" ht="57">
      <c r="A23" s="428"/>
      <c r="B23" s="629" t="s">
        <v>2673</v>
      </c>
      <c r="C23" s="2673" t="str">
        <f>估价对象房地状况!C9</f>
        <v>周边绿化均为城市绿化，无高等教育机构等，综合评价环境状况一般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53"/>
      <c r="Q23" s="1811" t="str">
        <f>B23</f>
        <v>环境质量</v>
      </c>
      <c r="R23" s="772" t="s">
        <v>17</v>
      </c>
      <c r="S23" s="773">
        <f>F23</f>
        <v>100</v>
      </c>
      <c r="T23" s="772" t="s">
        <v>17</v>
      </c>
      <c r="U23" s="773">
        <f>H23</f>
        <v>100</v>
      </c>
      <c r="V23" s="772" t="s">
        <v>17</v>
      </c>
      <c r="W23" s="773">
        <f>J23</f>
        <v>100</v>
      </c>
      <c r="X23" s="1814"/>
      <c r="Y23" s="3146"/>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153"/>
      <c r="Q24" s="1811"/>
      <c r="R24" s="772"/>
      <c r="S24" s="773"/>
      <c r="T24" s="772"/>
      <c r="U24" s="773"/>
      <c r="V24" s="772"/>
      <c r="W24" s="773"/>
      <c r="X24" s="1814"/>
      <c r="Y24" s="3146"/>
      <c r="Z24" s="1815"/>
      <c r="AA24" s="1812">
        <v>1</v>
      </c>
      <c r="AB24" s="1812">
        <v>1</v>
      </c>
      <c r="AC24" s="2672">
        <v>1</v>
      </c>
    </row>
    <row r="25" spans="1:29" ht="27">
      <c r="A25" s="404"/>
      <c r="B25" s="629" t="s">
        <v>2674</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53"/>
      <c r="Q25" s="1811" t="str">
        <f>B25</f>
        <v>毗邻道路的类型与等级</v>
      </c>
      <c r="R25" s="772" t="s">
        <v>17</v>
      </c>
      <c r="S25" s="773">
        <f>F25</f>
        <v>100</v>
      </c>
      <c r="T25" s="772" t="s">
        <v>17</v>
      </c>
      <c r="U25" s="773">
        <f>H25</f>
        <v>100</v>
      </c>
      <c r="V25" s="772" t="s">
        <v>17</v>
      </c>
      <c r="W25" s="773">
        <f>J25</f>
        <v>100</v>
      </c>
      <c r="X25" s="1814"/>
      <c r="Y25" s="3146"/>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153"/>
      <c r="Q26" s="1811"/>
      <c r="R26" s="772"/>
      <c r="S26" s="773"/>
      <c r="T26" s="772"/>
      <c r="U26" s="773"/>
      <c r="V26" s="772"/>
      <c r="W26" s="773"/>
      <c r="X26" s="1814"/>
      <c r="Y26" s="3146"/>
      <c r="Z26" s="1815"/>
      <c r="AA26" s="1812">
        <v>1</v>
      </c>
      <c r="AB26" s="1812">
        <v>1</v>
      </c>
      <c r="AC26" s="2672">
        <v>1</v>
      </c>
    </row>
    <row r="27" spans="1:29" ht="15">
      <c r="A27" s="428"/>
      <c r="B27" s="630" t="s">
        <v>2642</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153"/>
      <c r="Q27" s="1811" t="str">
        <f t="shared" ref="Q27:Q47" si="11">B27</f>
        <v>楼层</v>
      </c>
      <c r="R27" s="772" t="s">
        <v>17</v>
      </c>
      <c r="S27" s="773">
        <f>F27</f>
        <v>100</v>
      </c>
      <c r="T27" s="772" t="s">
        <v>17</v>
      </c>
      <c r="U27" s="773">
        <f>H27</f>
        <v>100</v>
      </c>
      <c r="V27" s="772" t="s">
        <v>17</v>
      </c>
      <c r="W27" s="773">
        <f>J27</f>
        <v>100</v>
      </c>
      <c r="X27" s="1814"/>
      <c r="Y27" s="3146"/>
      <c r="Z27" s="1815" t="str">
        <f>Q27</f>
        <v>楼层</v>
      </c>
      <c r="AA27" s="1812">
        <f t="shared" si="3"/>
        <v>1</v>
      </c>
      <c r="AB27" s="1812">
        <f t="shared" si="4"/>
        <v>1</v>
      </c>
      <c r="AC27" s="2672">
        <f t="shared" si="5"/>
        <v>1</v>
      </c>
    </row>
    <row r="28" spans="1:29" s="116" customFormat="1" ht="15">
      <c r="A28" s="431"/>
      <c r="B28" s="629" t="s">
        <v>2675</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53"/>
      <c r="Q28" s="1796" t="str">
        <f t="shared" si="11"/>
        <v>朝向</v>
      </c>
      <c r="R28" s="768" t="s">
        <v>17</v>
      </c>
      <c r="S28" s="769">
        <f>F28</f>
        <v>100</v>
      </c>
      <c r="T28" s="768" t="s">
        <v>17</v>
      </c>
      <c r="U28" s="769">
        <f>H28</f>
        <v>100</v>
      </c>
      <c r="V28" s="768" t="s">
        <v>17</v>
      </c>
      <c r="W28" s="769">
        <f>J28</f>
        <v>100</v>
      </c>
      <c r="X28" s="770"/>
      <c r="Y28" s="3146"/>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53"/>
      <c r="Q29" s="1811">
        <f t="shared" si="11"/>
        <v>111</v>
      </c>
      <c r="R29" s="772" t="s">
        <v>17</v>
      </c>
      <c r="S29" s="773">
        <f t="shared" ref="S29:S47" si="12">F29</f>
        <v>100</v>
      </c>
      <c r="T29" s="772" t="s">
        <v>17</v>
      </c>
      <c r="U29" s="773">
        <f t="shared" ref="U29:U47" si="13">H29</f>
        <v>100</v>
      </c>
      <c r="V29" s="772" t="s">
        <v>17</v>
      </c>
      <c r="W29" s="773">
        <f t="shared" ref="W29:W47" si="14">J29</f>
        <v>100</v>
      </c>
      <c r="X29" s="1814"/>
      <c r="Y29" s="3146"/>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53"/>
      <c r="Q30" s="1811">
        <f t="shared" si="11"/>
        <v>111</v>
      </c>
      <c r="R30" s="772" t="s">
        <v>17</v>
      </c>
      <c r="S30" s="773">
        <f t="shared" si="12"/>
        <v>100</v>
      </c>
      <c r="T30" s="772" t="s">
        <v>17</v>
      </c>
      <c r="U30" s="773">
        <f t="shared" si="13"/>
        <v>100</v>
      </c>
      <c r="V30" s="772" t="s">
        <v>17</v>
      </c>
      <c r="W30" s="773">
        <f t="shared" si="14"/>
        <v>100</v>
      </c>
      <c r="X30" s="1814"/>
      <c r="Y30" s="3146"/>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53"/>
      <c r="Q31" s="1811">
        <f t="shared" si="11"/>
        <v>111</v>
      </c>
      <c r="R31" s="772" t="s">
        <v>17</v>
      </c>
      <c r="S31" s="773">
        <f t="shared" si="12"/>
        <v>100</v>
      </c>
      <c r="T31" s="772" t="s">
        <v>17</v>
      </c>
      <c r="U31" s="773">
        <f t="shared" si="13"/>
        <v>100</v>
      </c>
      <c r="V31" s="772" t="s">
        <v>17</v>
      </c>
      <c r="W31" s="773">
        <f t="shared" si="14"/>
        <v>100</v>
      </c>
      <c r="X31" s="1814"/>
      <c r="Y31" s="3146"/>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53"/>
      <c r="Q32" s="1811">
        <f t="shared" si="11"/>
        <v>111</v>
      </c>
      <c r="R32" s="772" t="s">
        <v>17</v>
      </c>
      <c r="S32" s="773">
        <f t="shared" si="12"/>
        <v>100</v>
      </c>
      <c r="T32" s="772" t="s">
        <v>17</v>
      </c>
      <c r="U32" s="773">
        <f t="shared" si="13"/>
        <v>100</v>
      </c>
      <c r="V32" s="772" t="s">
        <v>17</v>
      </c>
      <c r="W32" s="773">
        <f t="shared" si="14"/>
        <v>100</v>
      </c>
      <c r="X32" s="1814"/>
      <c r="Y32" s="3146"/>
      <c r="Z32" s="1815">
        <f t="shared" si="15"/>
        <v>111</v>
      </c>
      <c r="AA32" s="1812">
        <f t="shared" si="3"/>
        <v>1</v>
      </c>
      <c r="AB32" s="1812">
        <f t="shared" si="4"/>
        <v>1</v>
      </c>
      <c r="AC32" s="2672">
        <f t="shared" si="5"/>
        <v>1</v>
      </c>
    </row>
    <row r="33" spans="1:29" ht="15">
      <c r="A33" s="440" t="s">
        <v>2547</v>
      </c>
      <c r="B33" s="70" t="s">
        <v>2676</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47" t="s">
        <v>2549</v>
      </c>
      <c r="Q33" s="1811" t="str">
        <f t="shared" si="11"/>
        <v>建筑类型</v>
      </c>
      <c r="R33" s="772" t="s">
        <v>17</v>
      </c>
      <c r="S33" s="773">
        <f t="shared" si="12"/>
        <v>100</v>
      </c>
      <c r="T33" s="772" t="s">
        <v>17</v>
      </c>
      <c r="U33" s="773">
        <f t="shared" si="13"/>
        <v>100</v>
      </c>
      <c r="V33" s="772" t="s">
        <v>17</v>
      </c>
      <c r="W33" s="773">
        <f t="shared" si="14"/>
        <v>100</v>
      </c>
      <c r="X33" s="1814"/>
      <c r="Y33" s="3150" t="s">
        <v>2549</v>
      </c>
      <c r="Z33" s="1815" t="str">
        <f t="shared" si="15"/>
        <v>建筑类型</v>
      </c>
      <c r="AA33" s="1812">
        <f t="shared" si="3"/>
        <v>1</v>
      </c>
      <c r="AB33" s="1812">
        <f t="shared" si="4"/>
        <v>1</v>
      </c>
      <c r="AC33" s="2672">
        <f t="shared" si="5"/>
        <v>1</v>
      </c>
    </row>
    <row r="34" spans="1:29" s="471" customFormat="1" ht="15">
      <c r="A34" s="468"/>
      <c r="B34" s="422" t="s">
        <v>2550</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148"/>
      <c r="Q34" s="774" t="str">
        <f t="shared" si="11"/>
        <v>项目建筑规模</v>
      </c>
      <c r="R34" s="775" t="s">
        <v>17</v>
      </c>
      <c r="S34" s="776" t="e">
        <f t="shared" si="12"/>
        <v>#N/A</v>
      </c>
      <c r="T34" s="775" t="s">
        <v>17</v>
      </c>
      <c r="U34" s="776" t="e">
        <f t="shared" si="13"/>
        <v>#N/A</v>
      </c>
      <c r="V34" s="775" t="s">
        <v>17</v>
      </c>
      <c r="W34" s="776" t="e">
        <f t="shared" si="14"/>
        <v>#N/A</v>
      </c>
      <c r="X34" s="777"/>
      <c r="Y34" s="3150"/>
      <c r="Z34" s="778" t="str">
        <f t="shared" si="15"/>
        <v>项目建筑规模</v>
      </c>
      <c r="AA34" s="1812" t="e">
        <f t="shared" si="3"/>
        <v>#N/A</v>
      </c>
      <c r="AB34" s="1812" t="e">
        <f t="shared" si="4"/>
        <v>#N/A</v>
      </c>
      <c r="AC34" s="2672" t="e">
        <f t="shared" si="5"/>
        <v>#N/A</v>
      </c>
    </row>
    <row r="35" spans="1:29" ht="15">
      <c r="A35" s="472"/>
      <c r="B35" s="422" t="s">
        <v>2551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48"/>
      <c r="Q35" s="1811" t="str">
        <f t="shared" si="11"/>
        <v>建筑结构</v>
      </c>
      <c r="R35" s="772" t="s">
        <v>17</v>
      </c>
      <c r="S35" s="773">
        <f t="shared" si="12"/>
        <v>100</v>
      </c>
      <c r="T35" s="772" t="s">
        <v>17</v>
      </c>
      <c r="U35" s="773">
        <f t="shared" si="13"/>
        <v>100</v>
      </c>
      <c r="V35" s="772" t="s">
        <v>17</v>
      </c>
      <c r="W35" s="773">
        <f t="shared" si="14"/>
        <v>100</v>
      </c>
      <c r="X35" s="1814"/>
      <c r="Y35" s="3150"/>
      <c r="Z35" s="1815" t="str">
        <f t="shared" si="15"/>
        <v>建筑结构</v>
      </c>
      <c r="AA35" s="1812">
        <f t="shared" si="3"/>
        <v>1</v>
      </c>
      <c r="AB35" s="1812">
        <f t="shared" si="4"/>
        <v>1</v>
      </c>
      <c r="AC35" s="2672">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48"/>
      <c r="Q36" s="1811" t="str">
        <f t="shared" si="11"/>
        <v>公共部分装修</v>
      </c>
      <c r="R36" s="772" t="s">
        <v>17</v>
      </c>
      <c r="S36" s="773">
        <f t="shared" si="12"/>
        <v>100</v>
      </c>
      <c r="T36" s="772" t="s">
        <v>17</v>
      </c>
      <c r="U36" s="773">
        <f t="shared" si="13"/>
        <v>100</v>
      </c>
      <c r="V36" s="772" t="s">
        <v>17</v>
      </c>
      <c r="W36" s="773">
        <f t="shared" si="14"/>
        <v>100</v>
      </c>
      <c r="X36" s="1814"/>
      <c r="Y36" s="3150"/>
      <c r="Z36" s="1815" t="str">
        <f t="shared" si="15"/>
        <v>公共部分装修</v>
      </c>
      <c r="AA36" s="1812">
        <f t="shared" si="3"/>
        <v>1</v>
      </c>
      <c r="AB36" s="1812">
        <f t="shared" si="4"/>
        <v>1</v>
      </c>
      <c r="AC36" s="2672">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48"/>
      <c r="Q37" s="1811" t="str">
        <f t="shared" si="11"/>
        <v>成新度</v>
      </c>
      <c r="R37" s="772" t="s">
        <v>17</v>
      </c>
      <c r="S37" s="773" t="e">
        <f t="shared" si="12"/>
        <v>#N/A</v>
      </c>
      <c r="T37" s="772" t="s">
        <v>17</v>
      </c>
      <c r="U37" s="773" t="e">
        <f t="shared" si="13"/>
        <v>#N/A</v>
      </c>
      <c r="V37" s="772" t="s">
        <v>17</v>
      </c>
      <c r="W37" s="773" t="e">
        <f t="shared" si="14"/>
        <v>#N/A</v>
      </c>
      <c r="X37" s="1814"/>
      <c r="Y37" s="3150"/>
      <c r="Z37" s="1815" t="str">
        <f t="shared" si="15"/>
        <v>成新度</v>
      </c>
      <c r="AA37" s="1812" t="e">
        <f t="shared" si="3"/>
        <v>#N/A</v>
      </c>
      <c r="AB37" s="1812" t="e">
        <f t="shared" si="4"/>
        <v>#N/A</v>
      </c>
      <c r="AC37" s="2672" t="e">
        <f t="shared" si="5"/>
        <v>#N/A</v>
      </c>
    </row>
    <row r="38" spans="1:29" s="116" customFormat="1" ht="15">
      <c r="A38" s="473"/>
      <c r="B38" s="422" t="s">
        <v>2677</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48"/>
      <c r="Q38" s="1796" t="str">
        <f t="shared" si="11"/>
        <v>写字楼等级</v>
      </c>
      <c r="R38" s="768" t="s">
        <v>17</v>
      </c>
      <c r="S38" s="769">
        <f t="shared" si="12"/>
        <v>100</v>
      </c>
      <c r="T38" s="768" t="s">
        <v>17</v>
      </c>
      <c r="U38" s="769">
        <f t="shared" si="13"/>
        <v>100</v>
      </c>
      <c r="V38" s="768" t="s">
        <v>17</v>
      </c>
      <c r="W38" s="769">
        <f t="shared" si="14"/>
        <v>100</v>
      </c>
      <c r="X38" s="770"/>
      <c r="Y38" s="3150"/>
      <c r="Z38" s="54" t="str">
        <f t="shared" si="15"/>
        <v>写字楼等级</v>
      </c>
      <c r="AA38" s="771">
        <f t="shared" si="3"/>
        <v>1</v>
      </c>
      <c r="AB38" s="771">
        <f t="shared" si="4"/>
        <v>1</v>
      </c>
      <c r="AC38" s="2669">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48" t="s">
        <v>2549</v>
      </c>
      <c r="Q39" s="1811" t="str">
        <f t="shared" si="11"/>
        <v>物业管理</v>
      </c>
      <c r="R39" s="772" t="s">
        <v>17</v>
      </c>
      <c r="S39" s="773">
        <f t="shared" si="12"/>
        <v>100</v>
      </c>
      <c r="T39" s="772" t="s">
        <v>17</v>
      </c>
      <c r="U39" s="773">
        <f t="shared" si="13"/>
        <v>100</v>
      </c>
      <c r="V39" s="772" t="s">
        <v>17</v>
      </c>
      <c r="W39" s="773">
        <f t="shared" si="14"/>
        <v>100</v>
      </c>
      <c r="X39" s="1814"/>
      <c r="Y39" s="3150" t="s">
        <v>2549</v>
      </c>
      <c r="Z39" s="1815" t="str">
        <f t="shared" si="15"/>
        <v>物业管理</v>
      </c>
      <c r="AA39" s="1812">
        <f t="shared" si="3"/>
        <v>1</v>
      </c>
      <c r="AB39" s="1812">
        <f t="shared" si="4"/>
        <v>1</v>
      </c>
      <c r="AC39" s="2672">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48"/>
      <c r="Q40" s="1811" t="str">
        <f t="shared" si="11"/>
        <v>市政基础设施</v>
      </c>
      <c r="R40" s="772" t="s">
        <v>17</v>
      </c>
      <c r="S40" s="773">
        <f t="shared" si="12"/>
        <v>100</v>
      </c>
      <c r="T40" s="772" t="s">
        <v>17</v>
      </c>
      <c r="U40" s="773">
        <f t="shared" si="13"/>
        <v>100</v>
      </c>
      <c r="V40" s="772" t="s">
        <v>17</v>
      </c>
      <c r="W40" s="773">
        <f t="shared" si="14"/>
        <v>100</v>
      </c>
      <c r="X40" s="1814"/>
      <c r="Y40" s="3150"/>
      <c r="Z40" s="1815" t="str">
        <f t="shared" si="15"/>
        <v>市政基础设施</v>
      </c>
      <c r="AA40" s="1812">
        <f t="shared" si="3"/>
        <v>1</v>
      </c>
      <c r="AB40" s="1812">
        <f t="shared" si="4"/>
        <v>1</v>
      </c>
      <c r="AC40" s="2672">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48"/>
      <c r="Q41" s="1811" t="str">
        <f t="shared" si="11"/>
        <v>层高</v>
      </c>
      <c r="R41" s="772" t="s">
        <v>17</v>
      </c>
      <c r="S41" s="773">
        <f t="shared" si="12"/>
        <v>100</v>
      </c>
      <c r="T41" s="772" t="s">
        <v>17</v>
      </c>
      <c r="U41" s="773">
        <f t="shared" si="13"/>
        <v>100</v>
      </c>
      <c r="V41" s="772" t="s">
        <v>17</v>
      </c>
      <c r="W41" s="773">
        <f t="shared" si="14"/>
        <v>100</v>
      </c>
      <c r="X41" s="1814"/>
      <c r="Y41" s="3150"/>
      <c r="Z41" s="1815" t="str">
        <f t="shared" si="15"/>
        <v>层高</v>
      </c>
      <c r="AA41" s="1812">
        <f t="shared" si="3"/>
        <v>1</v>
      </c>
      <c r="AB41" s="1812">
        <f t="shared" si="4"/>
        <v>1</v>
      </c>
      <c r="AC41" s="2672">
        <f t="shared" si="5"/>
        <v>1</v>
      </c>
    </row>
    <row r="42" spans="1:29" s="471" customFormat="1" ht="15">
      <c r="A42" s="468"/>
      <c r="B42" s="1813"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48"/>
      <c r="Q42" s="774" t="str">
        <f t="shared" si="11"/>
        <v>单套建筑面积</v>
      </c>
      <c r="R42" s="775" t="s">
        <v>17</v>
      </c>
      <c r="S42" s="776">
        <f t="shared" si="12"/>
        <v>100</v>
      </c>
      <c r="T42" s="775" t="s">
        <v>17</v>
      </c>
      <c r="U42" s="776">
        <f t="shared" si="13"/>
        <v>100</v>
      </c>
      <c r="V42" s="775" t="s">
        <v>17</v>
      </c>
      <c r="W42" s="776">
        <f t="shared" si="14"/>
        <v>100</v>
      </c>
      <c r="X42" s="777"/>
      <c r="Y42" s="3150"/>
      <c r="Z42" s="778" t="str">
        <f t="shared" si="15"/>
        <v>单套建筑面积</v>
      </c>
      <c r="AA42" s="1812">
        <f t="shared" si="3"/>
        <v>1</v>
      </c>
      <c r="AB42" s="1812">
        <f t="shared" si="4"/>
        <v>1</v>
      </c>
      <c r="AC42" s="2672">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48"/>
      <c r="Q43" s="1811" t="str">
        <f t="shared" si="11"/>
        <v>内部装修</v>
      </c>
      <c r="R43" s="772" t="s">
        <v>17</v>
      </c>
      <c r="S43" s="773">
        <f t="shared" si="12"/>
        <v>100</v>
      </c>
      <c r="T43" s="772" t="s">
        <v>17</v>
      </c>
      <c r="U43" s="773">
        <f t="shared" si="13"/>
        <v>100</v>
      </c>
      <c r="V43" s="772" t="s">
        <v>17</v>
      </c>
      <c r="W43" s="773">
        <f t="shared" si="14"/>
        <v>100</v>
      </c>
      <c r="X43" s="1814"/>
      <c r="Y43" s="3150"/>
      <c r="Z43" s="1815" t="str">
        <f t="shared" si="15"/>
        <v>内部装修</v>
      </c>
      <c r="AA43" s="1812">
        <f t="shared" si="3"/>
        <v>1</v>
      </c>
      <c r="AB43" s="1812">
        <f t="shared" si="4"/>
        <v>1</v>
      </c>
      <c r="AC43" s="2672">
        <f t="shared" si="5"/>
        <v>1</v>
      </c>
    </row>
    <row r="44" spans="1:29" ht="15">
      <c r="A44" s="472"/>
      <c r="B44" s="422" t="s">
        <v>2560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48"/>
      <c r="Q44" s="1811" t="str">
        <f t="shared" si="11"/>
        <v>内部装修维护情况</v>
      </c>
      <c r="R44" s="772" t="s">
        <v>17</v>
      </c>
      <c r="S44" s="773">
        <f t="shared" si="12"/>
        <v>100</v>
      </c>
      <c r="T44" s="772" t="s">
        <v>17</v>
      </c>
      <c r="U44" s="773">
        <f t="shared" si="13"/>
        <v>100</v>
      </c>
      <c r="V44" s="772" t="s">
        <v>17</v>
      </c>
      <c r="W44" s="773">
        <f t="shared" si="14"/>
        <v>100</v>
      </c>
      <c r="X44" s="1814"/>
      <c r="Y44" s="3150"/>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148"/>
      <c r="Q45" s="1796">
        <f t="shared" si="11"/>
        <v>111</v>
      </c>
      <c r="R45" s="768" t="s">
        <v>17</v>
      </c>
      <c r="S45" s="769">
        <f t="shared" si="12"/>
        <v>100</v>
      </c>
      <c r="T45" s="768" t="s">
        <v>17</v>
      </c>
      <c r="U45" s="769">
        <f t="shared" si="13"/>
        <v>100</v>
      </c>
      <c r="V45" s="768" t="s">
        <v>17</v>
      </c>
      <c r="W45" s="769">
        <f t="shared" si="14"/>
        <v>100</v>
      </c>
      <c r="X45" s="770"/>
      <c r="Y45" s="3150"/>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48"/>
      <c r="Q46" s="1811">
        <f t="shared" si="11"/>
        <v>111</v>
      </c>
      <c r="R46" s="772" t="s">
        <v>17</v>
      </c>
      <c r="S46" s="773">
        <f t="shared" si="12"/>
        <v>100</v>
      </c>
      <c r="T46" s="772" t="s">
        <v>17</v>
      </c>
      <c r="U46" s="773">
        <f t="shared" si="13"/>
        <v>100</v>
      </c>
      <c r="V46" s="772" t="s">
        <v>17</v>
      </c>
      <c r="W46" s="773">
        <f t="shared" si="14"/>
        <v>100</v>
      </c>
      <c r="X46" s="1814"/>
      <c r="Y46" s="3150"/>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49"/>
      <c r="Q47" s="1811">
        <f t="shared" si="11"/>
        <v>111</v>
      </c>
      <c r="R47" s="772" t="s">
        <v>17</v>
      </c>
      <c r="S47" s="773">
        <f t="shared" si="12"/>
        <v>100</v>
      </c>
      <c r="T47" s="772" t="s">
        <v>17</v>
      </c>
      <c r="U47" s="773">
        <f t="shared" si="13"/>
        <v>100</v>
      </c>
      <c r="V47" s="772" t="s">
        <v>17</v>
      </c>
      <c r="W47" s="773">
        <f t="shared" si="14"/>
        <v>100</v>
      </c>
      <c r="X47" s="1814"/>
      <c r="Y47" s="3151"/>
      <c r="Z47" s="1815">
        <f t="shared" si="15"/>
        <v>111</v>
      </c>
      <c r="AA47" s="1812">
        <f t="shared" si="3"/>
        <v>1</v>
      </c>
      <c r="AB47" s="1812">
        <f t="shared" si="4"/>
        <v>1</v>
      </c>
      <c r="AC47" s="2672">
        <f t="shared" si="5"/>
        <v>1</v>
      </c>
    </row>
    <row r="48" spans="1:29" ht="15">
      <c r="A48" s="479" t="s">
        <v>2561</v>
      </c>
      <c r="B48" s="480"/>
      <c r="C48" s="1407" t="s">
        <v>1</v>
      </c>
      <c r="D48" s="1408"/>
      <c r="E48" s="1409"/>
      <c r="F48" s="1410"/>
      <c r="G48" s="1411"/>
      <c r="H48" s="1412"/>
      <c r="I48" s="1409"/>
      <c r="J48" s="485"/>
      <c r="K48" s="781"/>
      <c r="L48" s="1143"/>
      <c r="M48" s="1131"/>
      <c r="N48" s="1131"/>
      <c r="O48" s="1131"/>
      <c r="P48" s="3154" t="str">
        <f>A48</f>
        <v>成交单价（元/平方米）</v>
      </c>
      <c r="Q48" s="3143"/>
      <c r="R48" s="3144">
        <f>E48</f>
        <v>0</v>
      </c>
      <c r="S48" s="3144"/>
      <c r="T48" s="3144">
        <f>G48</f>
        <v>0</v>
      </c>
      <c r="U48" s="3144"/>
      <c r="V48" s="3144">
        <f>I48</f>
        <v>0</v>
      </c>
      <c r="W48" s="3144"/>
      <c r="X48" s="446"/>
      <c r="Y48" s="779"/>
      <c r="Z48" s="446"/>
      <c r="AA48" s="446"/>
      <c r="AB48" s="446"/>
      <c r="AC48" s="628"/>
    </row>
    <row r="49" spans="1:29" ht="15.75" thickBot="1">
      <c r="A49" s="486" t="s">
        <v>2652</v>
      </c>
      <c r="B49" s="487"/>
      <c r="C49" s="1413" t="e">
        <f>R50</f>
        <v>#DIV/0!</v>
      </c>
      <c r="D49" s="1414"/>
      <c r="E49" s="1415" t="e">
        <f>R49</f>
        <v>#DIV/0!</v>
      </c>
      <c r="F49" s="1415"/>
      <c r="G49" s="1413" t="e">
        <f>T49</f>
        <v>#DIV/0!</v>
      </c>
      <c r="H49" s="1414"/>
      <c r="I49" s="1415" t="e">
        <f>V49</f>
        <v>#DIV/0!</v>
      </c>
      <c r="J49" s="489"/>
      <c r="K49" s="782"/>
      <c r="L49" s="1143"/>
      <c r="M49" s="1131"/>
      <c r="N49" s="1131"/>
      <c r="O49" s="1131"/>
      <c r="P49" s="3154" t="str">
        <f>A49</f>
        <v>比较价值（元/平方米）</v>
      </c>
      <c r="Q49" s="3143"/>
      <c r="R49" s="3144" t="e">
        <f>IF(F1="售价",ROUND(PRODUCT(R48,AA7:AA47),0),ROUND(PRODUCT(R48,AA7:AA47),1))</f>
        <v>#DIV/0!</v>
      </c>
      <c r="S49" s="3144"/>
      <c r="T49" s="3144" t="e">
        <f>IF(F1="售价",ROUND(PRODUCT(T48,AB7:AB47),0),ROUND(PRODUCT(T48,AB7:AB47),1))</f>
        <v>#DIV/0!</v>
      </c>
      <c r="U49" s="3144"/>
      <c r="V49" s="3144" t="e">
        <f>IF(F1="售价",ROUND(PRODUCT(V48,AC7:AC47),0),ROUND(PRODUCT(V48,AC7:AC47),1))</f>
        <v>#DIV/0!</v>
      </c>
      <c r="W49" s="3144"/>
      <c r="X49" s="446"/>
      <c r="Y49" s="446"/>
      <c r="Z49" s="446"/>
      <c r="AA49" s="446"/>
      <c r="AB49" s="446"/>
      <c r="AC49" s="628"/>
    </row>
    <row r="50" spans="1:29" ht="15.75" thickBot="1">
      <c r="A50" s="492" t="s">
        <v>2653</v>
      </c>
      <c r="B50" s="493"/>
      <c r="C50" s="1417" t="e">
        <f>R50</f>
        <v>#DIV/0!</v>
      </c>
      <c r="D50" s="1417"/>
      <c r="E50" s="1417"/>
      <c r="F50" s="1417"/>
      <c r="G50" s="1417"/>
      <c r="H50" s="1417"/>
      <c r="I50" s="1417"/>
      <c r="J50" s="494"/>
      <c r="K50" s="783"/>
      <c r="L50" s="1143"/>
      <c r="M50" s="1131"/>
      <c r="N50" s="1131"/>
      <c r="O50" s="1131"/>
      <c r="P50" s="3217" t="str">
        <f>A50</f>
        <v>估价对象XX用房的比较价值（楼面单价，元/平方米）</v>
      </c>
      <c r="Q50" s="3218"/>
      <c r="R50" s="3219" t="e">
        <f>IF(F1="售价",ROUND(AVERAGE(R49:V49),0),ROUND(AVERAGE(R49:V49),1))</f>
        <v>#DIV/0!</v>
      </c>
      <c r="S50" s="3219"/>
      <c r="T50" s="3219"/>
      <c r="U50" s="3219"/>
      <c r="V50" s="3219"/>
      <c r="W50" s="3219"/>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2657</v>
      </c>
      <c r="B58" s="757"/>
      <c r="C58" s="762"/>
      <c r="D58" s="762"/>
      <c r="E58" s="762"/>
      <c r="F58" s="763"/>
      <c r="G58" s="763"/>
      <c r="H58" s="762"/>
      <c r="I58" s="762"/>
      <c r="J58" s="762"/>
      <c r="K58" s="764"/>
      <c r="L58" s="1161"/>
      <c r="M58" s="1159"/>
      <c r="N58" s="1159"/>
      <c r="O58" s="1159"/>
      <c r="P58" s="2679"/>
      <c r="Q58" s="504"/>
    </row>
    <row r="59" spans="1:29" s="508" customFormat="1" ht="15">
      <c r="A59" s="505" t="s">
        <v>2532</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2569</v>
      </c>
      <c r="B61" s="516"/>
      <c r="C61" s="517"/>
      <c r="D61" s="518"/>
      <c r="E61" s="518"/>
      <c r="F61" s="518"/>
      <c r="G61" s="518"/>
      <c r="H61" s="518"/>
      <c r="I61" s="518"/>
      <c r="J61" s="518"/>
      <c r="K61" s="518"/>
      <c r="L61" s="518"/>
      <c r="M61" s="519"/>
      <c r="N61" s="518"/>
      <c r="O61" s="519"/>
      <c r="P61" s="2680"/>
      <c r="Q61" s="504"/>
    </row>
    <row r="62" spans="1:29" s="116" customFormat="1" ht="15">
      <c r="A62" s="521" t="s">
        <v>2534</v>
      </c>
      <c r="B62" s="510"/>
      <c r="C62" s="522" t="s">
        <v>2636</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2572</v>
      </c>
      <c r="B64" s="528" t="s">
        <v>2538</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2541</v>
      </c>
      <c r="C66" s="539" t="s">
        <v>2573</v>
      </c>
      <c r="D66" s="539" t="s">
        <v>2574</v>
      </c>
      <c r="E66" s="539" t="s">
        <v>2575</v>
      </c>
      <c r="F66" s="539" t="s">
        <v>2576</v>
      </c>
      <c r="G66" s="539" t="s">
        <v>2577</v>
      </c>
      <c r="H66" s="539" t="s">
        <v>2578</v>
      </c>
      <c r="I66" s="539" t="s">
        <v>2579</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2543</v>
      </c>
      <c r="B77" s="528" t="s">
        <v>2680</v>
      </c>
      <c r="C77" s="573" t="s">
        <v>2581</v>
      </c>
      <c r="D77" s="573" t="s">
        <v>2582</v>
      </c>
      <c r="E77" s="573" t="s">
        <v>2583</v>
      </c>
      <c r="F77" s="573" t="s">
        <v>2584</v>
      </c>
      <c r="G77" s="573" t="s">
        <v>2585</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2586</v>
      </c>
      <c r="C79" s="578" t="s">
        <v>2581</v>
      </c>
      <c r="D79" s="578" t="s">
        <v>2582</v>
      </c>
      <c r="E79" s="578" t="s">
        <v>2583</v>
      </c>
      <c r="F79" s="578" t="s">
        <v>2584</v>
      </c>
      <c r="G79" s="578" t="s">
        <v>2585</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2587</v>
      </c>
      <c r="C81" s="578" t="s">
        <v>2581</v>
      </c>
      <c r="D81" s="578" t="s">
        <v>2582</v>
      </c>
      <c r="E81" s="578" t="s">
        <v>2583</v>
      </c>
      <c r="F81" s="578" t="s">
        <v>2584</v>
      </c>
      <c r="G81" s="578" t="s">
        <v>2585</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2672</v>
      </c>
      <c r="C83" s="658" t="s">
        <v>2658</v>
      </c>
      <c r="D83" s="658" t="s">
        <v>2659</v>
      </c>
      <c r="E83" s="658" t="s">
        <v>2660</v>
      </c>
      <c r="F83" s="658" t="s">
        <v>2661</v>
      </c>
      <c r="G83" s="658" t="s">
        <v>2662</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2681</v>
      </c>
      <c r="C85" s="578" t="s">
        <v>2581</v>
      </c>
      <c r="D85" s="578" t="s">
        <v>2582</v>
      </c>
      <c r="E85" s="578" t="s">
        <v>2583</v>
      </c>
      <c r="F85" s="578" t="s">
        <v>2584</v>
      </c>
      <c r="G85" s="578" t="s">
        <v>2585</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2682</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2547</v>
      </c>
      <c r="B101" s="528" t="s">
        <v>2596</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2598</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2600</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2683</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2601</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2602</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2684</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2667</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2604</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2605</v>
      </c>
      <c r="C125" s="578" t="s">
        <v>2581</v>
      </c>
      <c r="D125" s="578" t="s">
        <v>2582</v>
      </c>
      <c r="E125" s="578" t="s">
        <v>2583</v>
      </c>
      <c r="F125" s="578" t="s">
        <v>2584</v>
      </c>
      <c r="G125" s="578" t="s">
        <v>2585</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三河天洋城房地产开发有限公司：</v>
      </c>
    </row>
    <row r="4" spans="1:1" ht="54">
      <c r="A4" s="1949" t="str">
        <f>"受贵公司委托，我公司对"&amp;项目基本情况!S1&amp;"进行了预评估。"</f>
        <v>受贵公司委托，我公司对河北省廊坊市三河市燕郊开发区迎宾南路东侧、南城大街南侧天洋城4代商业·荷塘月色时尚街区S9号楼房地产抵押价值进行了预评估。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南路东侧、南城大街南侧天洋城4代商业·荷塘月色时尚街区S9号楼房地产，为三河天洋城房地产开发有限公司所有。根据《国有土地使用权》[三国用（2013）第083号]，估价对象（分摊）出让国有建设用地使用权面积为6541.77平方米，建筑面积为4145.53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南路东侧、南城大街南侧天洋城4代商业·荷塘月色时尚街区S9号楼房地产,为三河天洋城房地产开发有限公司开发建设的商业项目，该项目尚在开发建设中。根据《国有土地使用权》[三国用（2013）第083号]，估价对象（分摊）出让国有建设用地使用权面积为6541.77平方米，规划建筑面积为4145.53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35.47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35.47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本次评估采用的主估价方法为基准地价系数修正法和收益法。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2512</v>
      </c>
      <c r="B1" s="2667" t="s">
        <v>2685</v>
      </c>
      <c r="C1" s="1621" t="s">
        <v>2514</v>
      </c>
      <c r="D1" s="1622"/>
      <c r="E1" s="1631"/>
      <c r="F1" s="2585"/>
      <c r="G1" s="1632" t="s">
        <v>2627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2311</v>
      </c>
      <c r="B2" s="1418" t="e">
        <f ca="1">IF(C2="——",ROUND(C43*D3/10000,0),ROUND(C43*D3/10000,0)-D2)</f>
        <v>#DIV/0!</v>
      </c>
      <c r="C2" s="2587"/>
      <c r="D2" s="1124" t="e">
        <f ca="1">SUMIF(INDIRECT("'"&amp;F2&amp;"'"&amp;"!A:A"),"承租人权益价值",INDIRECT("'"&amp;F2&amp;"'"&amp;"!c:c"))</f>
        <v>#REF!</v>
      </c>
      <c r="E2" s="2588" t="s">
        <v>2312</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2313</v>
      </c>
      <c r="B3" s="609" t="e">
        <f ca="1">IF(C2="——",C43,ROUND(B2*10000/D3,0))</f>
        <v>#DIV/0!</v>
      </c>
      <c r="C3" s="400" t="s">
        <v>2628</v>
      </c>
      <c r="D3" s="399">
        <f>IF(D1="",'数据-汇总表'!E3,SUMIF('数据-汇总表'!$C19:$C33,D1,'数据-汇总表'!$E19:$E33))</f>
        <v>4145.53</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68" t="s">
        <v>2631</v>
      </c>
      <c r="S4" s="3169"/>
      <c r="T4" s="3168" t="s">
        <v>2632</v>
      </c>
      <c r="U4" s="3169"/>
      <c r="V4" s="3174" t="s">
        <v>2633</v>
      </c>
      <c r="W4" s="3174"/>
      <c r="X4" s="1814"/>
      <c r="Y4" s="3168" t="s">
        <v>2635</v>
      </c>
      <c r="Z4" s="3169"/>
      <c r="AA4" s="3155" t="s">
        <v>2631</v>
      </c>
      <c r="AB4" s="3156" t="s">
        <v>2632</v>
      </c>
      <c r="AC4" s="3155" t="s">
        <v>2633</v>
      </c>
    </row>
    <row r="5" spans="1:29" ht="15">
      <c r="A5" s="404"/>
      <c r="B5" s="405"/>
      <c r="C5" s="3230" t="s">
        <v>2526</v>
      </c>
      <c r="D5" s="3178"/>
      <c r="E5" s="3233" t="s">
        <v>2527</v>
      </c>
      <c r="F5" s="3185"/>
      <c r="G5" s="3230" t="s">
        <v>2528</v>
      </c>
      <c r="H5" s="3178"/>
      <c r="I5" s="3230" t="s">
        <v>2529</v>
      </c>
      <c r="J5" s="3178"/>
      <c r="K5" s="610"/>
      <c r="L5" s="1130"/>
      <c r="M5" s="1131"/>
      <c r="N5" s="1131"/>
      <c r="O5" s="1131"/>
      <c r="P5" s="3164"/>
      <c r="Q5" s="3165"/>
      <c r="R5" s="3170"/>
      <c r="S5" s="3171"/>
      <c r="T5" s="3170"/>
      <c r="U5" s="3171"/>
      <c r="V5" s="3174"/>
      <c r="W5" s="3174"/>
      <c r="X5" s="1814"/>
      <c r="Y5" s="3170"/>
      <c r="Z5" s="3171"/>
      <c r="AA5" s="3156"/>
      <c r="AB5" s="3156"/>
      <c r="AC5" s="3156"/>
    </row>
    <row r="6" spans="1:29" ht="15.75" thickBot="1">
      <c r="A6" s="406"/>
      <c r="B6" s="407"/>
      <c r="C6" s="3175" t="s">
        <v>2530</v>
      </c>
      <c r="D6" s="3176"/>
      <c r="E6" s="3182" t="s">
        <v>2530</v>
      </c>
      <c r="F6" s="3183"/>
      <c r="G6" s="3175" t="s">
        <v>2530</v>
      </c>
      <c r="H6" s="3176"/>
      <c r="I6" s="3175" t="s">
        <v>2530</v>
      </c>
      <c r="J6" s="3176"/>
      <c r="K6" s="610" t="s">
        <v>2531</v>
      </c>
      <c r="L6" s="1130"/>
      <c r="M6" s="1131"/>
      <c r="N6" s="1131"/>
      <c r="O6" s="1131"/>
      <c r="P6" s="3166"/>
      <c r="Q6" s="3167"/>
      <c r="R6" s="3170"/>
      <c r="S6" s="3171"/>
      <c r="T6" s="3172"/>
      <c r="U6" s="3173"/>
      <c r="V6" s="3174"/>
      <c r="W6" s="3174"/>
      <c r="X6" s="1814"/>
      <c r="Y6" s="3172"/>
      <c r="Z6" s="3173"/>
      <c r="AA6" s="3157"/>
      <c r="AB6" s="3157"/>
      <c r="AC6" s="3157"/>
    </row>
    <row r="7" spans="1:29" s="116" customFormat="1" ht="15.75" thickBot="1">
      <c r="A7" s="408" t="s">
        <v>2532</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9" t="s">
        <v>2533</v>
      </c>
      <c r="Q7" s="3181"/>
      <c r="R7" s="768" t="s">
        <v>17</v>
      </c>
      <c r="S7" s="769">
        <f t="shared" ref="S7:S15" si="0">F7</f>
        <v>0</v>
      </c>
      <c r="T7" s="768" t="s">
        <v>17</v>
      </c>
      <c r="U7" s="769">
        <f t="shared" ref="U7:U15" si="1">H7</f>
        <v>0</v>
      </c>
      <c r="V7" s="768" t="s">
        <v>17</v>
      </c>
      <c r="W7" s="769">
        <f t="shared" ref="W7:W15" si="2">J7</f>
        <v>0</v>
      </c>
      <c r="X7" s="770"/>
      <c r="Y7" s="3179" t="s">
        <v>2533</v>
      </c>
      <c r="Z7" s="3180"/>
      <c r="AA7" s="771" t="e">
        <f>D7/F7</f>
        <v>#DIV/0!</v>
      </c>
      <c r="AB7" s="771" t="e">
        <f>D7/H7</f>
        <v>#DIV/0!</v>
      </c>
      <c r="AC7" s="771" t="e">
        <f>D7/J7</f>
        <v>#DIV/0!</v>
      </c>
    </row>
    <row r="8" spans="1:29" s="116" customFormat="1" ht="15.75" thickBot="1">
      <c r="A8" s="408" t="s">
        <v>2534</v>
      </c>
      <c r="B8" s="409"/>
      <c r="C8" s="414" t="s">
        <v>2535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9" t="s">
        <v>2536</v>
      </c>
      <c r="Q8" s="3180"/>
      <c r="R8" s="768" t="s">
        <v>17</v>
      </c>
      <c r="S8" s="769">
        <f t="shared" si="0"/>
        <v>0</v>
      </c>
      <c r="T8" s="768" t="s">
        <v>17</v>
      </c>
      <c r="U8" s="769">
        <f t="shared" si="1"/>
        <v>0</v>
      </c>
      <c r="V8" s="768" t="s">
        <v>17</v>
      </c>
      <c r="W8" s="769">
        <f t="shared" si="2"/>
        <v>0</v>
      </c>
      <c r="X8" s="770"/>
      <c r="Y8" s="3179" t="s">
        <v>2536</v>
      </c>
      <c r="Z8" s="3180"/>
      <c r="AA8" s="771" t="e">
        <f t="shared" ref="AA8:AA40" si="3">D8/F8</f>
        <v>#DIV/0!</v>
      </c>
      <c r="AB8" s="771" t="e">
        <f t="shared" ref="AB8:AB40" si="4">D8/H8</f>
        <v>#DIV/0!</v>
      </c>
      <c r="AC8" s="771" t="e">
        <f t="shared" ref="AC8:AC40" si="5">D8/J8</f>
        <v>#DIV/0!</v>
      </c>
    </row>
    <row r="9" spans="1:29" s="116" customFormat="1">
      <c r="A9" s="415" t="s">
        <v>2537</v>
      </c>
      <c r="B9" s="70" t="s">
        <v>2538</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43" t="s">
        <v>2539</v>
      </c>
      <c r="Q9" s="1796" t="str">
        <f t="shared" ref="Q9:Q15" si="6">B9</f>
        <v>用途</v>
      </c>
      <c r="R9" s="768" t="s">
        <v>17</v>
      </c>
      <c r="S9" s="769">
        <f t="shared" si="0"/>
        <v>100</v>
      </c>
      <c r="T9" s="768" t="s">
        <v>17</v>
      </c>
      <c r="U9" s="769">
        <f t="shared" si="1"/>
        <v>100</v>
      </c>
      <c r="V9" s="768" t="s">
        <v>17</v>
      </c>
      <c r="W9" s="769">
        <f t="shared" si="2"/>
        <v>100</v>
      </c>
      <c r="X9" s="770"/>
      <c r="Y9" s="2998" t="s">
        <v>2540</v>
      </c>
      <c r="Z9" s="54" t="str">
        <f t="shared" ref="Z9:Z15" si="7">Q9</f>
        <v>用途</v>
      </c>
      <c r="AA9" s="771">
        <f t="shared" si="3"/>
        <v>1</v>
      </c>
      <c r="AB9" s="771">
        <f t="shared" si="4"/>
        <v>1</v>
      </c>
      <c r="AC9" s="771">
        <f t="shared" si="5"/>
        <v>1</v>
      </c>
    </row>
    <row r="10" spans="1:29" s="427" customFormat="1" ht="27">
      <c r="A10" s="421"/>
      <c r="B10" s="422" t="s">
        <v>2541</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43"/>
      <c r="Q10" s="1796" t="str">
        <f t="shared" si="6"/>
        <v>土地使用年限（年）</v>
      </c>
      <c r="R10" s="768" t="s">
        <v>17</v>
      </c>
      <c r="S10" s="769">
        <f t="shared" si="0"/>
        <v>100</v>
      </c>
      <c r="T10" s="768" t="s">
        <v>17</v>
      </c>
      <c r="U10" s="769">
        <f t="shared" si="1"/>
        <v>100</v>
      </c>
      <c r="V10" s="768" t="s">
        <v>17</v>
      </c>
      <c r="W10" s="769">
        <f t="shared" si="2"/>
        <v>100</v>
      </c>
      <c r="X10" s="770"/>
      <c r="Y10" s="2998"/>
      <c r="Z10" s="54" t="str">
        <f t="shared" si="7"/>
        <v>土地使用年限（年）</v>
      </c>
      <c r="AA10" s="771">
        <f t="shared" si="3"/>
        <v>1</v>
      </c>
      <c r="AB10" s="771">
        <f t="shared" si="4"/>
        <v>1</v>
      </c>
      <c r="AC10" s="771">
        <f t="shared" si="5"/>
        <v>1</v>
      </c>
    </row>
    <row r="11" spans="1:29" ht="15">
      <c r="A11" s="428"/>
      <c r="B11" s="422" t="s">
        <v>2542</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43"/>
      <c r="Q11" s="1796" t="str">
        <f t="shared" si="6"/>
        <v>容积率</v>
      </c>
      <c r="R11" s="768" t="s">
        <v>17</v>
      </c>
      <c r="S11" s="769" t="e">
        <f t="shared" si="0"/>
        <v>#N/A</v>
      </c>
      <c r="T11" s="768" t="s">
        <v>17</v>
      </c>
      <c r="U11" s="769" t="e">
        <f t="shared" si="1"/>
        <v>#N/A</v>
      </c>
      <c r="V11" s="768" t="s">
        <v>17</v>
      </c>
      <c r="W11" s="769" t="e">
        <f t="shared" si="2"/>
        <v>#N/A</v>
      </c>
      <c r="X11" s="770"/>
      <c r="Y11" s="2998"/>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143"/>
      <c r="Q12" s="1796">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143"/>
      <c r="Q13" s="1796">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43"/>
      <c r="Q14" s="1796">
        <f t="shared" si="6"/>
        <v>111</v>
      </c>
      <c r="R14" s="768" t="s">
        <v>17</v>
      </c>
      <c r="S14" s="769">
        <f t="shared" si="0"/>
        <v>100</v>
      </c>
      <c r="T14" s="768" t="s">
        <v>17</v>
      </c>
      <c r="U14" s="769">
        <f t="shared" si="1"/>
        <v>100</v>
      </c>
      <c r="V14" s="768" t="s">
        <v>17</v>
      </c>
      <c r="W14" s="769">
        <f t="shared" si="2"/>
        <v>100</v>
      </c>
      <c r="X14" s="770"/>
      <c r="Y14" s="2998"/>
      <c r="Z14" s="54">
        <f t="shared" si="7"/>
        <v>111</v>
      </c>
      <c r="AA14" s="771">
        <f t="shared" si="3"/>
        <v>1</v>
      </c>
      <c r="AB14" s="771">
        <f t="shared" si="4"/>
        <v>1</v>
      </c>
      <c r="AC14" s="771">
        <f t="shared" si="5"/>
        <v>1</v>
      </c>
    </row>
    <row r="15" spans="1:29" ht="15">
      <c r="A15" s="440" t="s">
        <v>2543</v>
      </c>
      <c r="B15" s="68" t="s">
        <v>2686</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45" t="s">
        <v>2544</v>
      </c>
      <c r="Q15" s="1811" t="str">
        <f t="shared" si="6"/>
        <v>产业集聚程度</v>
      </c>
      <c r="R15" s="772" t="s">
        <v>17</v>
      </c>
      <c r="S15" s="773">
        <f t="shared" si="0"/>
        <v>100</v>
      </c>
      <c r="T15" s="772" t="s">
        <v>17</v>
      </c>
      <c r="U15" s="773">
        <f t="shared" si="1"/>
        <v>100</v>
      </c>
      <c r="V15" s="772" t="s">
        <v>17</v>
      </c>
      <c r="W15" s="773">
        <f t="shared" si="2"/>
        <v>100</v>
      </c>
      <c r="X15" s="1814"/>
      <c r="Y15" s="3145" t="s">
        <v>2544</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146"/>
      <c r="Q16" s="1811"/>
      <c r="R16" s="772"/>
      <c r="S16" s="773"/>
      <c r="T16" s="772"/>
      <c r="U16" s="773"/>
      <c r="V16" s="772"/>
      <c r="W16" s="773"/>
      <c r="X16" s="1814"/>
      <c r="Y16" s="3146"/>
      <c r="Z16" s="1815"/>
      <c r="AA16" s="1812">
        <v>1</v>
      </c>
      <c r="AB16" s="1812">
        <v>1</v>
      </c>
      <c r="AC16" s="1812">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46"/>
      <c r="Q17" s="1811" t="str">
        <f>B17</f>
        <v>交通便捷度</v>
      </c>
      <c r="R17" s="772" t="s">
        <v>17</v>
      </c>
      <c r="S17" s="773">
        <f>F17</f>
        <v>100</v>
      </c>
      <c r="T17" s="772" t="s">
        <v>17</v>
      </c>
      <c r="U17" s="773">
        <f>H17</f>
        <v>100</v>
      </c>
      <c r="V17" s="772" t="s">
        <v>17</v>
      </c>
      <c r="W17" s="773">
        <f>J17</f>
        <v>100</v>
      </c>
      <c r="X17" s="1814"/>
      <c r="Y17" s="3146"/>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146"/>
      <c r="Q18" s="1811"/>
      <c r="R18" s="772"/>
      <c r="S18" s="773"/>
      <c r="T18" s="772"/>
      <c r="U18" s="773"/>
      <c r="V18" s="772"/>
      <c r="W18" s="773"/>
      <c r="X18" s="1814"/>
      <c r="Y18" s="3146"/>
      <c r="Z18" s="1815"/>
      <c r="AA18" s="1812">
        <v>1</v>
      </c>
      <c r="AB18" s="1812">
        <v>1</v>
      </c>
      <c r="AC18" s="1812">
        <v>1</v>
      </c>
    </row>
    <row r="19" spans="1:29" ht="15">
      <c r="A19" s="428"/>
      <c r="B19" s="451" t="s">
        <v>2671</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46"/>
      <c r="Q19" s="1811" t="str">
        <f>B19</f>
        <v>公共配套设施</v>
      </c>
      <c r="R19" s="772" t="s">
        <v>17</v>
      </c>
      <c r="S19" s="773">
        <f>F19</f>
        <v>100</v>
      </c>
      <c r="T19" s="772" t="s">
        <v>17</v>
      </c>
      <c r="U19" s="773">
        <f>H19</f>
        <v>100</v>
      </c>
      <c r="V19" s="772" t="s">
        <v>17</v>
      </c>
      <c r="W19" s="773">
        <f>J19</f>
        <v>100</v>
      </c>
      <c r="X19" s="1814"/>
      <c r="Y19" s="3146"/>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146"/>
      <c r="Q20" s="1811"/>
      <c r="R20" s="772"/>
      <c r="S20" s="773"/>
      <c r="T20" s="772"/>
      <c r="U20" s="773"/>
      <c r="V20" s="772"/>
      <c r="W20" s="773"/>
      <c r="X20" s="1814"/>
      <c r="Y20" s="3146"/>
      <c r="Z20" s="1815"/>
      <c r="AA20" s="1812">
        <v>1</v>
      </c>
      <c r="AB20" s="1812">
        <v>1</v>
      </c>
      <c r="AC20" s="1812">
        <v>1</v>
      </c>
    </row>
    <row r="21" spans="1:29" ht="15">
      <c r="A21" s="428"/>
      <c r="B21" s="1384" t="s">
        <v>2672</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46"/>
      <c r="Q21" s="1811" t="str">
        <f>B21</f>
        <v>基础设施水平</v>
      </c>
      <c r="R21" s="772" t="s">
        <v>17</v>
      </c>
      <c r="S21" s="773">
        <f>F21</f>
        <v>100</v>
      </c>
      <c r="T21" s="772" t="s">
        <v>17</v>
      </c>
      <c r="U21" s="773">
        <f>H21</f>
        <v>100</v>
      </c>
      <c r="V21" s="772" t="s">
        <v>17</v>
      </c>
      <c r="W21" s="773">
        <f>J21</f>
        <v>100</v>
      </c>
      <c r="X21" s="1814"/>
      <c r="Y21" s="3146"/>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146"/>
      <c r="Q22" s="1811"/>
      <c r="R22" s="772"/>
      <c r="S22" s="773"/>
      <c r="T22" s="772"/>
      <c r="U22" s="773"/>
      <c r="V22" s="772"/>
      <c r="W22" s="773"/>
      <c r="X22" s="1814"/>
      <c r="Y22" s="3146"/>
      <c r="Z22" s="1815"/>
      <c r="AA22" s="1812">
        <v>1</v>
      </c>
      <c r="AB22" s="1812">
        <v>1</v>
      </c>
      <c r="AC22" s="1812">
        <v>1</v>
      </c>
    </row>
    <row r="23" spans="1:29" ht="15">
      <c r="A23" s="428"/>
      <c r="B23" s="451" t="s">
        <v>2673</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46"/>
      <c r="Q23" s="1811" t="str">
        <f>B23</f>
        <v>环境质量</v>
      </c>
      <c r="R23" s="772" t="s">
        <v>17</v>
      </c>
      <c r="S23" s="773">
        <f>F23</f>
        <v>100</v>
      </c>
      <c r="T23" s="772" t="s">
        <v>17</v>
      </c>
      <c r="U23" s="773">
        <f>H23</f>
        <v>100</v>
      </c>
      <c r="V23" s="772" t="s">
        <v>17</v>
      </c>
      <c r="W23" s="773">
        <f>J23</f>
        <v>100</v>
      </c>
      <c r="X23" s="1814"/>
      <c r="Y23" s="3146"/>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146"/>
      <c r="Q24" s="1811"/>
      <c r="R24" s="772"/>
      <c r="S24" s="773"/>
      <c r="T24" s="772"/>
      <c r="U24" s="773"/>
      <c r="V24" s="772"/>
      <c r="W24" s="773"/>
      <c r="X24" s="1814"/>
      <c r="Y24" s="3146"/>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46"/>
      <c r="Q25" s="1811">
        <f>B25</f>
        <v>111</v>
      </c>
      <c r="R25" s="772" t="s">
        <v>17</v>
      </c>
      <c r="S25" s="773">
        <f>F25</f>
        <v>100</v>
      </c>
      <c r="T25" s="772" t="s">
        <v>17</v>
      </c>
      <c r="U25" s="773">
        <f>H25</f>
        <v>100</v>
      </c>
      <c r="V25" s="772" t="s">
        <v>17</v>
      </c>
      <c r="W25" s="773">
        <f>J25</f>
        <v>100</v>
      </c>
      <c r="X25" s="1814"/>
      <c r="Y25" s="3146"/>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46"/>
      <c r="Q26" s="1811">
        <f t="shared" ref="Q26:Q40" si="11">B26</f>
        <v>111</v>
      </c>
      <c r="R26" s="772" t="s">
        <v>17</v>
      </c>
      <c r="S26" s="773">
        <f>F26</f>
        <v>100</v>
      </c>
      <c r="T26" s="772" t="s">
        <v>17</v>
      </c>
      <c r="U26" s="773">
        <f>H26</f>
        <v>100</v>
      </c>
      <c r="V26" s="772" t="s">
        <v>17</v>
      </c>
      <c r="W26" s="773">
        <f>J26</f>
        <v>100</v>
      </c>
      <c r="X26" s="1814"/>
      <c r="Y26" s="3146"/>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46"/>
      <c r="Q27" s="1796">
        <f t="shared" si="11"/>
        <v>111</v>
      </c>
      <c r="R27" s="768" t="s">
        <v>17</v>
      </c>
      <c r="S27" s="769">
        <f>F27</f>
        <v>100</v>
      </c>
      <c r="T27" s="768" t="s">
        <v>17</v>
      </c>
      <c r="U27" s="769">
        <f>H27</f>
        <v>100</v>
      </c>
      <c r="V27" s="768" t="s">
        <v>17</v>
      </c>
      <c r="W27" s="769">
        <f>J27</f>
        <v>100</v>
      </c>
      <c r="X27" s="770"/>
      <c r="Y27" s="3146"/>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46"/>
      <c r="Q28" s="1811">
        <f t="shared" si="11"/>
        <v>111</v>
      </c>
      <c r="R28" s="772" t="s">
        <v>17</v>
      </c>
      <c r="S28" s="773">
        <f t="shared" ref="S28:S40" si="12">F28</f>
        <v>100</v>
      </c>
      <c r="T28" s="772" t="s">
        <v>17</v>
      </c>
      <c r="U28" s="773">
        <f t="shared" ref="U28:U40" si="13">H28</f>
        <v>100</v>
      </c>
      <c r="V28" s="772" t="s">
        <v>17</v>
      </c>
      <c r="W28" s="773">
        <f t="shared" ref="W28:W40" si="14">J28</f>
        <v>100</v>
      </c>
      <c r="X28" s="1814"/>
      <c r="Y28" s="3146"/>
      <c r="Z28" s="1815">
        <f t="shared" ref="Z28:Z40" si="15">Q28</f>
        <v>111</v>
      </c>
      <c r="AA28" s="1812">
        <f t="shared" si="3"/>
        <v>1</v>
      </c>
      <c r="AB28" s="1812">
        <f t="shared" si="4"/>
        <v>1</v>
      </c>
      <c r="AC28" s="1812">
        <f t="shared" si="5"/>
        <v>1</v>
      </c>
    </row>
    <row r="29" spans="1:29" ht="15">
      <c r="A29" s="466" t="s">
        <v>2547</v>
      </c>
      <c r="B29" s="70" t="s">
        <v>2676</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4" t="s">
        <v>2549</v>
      </c>
      <c r="Q29" s="1811" t="str">
        <f t="shared" si="11"/>
        <v>建筑类型</v>
      </c>
      <c r="R29" s="772" t="s">
        <v>17</v>
      </c>
      <c r="S29" s="773">
        <f t="shared" si="12"/>
        <v>100</v>
      </c>
      <c r="T29" s="772" t="s">
        <v>17</v>
      </c>
      <c r="U29" s="773">
        <f t="shared" si="13"/>
        <v>100</v>
      </c>
      <c r="V29" s="772" t="s">
        <v>17</v>
      </c>
      <c r="W29" s="773">
        <f t="shared" si="14"/>
        <v>100</v>
      </c>
      <c r="X29" s="1814"/>
      <c r="Y29" s="3150" t="s">
        <v>2549</v>
      </c>
      <c r="Z29" s="1815" t="str">
        <f t="shared" si="15"/>
        <v>建筑类型</v>
      </c>
      <c r="AA29" s="1812">
        <f t="shared" si="3"/>
        <v>1</v>
      </c>
      <c r="AB29" s="1812">
        <f t="shared" si="4"/>
        <v>1</v>
      </c>
      <c r="AC29" s="1812">
        <f t="shared" si="5"/>
        <v>1</v>
      </c>
    </row>
    <row r="30" spans="1:29" s="471" customFormat="1" ht="15">
      <c r="A30" s="468"/>
      <c r="B30" s="422" t="s">
        <v>2550</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150"/>
      <c r="Q30" s="774" t="str">
        <f t="shared" si="11"/>
        <v>项目建筑规模</v>
      </c>
      <c r="R30" s="775" t="s">
        <v>17</v>
      </c>
      <c r="S30" s="776" t="e">
        <f t="shared" si="12"/>
        <v>#N/A</v>
      </c>
      <c r="T30" s="775" t="s">
        <v>17</v>
      </c>
      <c r="U30" s="776" t="e">
        <f t="shared" si="13"/>
        <v>#N/A</v>
      </c>
      <c r="V30" s="775" t="s">
        <v>17</v>
      </c>
      <c r="W30" s="776" t="e">
        <f t="shared" si="14"/>
        <v>#N/A</v>
      </c>
      <c r="X30" s="777"/>
      <c r="Y30" s="3150"/>
      <c r="Z30" s="778" t="str">
        <f t="shared" si="15"/>
        <v>项目建筑规模</v>
      </c>
      <c r="AA30" s="1812" t="e">
        <f t="shared" si="3"/>
        <v>#N/A</v>
      </c>
      <c r="AB30" s="1812" t="e">
        <f t="shared" si="4"/>
        <v>#N/A</v>
      </c>
      <c r="AC30" s="1812" t="e">
        <f t="shared" si="5"/>
        <v>#N/A</v>
      </c>
    </row>
    <row r="31" spans="1:29" ht="15">
      <c r="A31" s="472"/>
      <c r="B31" s="422" t="s">
        <v>2551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50"/>
      <c r="Q31" s="1811" t="str">
        <f t="shared" si="11"/>
        <v>建筑结构</v>
      </c>
      <c r="R31" s="772" t="s">
        <v>17</v>
      </c>
      <c r="S31" s="773">
        <f t="shared" si="12"/>
        <v>100</v>
      </c>
      <c r="T31" s="772" t="s">
        <v>17</v>
      </c>
      <c r="U31" s="773">
        <f t="shared" si="13"/>
        <v>100</v>
      </c>
      <c r="V31" s="772" t="s">
        <v>17</v>
      </c>
      <c r="W31" s="773">
        <f t="shared" si="14"/>
        <v>100</v>
      </c>
      <c r="X31" s="1814"/>
      <c r="Y31" s="3150"/>
      <c r="Z31" s="1815" t="str">
        <f t="shared" si="15"/>
        <v>建筑结构</v>
      </c>
      <c r="AA31" s="1812">
        <f t="shared" si="3"/>
        <v>1</v>
      </c>
      <c r="AB31" s="1812">
        <f t="shared" si="4"/>
        <v>1</v>
      </c>
      <c r="AC31" s="1812">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50"/>
      <c r="Q32" s="1811" t="str">
        <f t="shared" si="11"/>
        <v>公共部分装修</v>
      </c>
      <c r="R32" s="772" t="s">
        <v>17</v>
      </c>
      <c r="S32" s="773">
        <f t="shared" si="12"/>
        <v>100</v>
      </c>
      <c r="T32" s="772" t="s">
        <v>17</v>
      </c>
      <c r="U32" s="773">
        <f t="shared" si="13"/>
        <v>100</v>
      </c>
      <c r="V32" s="772" t="s">
        <v>17</v>
      </c>
      <c r="W32" s="773">
        <f t="shared" si="14"/>
        <v>100</v>
      </c>
      <c r="X32" s="1814"/>
      <c r="Y32" s="3150"/>
      <c r="Z32" s="1815" t="str">
        <f t="shared" si="15"/>
        <v>公共部分装修</v>
      </c>
      <c r="AA32" s="1812">
        <f t="shared" si="3"/>
        <v>1</v>
      </c>
      <c r="AB32" s="1812">
        <f t="shared" si="4"/>
        <v>1</v>
      </c>
      <c r="AC32" s="1812">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50"/>
      <c r="Q33" s="1811" t="str">
        <f t="shared" si="11"/>
        <v>成新度</v>
      </c>
      <c r="R33" s="772" t="s">
        <v>17</v>
      </c>
      <c r="S33" s="773" t="e">
        <f t="shared" si="12"/>
        <v>#N/A</v>
      </c>
      <c r="T33" s="772" t="s">
        <v>17</v>
      </c>
      <c r="U33" s="773" t="e">
        <f t="shared" si="13"/>
        <v>#N/A</v>
      </c>
      <c r="V33" s="772" t="s">
        <v>17</v>
      </c>
      <c r="W33" s="773" t="e">
        <f t="shared" si="14"/>
        <v>#N/A</v>
      </c>
      <c r="X33" s="1814"/>
      <c r="Y33" s="3150"/>
      <c r="Z33" s="1815" t="str">
        <f t="shared" si="15"/>
        <v>成新度</v>
      </c>
      <c r="AA33" s="1812" t="e">
        <f t="shared" si="3"/>
        <v>#N/A</v>
      </c>
      <c r="AB33" s="1812" t="e">
        <f t="shared" si="4"/>
        <v>#N/A</v>
      </c>
      <c r="AC33" s="1812" t="e">
        <f t="shared" si="5"/>
        <v>#N/A</v>
      </c>
    </row>
    <row r="34" spans="1:29" s="116" customFormat="1" ht="15">
      <c r="A34" s="473"/>
      <c r="B34" s="422" t="s">
        <v>2678</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50"/>
      <c r="Q34" s="1796" t="str">
        <f t="shared" si="11"/>
        <v>物业管理</v>
      </c>
      <c r="R34" s="768" t="s">
        <v>17</v>
      </c>
      <c r="S34" s="769">
        <f t="shared" si="12"/>
        <v>100</v>
      </c>
      <c r="T34" s="768" t="s">
        <v>17</v>
      </c>
      <c r="U34" s="769">
        <f t="shared" si="13"/>
        <v>100</v>
      </c>
      <c r="V34" s="768" t="s">
        <v>17</v>
      </c>
      <c r="W34" s="769">
        <f t="shared" si="14"/>
        <v>100</v>
      </c>
      <c r="X34" s="770"/>
      <c r="Y34" s="3150"/>
      <c r="Z34" s="54" t="str">
        <f t="shared" si="15"/>
        <v>物业管理</v>
      </c>
      <c r="AA34" s="771">
        <f t="shared" si="3"/>
        <v>1</v>
      </c>
      <c r="AB34" s="771">
        <f t="shared" si="4"/>
        <v>1</v>
      </c>
      <c r="AC34" s="771">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50" t="s">
        <v>2549</v>
      </c>
      <c r="Q35" s="1811" t="str">
        <f t="shared" si="11"/>
        <v>市政基础设施</v>
      </c>
      <c r="R35" s="772" t="s">
        <v>17</v>
      </c>
      <c r="S35" s="773">
        <f t="shared" si="12"/>
        <v>100</v>
      </c>
      <c r="T35" s="772" t="s">
        <v>17</v>
      </c>
      <c r="U35" s="773">
        <f t="shared" si="13"/>
        <v>100</v>
      </c>
      <c r="V35" s="772" t="s">
        <v>17</v>
      </c>
      <c r="W35" s="773">
        <f t="shared" si="14"/>
        <v>100</v>
      </c>
      <c r="X35" s="1814"/>
      <c r="Y35" s="3150" t="s">
        <v>2549</v>
      </c>
      <c r="Z35" s="1815" t="str">
        <f t="shared" si="15"/>
        <v>市政基础设施</v>
      </c>
      <c r="AA35" s="1812">
        <f t="shared" si="3"/>
        <v>1</v>
      </c>
      <c r="AB35" s="1812">
        <f t="shared" si="4"/>
        <v>1</v>
      </c>
      <c r="AC35" s="1812">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50"/>
      <c r="Q36" s="1811" t="str">
        <f t="shared" si="11"/>
        <v>内部装修</v>
      </c>
      <c r="R36" s="772" t="s">
        <v>17</v>
      </c>
      <c r="S36" s="773">
        <f t="shared" si="12"/>
        <v>100</v>
      </c>
      <c r="T36" s="772" t="s">
        <v>17</v>
      </c>
      <c r="U36" s="773">
        <f t="shared" si="13"/>
        <v>100</v>
      </c>
      <c r="V36" s="772" t="s">
        <v>17</v>
      </c>
      <c r="W36" s="773">
        <f t="shared" si="14"/>
        <v>100</v>
      </c>
      <c r="X36" s="1814"/>
      <c r="Y36" s="3150"/>
      <c r="Z36" s="1815" t="str">
        <f t="shared" si="15"/>
        <v>内部装修</v>
      </c>
      <c r="AA36" s="1812">
        <f t="shared" si="3"/>
        <v>1</v>
      </c>
      <c r="AB36" s="1812">
        <f t="shared" si="4"/>
        <v>1</v>
      </c>
      <c r="AC36" s="1812">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50"/>
      <c r="Q37" s="1811" t="str">
        <f t="shared" si="11"/>
        <v>内部装修状况</v>
      </c>
      <c r="R37" s="772" t="s">
        <v>17</v>
      </c>
      <c r="S37" s="773">
        <f t="shared" si="12"/>
        <v>100</v>
      </c>
      <c r="T37" s="772" t="s">
        <v>17</v>
      </c>
      <c r="U37" s="773">
        <f t="shared" si="13"/>
        <v>100</v>
      </c>
      <c r="V37" s="772" t="s">
        <v>17</v>
      </c>
      <c r="W37" s="773">
        <f t="shared" si="14"/>
        <v>100</v>
      </c>
      <c r="X37" s="1814"/>
      <c r="Y37" s="3150"/>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50"/>
      <c r="Q38" s="774">
        <f t="shared" si="11"/>
        <v>111</v>
      </c>
      <c r="R38" s="775" t="s">
        <v>17</v>
      </c>
      <c r="S38" s="776">
        <f t="shared" si="12"/>
        <v>100</v>
      </c>
      <c r="T38" s="775" t="s">
        <v>17</v>
      </c>
      <c r="U38" s="776">
        <f t="shared" si="13"/>
        <v>100</v>
      </c>
      <c r="V38" s="775" t="s">
        <v>17</v>
      </c>
      <c r="W38" s="776">
        <f t="shared" si="14"/>
        <v>100</v>
      </c>
      <c r="X38" s="777"/>
      <c r="Y38" s="3150"/>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50"/>
      <c r="Q39" s="1811">
        <f t="shared" si="11"/>
        <v>111</v>
      </c>
      <c r="R39" s="772" t="s">
        <v>17</v>
      </c>
      <c r="S39" s="773">
        <f t="shared" si="12"/>
        <v>100</v>
      </c>
      <c r="T39" s="772" t="s">
        <v>17</v>
      </c>
      <c r="U39" s="773">
        <f t="shared" si="13"/>
        <v>100</v>
      </c>
      <c r="V39" s="772" t="s">
        <v>17</v>
      </c>
      <c r="W39" s="773">
        <f t="shared" si="14"/>
        <v>100</v>
      </c>
      <c r="X39" s="1814"/>
      <c r="Y39" s="3150"/>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51"/>
      <c r="Q40" s="1811">
        <f t="shared" si="11"/>
        <v>111</v>
      </c>
      <c r="R40" s="772" t="s">
        <v>17</v>
      </c>
      <c r="S40" s="773">
        <f t="shared" si="12"/>
        <v>100</v>
      </c>
      <c r="T40" s="772" t="s">
        <v>17</v>
      </c>
      <c r="U40" s="773">
        <f t="shared" si="13"/>
        <v>100</v>
      </c>
      <c r="V40" s="772" t="s">
        <v>17</v>
      </c>
      <c r="W40" s="773">
        <f t="shared" si="14"/>
        <v>100</v>
      </c>
      <c r="X40" s="1814"/>
      <c r="Y40" s="3151"/>
      <c r="Z40" s="1815">
        <f t="shared" si="15"/>
        <v>111</v>
      </c>
      <c r="AA40" s="1812">
        <f t="shared" si="3"/>
        <v>1</v>
      </c>
      <c r="AB40" s="1812">
        <f t="shared" si="4"/>
        <v>1</v>
      </c>
      <c r="AC40" s="1812">
        <f t="shared" si="5"/>
        <v>1</v>
      </c>
    </row>
    <row r="41" spans="1:29" ht="15">
      <c r="A41" s="479" t="s">
        <v>2561</v>
      </c>
      <c r="B41" s="480"/>
      <c r="C41" s="1407" t="s">
        <v>1</v>
      </c>
      <c r="D41" s="1408"/>
      <c r="E41" s="1409"/>
      <c r="F41" s="1410"/>
      <c r="G41" s="1411"/>
      <c r="H41" s="1412"/>
      <c r="I41" s="1409"/>
      <c r="J41" s="1412"/>
      <c r="K41" s="781"/>
      <c r="L41" s="1143"/>
      <c r="M41" s="1144"/>
      <c r="N41" s="1131"/>
      <c r="O41" s="1144"/>
      <c r="P41" s="3143" t="str">
        <f>A41</f>
        <v>成交单价（元/平方米）</v>
      </c>
      <c r="Q41" s="3143"/>
      <c r="R41" s="3144">
        <f>E41</f>
        <v>0</v>
      </c>
      <c r="S41" s="3144"/>
      <c r="T41" s="3144">
        <f>G41</f>
        <v>0</v>
      </c>
      <c r="U41" s="3144"/>
      <c r="V41" s="3144">
        <f>I41</f>
        <v>0</v>
      </c>
      <c r="W41" s="3144"/>
      <c r="X41" s="757"/>
      <c r="Y41" s="779"/>
      <c r="Z41" s="757"/>
      <c r="AA41" s="757"/>
      <c r="AB41" s="757"/>
      <c r="AC41" s="757"/>
    </row>
    <row r="42" spans="1:29" ht="15.75" thickBot="1">
      <c r="A42" s="486" t="s">
        <v>2652</v>
      </c>
      <c r="B42" s="487"/>
      <c r="C42" s="1413" t="e">
        <f>R43</f>
        <v>#DIV/0!</v>
      </c>
      <c r="D42" s="1414"/>
      <c r="E42" s="1415" t="e">
        <f>R42</f>
        <v>#DIV/0!</v>
      </c>
      <c r="F42" s="1415"/>
      <c r="G42" s="1413" t="e">
        <f>T42</f>
        <v>#DIV/0!</v>
      </c>
      <c r="H42" s="1414"/>
      <c r="I42" s="1415" t="e">
        <f>V42</f>
        <v>#DIV/0!</v>
      </c>
      <c r="J42" s="1414"/>
      <c r="K42" s="782"/>
      <c r="L42" s="1143"/>
      <c r="M42" s="1144"/>
      <c r="N42" s="1131"/>
      <c r="O42" s="1144"/>
      <c r="P42" s="3143" t="str">
        <f>A42</f>
        <v>比较价值（元/平方米）</v>
      </c>
      <c r="Q42" s="3143"/>
      <c r="R42" s="3144" t="e">
        <f>IF(F1="售价",ROUND(PRODUCT(R41,AA7:AA40),0),ROUND(PRODUCT(R41,AA7:AA40),1))</f>
        <v>#DIV/0!</v>
      </c>
      <c r="S42" s="3144"/>
      <c r="T42" s="3144" t="e">
        <f>IF(F1="售价",ROUND(PRODUCT(T41,AB7:AB40),0),ROUND(PRODUCT(T41,AB7:AB40),1))</f>
        <v>#DIV/0!</v>
      </c>
      <c r="U42" s="3144"/>
      <c r="V42" s="3144" t="e">
        <f>IF(F1="售价",ROUND(PRODUCT(V41,AC7:AC40),0),ROUND(PRODUCT(V41,AC7:AC40),1))</f>
        <v>#DIV/0!</v>
      </c>
      <c r="W42" s="3144"/>
      <c r="X42" s="757"/>
      <c r="Y42" s="757"/>
      <c r="Z42" s="757"/>
      <c r="AA42" s="757"/>
      <c r="AB42" s="757"/>
      <c r="AC42" s="757"/>
    </row>
    <row r="43" spans="1:29" ht="15.75" thickBot="1">
      <c r="A43" s="492" t="s">
        <v>2653</v>
      </c>
      <c r="B43" s="493"/>
      <c r="C43" s="1417" t="e">
        <f>R43</f>
        <v>#DIV/0!</v>
      </c>
      <c r="D43" s="1417"/>
      <c r="E43" s="1417"/>
      <c r="F43" s="1417"/>
      <c r="G43" s="1417"/>
      <c r="H43" s="1417"/>
      <c r="I43" s="1417"/>
      <c r="J43" s="1417"/>
      <c r="K43" s="783"/>
      <c r="L43" s="1143"/>
      <c r="M43" s="1144"/>
      <c r="N43" s="1144"/>
      <c r="O43" s="1144"/>
      <c r="P43" s="3140" t="str">
        <f>A43</f>
        <v>估价对象XX用房的比较价值（楼面单价，元/平方米）</v>
      </c>
      <c r="Q43" s="3141"/>
      <c r="R43" s="3142" t="e">
        <f>IF(F1="售价",ROUND(AVERAGE(R42:V42),0),ROUND(AVERAGE(R42:V42),1))</f>
        <v>#DIV/0!</v>
      </c>
      <c r="S43" s="3142"/>
      <c r="T43" s="3142"/>
      <c r="U43" s="3142"/>
      <c r="V43" s="3142"/>
      <c r="W43" s="3142"/>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2657</v>
      </c>
      <c r="B51" s="757"/>
      <c r="C51" s="762"/>
      <c r="D51" s="762"/>
      <c r="E51" s="762"/>
      <c r="F51" s="763"/>
      <c r="G51" s="763"/>
      <c r="H51" s="762"/>
      <c r="I51" s="762"/>
      <c r="J51" s="762"/>
      <c r="K51" s="1160"/>
      <c r="L51" s="1161"/>
      <c r="M51" s="1159"/>
      <c r="N51" s="1159"/>
      <c r="O51" s="1159"/>
      <c r="P51" s="503"/>
      <c r="Q51" s="504"/>
    </row>
    <row r="52" spans="1:17" s="508" customFormat="1" ht="15">
      <c r="A52" s="505" t="s">
        <v>2532</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2569</v>
      </c>
      <c r="B54" s="516"/>
      <c r="C54" s="517"/>
      <c r="D54" s="518"/>
      <c r="E54" s="518"/>
      <c r="F54" s="518"/>
      <c r="G54" s="518"/>
      <c r="H54" s="518"/>
      <c r="I54" s="518"/>
      <c r="J54" s="518"/>
      <c r="K54" s="518"/>
      <c r="L54" s="518"/>
      <c r="M54" s="519"/>
      <c r="N54" s="518"/>
      <c r="O54" s="520"/>
      <c r="P54" s="504"/>
      <c r="Q54" s="504"/>
    </row>
    <row r="55" spans="1:17" s="116" customFormat="1" ht="15">
      <c r="A55" s="521" t="s">
        <v>2534</v>
      </c>
      <c r="B55" s="510"/>
      <c r="C55" s="522" t="s">
        <v>2636</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2572</v>
      </c>
      <c r="B57" s="528" t="s">
        <v>2538</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2541</v>
      </c>
      <c r="C59" s="539" t="s">
        <v>2573</v>
      </c>
      <c r="D59" s="539" t="s">
        <v>2574</v>
      </c>
      <c r="E59" s="539" t="s">
        <v>2575</v>
      </c>
      <c r="F59" s="539" t="s">
        <v>2576</v>
      </c>
      <c r="G59" s="539" t="s">
        <v>2577</v>
      </c>
      <c r="H59" s="539" t="s">
        <v>2578</v>
      </c>
      <c r="I59" s="539" t="s">
        <v>2579</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2543</v>
      </c>
      <c r="B70" s="528" t="s">
        <v>2688</v>
      </c>
      <c r="C70" s="573" t="s">
        <v>2581</v>
      </c>
      <c r="D70" s="573" t="s">
        <v>2582</v>
      </c>
      <c r="E70" s="573" t="s">
        <v>2583</v>
      </c>
      <c r="F70" s="573" t="s">
        <v>2584</v>
      </c>
      <c r="G70" s="573" t="s">
        <v>2585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2586</v>
      </c>
      <c r="C72" s="578" t="s">
        <v>2581</v>
      </c>
      <c r="D72" s="578" t="s">
        <v>2582</v>
      </c>
      <c r="E72" s="578" t="s">
        <v>2583</v>
      </c>
      <c r="F72" s="578" t="s">
        <v>2584</v>
      </c>
      <c r="G72" s="578" t="s">
        <v>2585</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2587</v>
      </c>
      <c r="C74" s="578" t="s">
        <v>2581</v>
      </c>
      <c r="D74" s="578" t="s">
        <v>2582</v>
      </c>
      <c r="E74" s="578" t="s">
        <v>2583</v>
      </c>
      <c r="F74" s="578" t="s">
        <v>2584</v>
      </c>
      <c r="G74" s="578" t="s">
        <v>2585</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2672</v>
      </c>
      <c r="C76" s="658" t="s">
        <v>2658</v>
      </c>
      <c r="D76" s="658" t="s">
        <v>2659</v>
      </c>
      <c r="E76" s="658" t="s">
        <v>2660</v>
      </c>
      <c r="F76" s="658" t="s">
        <v>2661</v>
      </c>
      <c r="G76" s="658" t="s">
        <v>2662</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2681</v>
      </c>
      <c r="C78" s="578" t="s">
        <v>2581</v>
      </c>
      <c r="D78" s="578" t="s">
        <v>2582</v>
      </c>
      <c r="E78" s="578" t="s">
        <v>2583</v>
      </c>
      <c r="F78" s="578" t="s">
        <v>2584</v>
      </c>
      <c r="G78" s="578" t="s">
        <v>2585</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2547</v>
      </c>
      <c r="B88" s="528" t="s">
        <v>2596</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2598</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2600</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2602</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2604</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2689</v>
      </c>
      <c r="C106" s="578" t="s">
        <v>2581</v>
      </c>
      <c r="D106" s="578" t="s">
        <v>2582</v>
      </c>
      <c r="E106" s="578" t="s">
        <v>2583</v>
      </c>
      <c r="F106" s="578" t="s">
        <v>2584</v>
      </c>
      <c r="G106" s="578" t="s">
        <v>2585</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2690</v>
      </c>
      <c r="B1" s="1620"/>
      <c r="C1" s="1621" t="s">
        <v>2514</v>
      </c>
      <c r="D1" s="1622"/>
      <c r="E1" s="1623"/>
      <c r="F1" s="2585"/>
      <c r="G1" s="1624" t="s">
        <v>2627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2311</v>
      </c>
      <c r="B2" s="1418" t="e">
        <f ca="1">IF(C2="——",IF(B37="元/平方米",ROUND(C39*D3/10000,0),ROUND(F3*C39/10000,0)),IF(B37="元/平方米",ROUND(C39*D3/10000,0),ROUND(F3*C39/10000,0))-D2)</f>
        <v>#DIV/0!</v>
      </c>
      <c r="C2" s="2587"/>
      <c r="D2" s="1124" t="e">
        <f ca="1">SUMIF(INDIRECT("'"&amp;F2&amp;"'"&amp;"!A:A"),"承租人权益价值",INDIRECT("'"&amp;F2&amp;"'"&amp;"!c:c"))</f>
        <v>#REF!</v>
      </c>
      <c r="E2" s="2588" t="s">
        <v>2312</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2313</v>
      </c>
      <c r="B3" s="609" t="e">
        <f ca="1">IF(AND(C2="——",B37="元/平方米"),C39,ROUND(B2*10000/D3,0))</f>
        <v>#DIV/0!</v>
      </c>
      <c r="C3" s="400" t="s">
        <v>2628</v>
      </c>
      <c r="D3" s="399">
        <f>SUMIF('数据-汇总表'!$C19:$C33,D1,'数据-汇总表'!$E19:$E33)</f>
        <v>0</v>
      </c>
      <c r="E3" s="400" t="s">
        <v>2691</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68" t="s">
        <v>2631</v>
      </c>
      <c r="S4" s="3169"/>
      <c r="T4" s="3168" t="s">
        <v>2632</v>
      </c>
      <c r="U4" s="3169"/>
      <c r="V4" s="3174" t="s">
        <v>2633</v>
      </c>
      <c r="W4" s="3174"/>
      <c r="X4" s="1814"/>
      <c r="Y4" s="3168" t="s">
        <v>2635</v>
      </c>
      <c r="Z4" s="3169"/>
      <c r="AA4" s="3155" t="s">
        <v>2631</v>
      </c>
      <c r="AB4" s="3156" t="s">
        <v>2632</v>
      </c>
      <c r="AC4" s="3155" t="s">
        <v>2633</v>
      </c>
    </row>
    <row r="5" spans="1:29" ht="15">
      <c r="A5" s="404"/>
      <c r="B5" s="405"/>
      <c r="C5" s="3230" t="s">
        <v>2526</v>
      </c>
      <c r="D5" s="3178"/>
      <c r="E5" s="3233" t="s">
        <v>2527</v>
      </c>
      <c r="F5" s="3185"/>
      <c r="G5" s="3230" t="s">
        <v>2528</v>
      </c>
      <c r="H5" s="3178"/>
      <c r="I5" s="3230" t="s">
        <v>2529</v>
      </c>
      <c r="J5" s="3178"/>
      <c r="K5" s="610"/>
      <c r="L5" s="1130"/>
      <c r="M5" s="1131"/>
      <c r="N5" s="1131"/>
      <c r="O5" s="1131"/>
      <c r="P5" s="3164"/>
      <c r="Q5" s="3165"/>
      <c r="R5" s="3170"/>
      <c r="S5" s="3171"/>
      <c r="T5" s="3170"/>
      <c r="U5" s="3171"/>
      <c r="V5" s="3174"/>
      <c r="W5" s="3174"/>
      <c r="X5" s="1814"/>
      <c r="Y5" s="3170"/>
      <c r="Z5" s="3171"/>
      <c r="AA5" s="3156"/>
      <c r="AB5" s="3156"/>
      <c r="AC5" s="3156"/>
    </row>
    <row r="6" spans="1:29" ht="15.75" thickBot="1">
      <c r="A6" s="406"/>
      <c r="B6" s="407"/>
      <c r="C6" s="3175" t="s">
        <v>2530</v>
      </c>
      <c r="D6" s="3176"/>
      <c r="E6" s="3182" t="s">
        <v>2530</v>
      </c>
      <c r="F6" s="3183"/>
      <c r="G6" s="3175" t="s">
        <v>2530</v>
      </c>
      <c r="H6" s="3176"/>
      <c r="I6" s="3175" t="s">
        <v>2530</v>
      </c>
      <c r="J6" s="3176"/>
      <c r="K6" s="610" t="s">
        <v>2531</v>
      </c>
      <c r="L6" s="1130"/>
      <c r="M6" s="1131"/>
      <c r="N6" s="1131"/>
      <c r="O6" s="1131"/>
      <c r="P6" s="3166"/>
      <c r="Q6" s="3167"/>
      <c r="R6" s="3170"/>
      <c r="S6" s="3171"/>
      <c r="T6" s="3172"/>
      <c r="U6" s="3173"/>
      <c r="V6" s="3174"/>
      <c r="W6" s="3174"/>
      <c r="X6" s="1814"/>
      <c r="Y6" s="3172"/>
      <c r="Z6" s="3173"/>
      <c r="AA6" s="3157"/>
      <c r="AB6" s="3157"/>
      <c r="AC6" s="3157"/>
    </row>
    <row r="7" spans="1:29" s="116" customFormat="1" ht="15.75" thickBot="1">
      <c r="A7" s="408" t="s">
        <v>2532</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9" t="s">
        <v>2533</v>
      </c>
      <c r="Q7" s="3181"/>
      <c r="R7" s="768" t="s">
        <v>17</v>
      </c>
      <c r="S7" s="769">
        <f t="shared" ref="S7:S14" si="0">F7</f>
        <v>0</v>
      </c>
      <c r="T7" s="768" t="s">
        <v>17</v>
      </c>
      <c r="U7" s="769">
        <f t="shared" ref="U7:U14" si="1">H7</f>
        <v>0</v>
      </c>
      <c r="V7" s="768" t="s">
        <v>17</v>
      </c>
      <c r="W7" s="769">
        <f t="shared" ref="W7:W14" si="2">J7</f>
        <v>0</v>
      </c>
      <c r="X7" s="770"/>
      <c r="Y7" s="3179" t="s">
        <v>2533</v>
      </c>
      <c r="Z7" s="3180"/>
      <c r="AA7" s="771" t="e">
        <f>D7/F7</f>
        <v>#DIV/0!</v>
      </c>
      <c r="AB7" s="771" t="e">
        <f>D7/H7</f>
        <v>#DIV/0!</v>
      </c>
      <c r="AC7" s="771" t="e">
        <f>D7/J7</f>
        <v>#DIV/0!</v>
      </c>
    </row>
    <row r="8" spans="1:29" s="116" customFormat="1" ht="15.75" thickBot="1">
      <c r="A8" s="408" t="s">
        <v>2534</v>
      </c>
      <c r="B8" s="409"/>
      <c r="C8" s="414" t="s">
        <v>2636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9" t="s">
        <v>2536</v>
      </c>
      <c r="Q8" s="3180"/>
      <c r="R8" s="768" t="s">
        <v>17</v>
      </c>
      <c r="S8" s="769">
        <f t="shared" si="0"/>
        <v>0</v>
      </c>
      <c r="T8" s="768" t="s">
        <v>17</v>
      </c>
      <c r="U8" s="769">
        <f t="shared" si="1"/>
        <v>0</v>
      </c>
      <c r="V8" s="768" t="s">
        <v>17</v>
      </c>
      <c r="W8" s="769">
        <f t="shared" si="2"/>
        <v>0</v>
      </c>
      <c r="X8" s="770"/>
      <c r="Y8" s="3179" t="s">
        <v>2536</v>
      </c>
      <c r="Z8" s="3180"/>
      <c r="AA8" s="771" t="e">
        <f t="shared" ref="AA8:AA36" si="3">D8/F8</f>
        <v>#DIV/0!</v>
      </c>
      <c r="AB8" s="771" t="e">
        <f t="shared" ref="AB8:AB36" si="4">D8/H8</f>
        <v>#DIV/0!</v>
      </c>
      <c r="AC8" s="771" t="e">
        <f t="shared" ref="AC8:AC36" si="5">D8/J8</f>
        <v>#DIV/0!</v>
      </c>
    </row>
    <row r="9" spans="1:29" s="116" customFormat="1">
      <c r="A9" s="67" t="s">
        <v>2537</v>
      </c>
      <c r="B9" s="638" t="s">
        <v>2538</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43" t="s">
        <v>2539</v>
      </c>
      <c r="Q9" s="1796" t="str">
        <f t="shared" ref="Q9:Q14" si="6">B9</f>
        <v>用途</v>
      </c>
      <c r="R9" s="768" t="s">
        <v>17</v>
      </c>
      <c r="S9" s="769">
        <f t="shared" si="0"/>
        <v>100</v>
      </c>
      <c r="T9" s="768" t="s">
        <v>17</v>
      </c>
      <c r="U9" s="769">
        <f t="shared" si="1"/>
        <v>100</v>
      </c>
      <c r="V9" s="768" t="s">
        <v>17</v>
      </c>
      <c r="W9" s="769">
        <f t="shared" si="2"/>
        <v>100</v>
      </c>
      <c r="X9" s="770"/>
      <c r="Y9" s="2998" t="s">
        <v>2540</v>
      </c>
      <c r="Z9" s="54" t="str">
        <f t="shared" ref="Z9:Z14" si="7">Q9</f>
        <v>用途</v>
      </c>
      <c r="AA9" s="771">
        <f t="shared" si="3"/>
        <v>1</v>
      </c>
      <c r="AB9" s="771">
        <f t="shared" si="4"/>
        <v>1</v>
      </c>
      <c r="AC9" s="771">
        <f t="shared" si="5"/>
        <v>1</v>
      </c>
    </row>
    <row r="10" spans="1:29" s="427" customFormat="1" ht="27">
      <c r="A10" s="639"/>
      <c r="B10" s="640" t="s">
        <v>2541</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43"/>
      <c r="Q10" s="1796" t="str">
        <f t="shared" si="6"/>
        <v>土地使用年限（年）</v>
      </c>
      <c r="R10" s="768" t="s">
        <v>17</v>
      </c>
      <c r="S10" s="769">
        <f t="shared" si="0"/>
        <v>100</v>
      </c>
      <c r="T10" s="768" t="s">
        <v>17</v>
      </c>
      <c r="U10" s="769">
        <f t="shared" si="1"/>
        <v>100</v>
      </c>
      <c r="V10" s="768" t="s">
        <v>17</v>
      </c>
      <c r="W10" s="769">
        <f t="shared" si="2"/>
        <v>100</v>
      </c>
      <c r="X10" s="770"/>
      <c r="Y10" s="2998"/>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43"/>
      <c r="Q11" s="1796">
        <f t="shared" si="6"/>
        <v>111</v>
      </c>
      <c r="R11" s="768" t="s">
        <v>17</v>
      </c>
      <c r="S11" s="769">
        <f t="shared" si="0"/>
        <v>100</v>
      </c>
      <c r="T11" s="768" t="s">
        <v>17</v>
      </c>
      <c r="U11" s="769">
        <f t="shared" si="1"/>
        <v>100</v>
      </c>
      <c r="V11" s="768" t="s">
        <v>17</v>
      </c>
      <c r="W11" s="769">
        <f t="shared" si="2"/>
        <v>100</v>
      </c>
      <c r="X11" s="770"/>
      <c r="Y11" s="2998"/>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43"/>
      <c r="Q12" s="1796">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43"/>
      <c r="Q13" s="1796">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771">
        <f t="shared" si="5"/>
        <v>1</v>
      </c>
    </row>
    <row r="14" spans="1:29" ht="71.25">
      <c r="A14" s="401" t="s">
        <v>2543</v>
      </c>
      <c r="B14" s="627" t="s">
        <v>2692</v>
      </c>
      <c r="C14" s="2691" t="str">
        <f>IF(B1="工业",估价对象房地状况!G4,估价对象房地状况!C6)</f>
        <v>周边有302、快速直达专线102路等公交线路，交通便捷度一般。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45" t="s">
        <v>2544</v>
      </c>
      <c r="Q14" s="1811" t="str">
        <f t="shared" si="6"/>
        <v>交通便捷度</v>
      </c>
      <c r="R14" s="772" t="s">
        <v>17</v>
      </c>
      <c r="S14" s="773">
        <f t="shared" si="0"/>
        <v>100</v>
      </c>
      <c r="T14" s="772" t="s">
        <v>17</v>
      </c>
      <c r="U14" s="773">
        <f t="shared" si="1"/>
        <v>100</v>
      </c>
      <c r="V14" s="772" t="s">
        <v>17</v>
      </c>
      <c r="W14" s="773">
        <f t="shared" si="2"/>
        <v>100</v>
      </c>
      <c r="X14" s="1814"/>
      <c r="Y14" s="3145" t="s">
        <v>2544</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146"/>
      <c r="Q15" s="1811"/>
      <c r="R15" s="772"/>
      <c r="S15" s="773"/>
      <c r="T15" s="772"/>
      <c r="U15" s="773"/>
      <c r="V15" s="772"/>
      <c r="W15" s="773"/>
      <c r="X15" s="1814"/>
      <c r="Y15" s="3146"/>
      <c r="Z15" s="1815"/>
      <c r="AA15" s="1812">
        <v>1</v>
      </c>
      <c r="AB15" s="1812">
        <v>1</v>
      </c>
      <c r="AC15" s="1812">
        <v>1</v>
      </c>
    </row>
    <row r="16" spans="1:29" ht="71.25">
      <c r="A16" s="404"/>
      <c r="B16" s="629" t="s">
        <v>2671</v>
      </c>
      <c r="C16" s="2607" t="str">
        <f>IF(B1="工业",估价对象房地状况!G5,估价对象房地状况!C7)</f>
        <v>估价对象周边无银行、商场、学校、医院，有社区超市等，公共配套设施较差。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46"/>
      <c r="Q16" s="1811" t="str">
        <f>B16</f>
        <v>公共配套设施</v>
      </c>
      <c r="R16" s="772" t="s">
        <v>17</v>
      </c>
      <c r="S16" s="773">
        <f>F16</f>
        <v>100</v>
      </c>
      <c r="T16" s="772" t="s">
        <v>17</v>
      </c>
      <c r="U16" s="773">
        <f>H16</f>
        <v>100</v>
      </c>
      <c r="V16" s="772" t="s">
        <v>17</v>
      </c>
      <c r="W16" s="773">
        <f>J16</f>
        <v>100</v>
      </c>
      <c r="X16" s="1814"/>
      <c r="Y16" s="3146"/>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146"/>
      <c r="Q17" s="1811"/>
      <c r="R17" s="772"/>
      <c r="S17" s="773"/>
      <c r="T17" s="772"/>
      <c r="U17" s="773"/>
      <c r="V17" s="772"/>
      <c r="W17" s="773"/>
      <c r="X17" s="1814"/>
      <c r="Y17" s="3146"/>
      <c r="Z17" s="1815"/>
      <c r="AA17" s="1812">
        <v>1</v>
      </c>
      <c r="AB17" s="1812">
        <v>1</v>
      </c>
      <c r="AC17" s="1812">
        <v>1</v>
      </c>
    </row>
    <row r="18" spans="1:29" ht="42.75">
      <c r="A18" s="404"/>
      <c r="B18" s="631" t="s">
        <v>2672</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46"/>
      <c r="Q18" s="1811" t="str">
        <f>B18</f>
        <v>基础设施水平</v>
      </c>
      <c r="R18" s="772" t="s">
        <v>17</v>
      </c>
      <c r="S18" s="773">
        <f>F18</f>
        <v>100</v>
      </c>
      <c r="T18" s="772" t="s">
        <v>17</v>
      </c>
      <c r="U18" s="773">
        <f>H18</f>
        <v>100</v>
      </c>
      <c r="V18" s="772" t="s">
        <v>17</v>
      </c>
      <c r="W18" s="773">
        <f>J18</f>
        <v>100</v>
      </c>
      <c r="X18" s="1814"/>
      <c r="Y18" s="3146"/>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146"/>
      <c r="Q19" s="1811"/>
      <c r="R19" s="772"/>
      <c r="S19" s="773"/>
      <c r="T19" s="772"/>
      <c r="U19" s="773"/>
      <c r="V19" s="772"/>
      <c r="W19" s="773"/>
      <c r="X19" s="1814"/>
      <c r="Y19" s="3146"/>
      <c r="Z19" s="1815"/>
      <c r="AA19" s="1812">
        <v>1</v>
      </c>
      <c r="AB19" s="1812">
        <v>1</v>
      </c>
      <c r="AC19" s="1812">
        <v>1</v>
      </c>
    </row>
    <row r="20" spans="1:29" ht="71.25">
      <c r="A20" s="404"/>
      <c r="B20" s="629" t="s">
        <v>2693</v>
      </c>
      <c r="C20" s="2607" t="str">
        <f>IF(B1="工业",估价对象房地状况!G7,估价对象房地状况!C9)</f>
        <v>周边绿化均为城市绿化，无高等教育机构等，综合评价环境状况一般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46"/>
      <c r="Q20" s="1811" t="str">
        <f>B20</f>
        <v>自然及人文环境</v>
      </c>
      <c r="R20" s="772" t="s">
        <v>17</v>
      </c>
      <c r="S20" s="773">
        <f>F20</f>
        <v>100</v>
      </c>
      <c r="T20" s="772" t="s">
        <v>17</v>
      </c>
      <c r="U20" s="773">
        <f>H20</f>
        <v>100</v>
      </c>
      <c r="V20" s="772" t="s">
        <v>17</v>
      </c>
      <c r="W20" s="773">
        <f>J20</f>
        <v>100</v>
      </c>
      <c r="X20" s="1814"/>
      <c r="Y20" s="3146"/>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146"/>
      <c r="Q21" s="1811"/>
      <c r="R21" s="772"/>
      <c r="S21" s="773"/>
      <c r="T21" s="772"/>
      <c r="U21" s="773"/>
      <c r="V21" s="772"/>
      <c r="W21" s="773"/>
      <c r="X21" s="1814"/>
      <c r="Y21" s="3146"/>
      <c r="Z21" s="1815"/>
      <c r="AA21" s="1812">
        <v>1</v>
      </c>
      <c r="AB21" s="1812">
        <v>1</v>
      </c>
      <c r="AC21" s="1812">
        <v>1</v>
      </c>
    </row>
    <row r="22" spans="1:29" ht="15">
      <c r="A22" s="404"/>
      <c r="B22" s="629" t="s">
        <v>2694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46"/>
      <c r="Q22" s="1811" t="str">
        <f>B22</f>
        <v>楼层</v>
      </c>
      <c r="R22" s="772" t="s">
        <v>17</v>
      </c>
      <c r="S22" s="773">
        <f>F22</f>
        <v>100</v>
      </c>
      <c r="T22" s="772" t="s">
        <v>17</v>
      </c>
      <c r="U22" s="773">
        <f>H22</f>
        <v>100</v>
      </c>
      <c r="V22" s="772" t="s">
        <v>17</v>
      </c>
      <c r="W22" s="773">
        <f>J22</f>
        <v>100</v>
      </c>
      <c r="X22" s="1814"/>
      <c r="Y22" s="3146"/>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46"/>
      <c r="Q23" s="1811">
        <f>B23</f>
        <v>111</v>
      </c>
      <c r="R23" s="772" t="s">
        <v>17</v>
      </c>
      <c r="S23" s="773">
        <f>F23</f>
        <v>100</v>
      </c>
      <c r="T23" s="772" t="s">
        <v>17</v>
      </c>
      <c r="U23" s="773">
        <f>H23</f>
        <v>100</v>
      </c>
      <c r="V23" s="772" t="s">
        <v>17</v>
      </c>
      <c r="W23" s="773">
        <f>J23</f>
        <v>100</v>
      </c>
      <c r="X23" s="1814"/>
      <c r="Y23" s="3146"/>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46"/>
      <c r="Q24" s="1811">
        <f t="shared" ref="Q24:Q36" si="11">B24</f>
        <v>111</v>
      </c>
      <c r="R24" s="772" t="s">
        <v>17</v>
      </c>
      <c r="S24" s="773">
        <f>F24</f>
        <v>100</v>
      </c>
      <c r="T24" s="772" t="s">
        <v>17</v>
      </c>
      <c r="U24" s="773">
        <f>H24</f>
        <v>100</v>
      </c>
      <c r="V24" s="772" t="s">
        <v>17</v>
      </c>
      <c r="W24" s="773">
        <f>J24</f>
        <v>100</v>
      </c>
      <c r="X24" s="1814"/>
      <c r="Y24" s="3146"/>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146"/>
      <c r="Q25" s="1796">
        <f t="shared" si="11"/>
        <v>111</v>
      </c>
      <c r="R25" s="768" t="s">
        <v>17</v>
      </c>
      <c r="S25" s="769">
        <f>F25</f>
        <v>100</v>
      </c>
      <c r="T25" s="768" t="s">
        <v>17</v>
      </c>
      <c r="U25" s="769">
        <f>H25</f>
        <v>100</v>
      </c>
      <c r="V25" s="768" t="s">
        <v>17</v>
      </c>
      <c r="W25" s="769">
        <f>J25</f>
        <v>100</v>
      </c>
      <c r="X25" s="770"/>
      <c r="Y25" s="3146"/>
      <c r="Z25" s="54">
        <f>Q25</f>
        <v>111</v>
      </c>
      <c r="AA25" s="1812">
        <f>D25/F25</f>
        <v>1</v>
      </c>
      <c r="AB25" s="1812">
        <f>D25/H25</f>
        <v>1</v>
      </c>
      <c r="AC25" s="1812">
        <f>D25/J25</f>
        <v>1</v>
      </c>
    </row>
    <row r="26" spans="1:29" ht="15">
      <c r="A26" s="650" t="s">
        <v>2547</v>
      </c>
      <c r="B26" s="69" t="s">
        <v>2695</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2549</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50" t="s">
        <v>2549</v>
      </c>
      <c r="Z26" s="1815" t="str">
        <f t="shared" ref="Z26:Z36" si="15">Q26</f>
        <v>配套类型</v>
      </c>
      <c r="AA26" s="1812">
        <f t="shared" si="3"/>
        <v>1</v>
      </c>
      <c r="AB26" s="1812">
        <f t="shared" si="4"/>
        <v>1</v>
      </c>
      <c r="AC26" s="1812">
        <f t="shared" si="5"/>
        <v>1</v>
      </c>
    </row>
    <row r="27" spans="1:29" s="471" customFormat="1" ht="15">
      <c r="A27" s="651"/>
      <c r="B27" s="652" t="s">
        <v>2696</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150"/>
      <c r="Q27" s="774" t="str">
        <f t="shared" si="11"/>
        <v>项目停车位配比</v>
      </c>
      <c r="R27" s="775" t="s">
        <v>17</v>
      </c>
      <c r="S27" s="776">
        <f t="shared" si="12"/>
        <v>100</v>
      </c>
      <c r="T27" s="775" t="s">
        <v>17</v>
      </c>
      <c r="U27" s="776">
        <f t="shared" si="13"/>
        <v>100</v>
      </c>
      <c r="V27" s="775" t="s">
        <v>17</v>
      </c>
      <c r="W27" s="776">
        <f t="shared" si="14"/>
        <v>100</v>
      </c>
      <c r="X27" s="777"/>
      <c r="Y27" s="3150"/>
      <c r="Z27" s="778" t="str">
        <f t="shared" si="15"/>
        <v>项目停车位配比</v>
      </c>
      <c r="AA27" s="1812">
        <f t="shared" si="3"/>
        <v>1</v>
      </c>
      <c r="AB27" s="1812">
        <f t="shared" si="4"/>
        <v>1</v>
      </c>
      <c r="AC27" s="1812">
        <f t="shared" si="5"/>
        <v>1</v>
      </c>
    </row>
    <row r="28" spans="1:29" ht="15">
      <c r="A28" s="654"/>
      <c r="B28" s="652" t="s">
        <v>2697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50"/>
      <c r="Q28" s="1811" t="str">
        <f t="shared" si="11"/>
        <v>公共部分装修</v>
      </c>
      <c r="R28" s="772" t="s">
        <v>17</v>
      </c>
      <c r="S28" s="773">
        <f t="shared" si="12"/>
        <v>100</v>
      </c>
      <c r="T28" s="772" t="s">
        <v>17</v>
      </c>
      <c r="U28" s="773">
        <f t="shared" si="13"/>
        <v>100</v>
      </c>
      <c r="V28" s="772" t="s">
        <v>17</v>
      </c>
      <c r="W28" s="773">
        <f t="shared" si="14"/>
        <v>100</v>
      </c>
      <c r="X28" s="1814"/>
      <c r="Y28" s="3150"/>
      <c r="Z28" s="1815" t="str">
        <f t="shared" si="15"/>
        <v>公共部分装修</v>
      </c>
      <c r="AA28" s="1812">
        <f t="shared" si="3"/>
        <v>1</v>
      </c>
      <c r="AB28" s="1812">
        <f t="shared" si="4"/>
        <v>1</v>
      </c>
      <c r="AC28" s="1812">
        <f t="shared" si="5"/>
        <v>1</v>
      </c>
    </row>
    <row r="29" spans="1:29" ht="15">
      <c r="A29" s="654"/>
      <c r="B29" s="652"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50"/>
      <c r="Q29" s="1811" t="str">
        <f t="shared" si="11"/>
        <v>成新率</v>
      </c>
      <c r="R29" s="772" t="s">
        <v>17</v>
      </c>
      <c r="S29" s="773" t="e">
        <f t="shared" si="12"/>
        <v>#N/A</v>
      </c>
      <c r="T29" s="772" t="s">
        <v>17</v>
      </c>
      <c r="U29" s="773" t="e">
        <f t="shared" si="13"/>
        <v>#N/A</v>
      </c>
      <c r="V29" s="772" t="s">
        <v>17</v>
      </c>
      <c r="W29" s="773" t="e">
        <f t="shared" si="14"/>
        <v>#N/A</v>
      </c>
      <c r="X29" s="1814"/>
      <c r="Y29" s="3150"/>
      <c r="Z29" s="1815" t="str">
        <f t="shared" si="15"/>
        <v>成新率</v>
      </c>
      <c r="AA29" s="1812" t="e">
        <f t="shared" si="3"/>
        <v>#N/A</v>
      </c>
      <c r="AB29" s="1812" t="e">
        <f t="shared" si="4"/>
        <v>#N/A</v>
      </c>
      <c r="AC29" s="1812" t="e">
        <f t="shared" si="5"/>
        <v>#N/A</v>
      </c>
    </row>
    <row r="30" spans="1:29" ht="15">
      <c r="A30" s="654"/>
      <c r="B30" s="652" t="s">
        <v>2699</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150"/>
      <c r="Q30" s="1811" t="str">
        <f t="shared" si="11"/>
        <v>物业等级</v>
      </c>
      <c r="R30" s="772" t="s">
        <v>17</v>
      </c>
      <c r="S30" s="773">
        <f t="shared" si="12"/>
        <v>100</v>
      </c>
      <c r="T30" s="772" t="s">
        <v>17</v>
      </c>
      <c r="U30" s="773">
        <f t="shared" si="13"/>
        <v>100</v>
      </c>
      <c r="V30" s="772" t="s">
        <v>17</v>
      </c>
      <c r="W30" s="773">
        <f t="shared" si="14"/>
        <v>100</v>
      </c>
      <c r="X30" s="1814"/>
      <c r="Y30" s="3150"/>
      <c r="Z30" s="1815" t="str">
        <f t="shared" si="15"/>
        <v>物业等级</v>
      </c>
      <c r="AA30" s="1812">
        <f t="shared" si="3"/>
        <v>1</v>
      </c>
      <c r="AB30" s="1812">
        <f t="shared" si="4"/>
        <v>1</v>
      </c>
      <c r="AC30" s="1812">
        <f t="shared" si="5"/>
        <v>1</v>
      </c>
    </row>
    <row r="31" spans="1:29" s="116" customFormat="1" ht="15">
      <c r="A31" s="656"/>
      <c r="B31" s="652" t="s">
        <v>2700</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50"/>
      <c r="Q31" s="1796" t="str">
        <f t="shared" si="11"/>
        <v>停车位面积</v>
      </c>
      <c r="R31" s="768" t="s">
        <v>17</v>
      </c>
      <c r="S31" s="769" t="e">
        <f t="shared" si="12"/>
        <v>#N/A</v>
      </c>
      <c r="T31" s="768" t="s">
        <v>17</v>
      </c>
      <c r="U31" s="769" t="e">
        <f t="shared" si="13"/>
        <v>#N/A</v>
      </c>
      <c r="V31" s="768" t="s">
        <v>17</v>
      </c>
      <c r="W31" s="769" t="e">
        <f t="shared" si="14"/>
        <v>#N/A</v>
      </c>
      <c r="X31" s="770"/>
      <c r="Y31" s="3150"/>
      <c r="Z31" s="54" t="str">
        <f t="shared" si="15"/>
        <v>停车位面积</v>
      </c>
      <c r="AA31" s="771" t="e">
        <f t="shared" si="3"/>
        <v>#N/A</v>
      </c>
      <c r="AB31" s="771" t="e">
        <f t="shared" si="4"/>
        <v>#N/A</v>
      </c>
      <c r="AC31" s="771" t="e">
        <f t="shared" si="5"/>
        <v>#N/A</v>
      </c>
    </row>
    <row r="32" spans="1:29" ht="15">
      <c r="A32" s="654"/>
      <c r="B32" s="652" t="s">
        <v>2701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50" t="s">
        <v>2549</v>
      </c>
      <c r="Q32" s="1811" t="str">
        <f t="shared" si="11"/>
        <v>车位类型</v>
      </c>
      <c r="R32" s="772" t="s">
        <v>17</v>
      </c>
      <c r="S32" s="773">
        <f t="shared" si="12"/>
        <v>100</v>
      </c>
      <c r="T32" s="772" t="s">
        <v>17</v>
      </c>
      <c r="U32" s="773">
        <f t="shared" si="13"/>
        <v>100</v>
      </c>
      <c r="V32" s="772" t="s">
        <v>17</v>
      </c>
      <c r="W32" s="773">
        <f t="shared" si="14"/>
        <v>100</v>
      </c>
      <c r="X32" s="1814"/>
      <c r="Y32" s="3150" t="s">
        <v>2549</v>
      </c>
      <c r="Z32" s="1815" t="str">
        <f t="shared" si="15"/>
        <v>车位类型</v>
      </c>
      <c r="AA32" s="1812">
        <f t="shared" si="3"/>
        <v>1</v>
      </c>
      <c r="AB32" s="1812">
        <f t="shared" si="4"/>
        <v>1</v>
      </c>
      <c r="AC32" s="1812">
        <f t="shared" si="5"/>
        <v>1</v>
      </c>
    </row>
    <row r="33" spans="1:29" ht="15">
      <c r="A33" s="654"/>
      <c r="B33" s="652" t="s">
        <v>2702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50"/>
      <c r="Q33" s="1811" t="str">
        <f t="shared" si="11"/>
        <v>是否直接入户</v>
      </c>
      <c r="R33" s="772" t="s">
        <v>17</v>
      </c>
      <c r="S33" s="773">
        <f t="shared" si="12"/>
        <v>100</v>
      </c>
      <c r="T33" s="772" t="s">
        <v>17</v>
      </c>
      <c r="U33" s="773">
        <f t="shared" si="13"/>
        <v>100</v>
      </c>
      <c r="V33" s="772" t="s">
        <v>17</v>
      </c>
      <c r="W33" s="773">
        <f t="shared" si="14"/>
        <v>100</v>
      </c>
      <c r="X33" s="1814"/>
      <c r="Y33" s="3150"/>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50"/>
      <c r="Q34" s="1811">
        <f t="shared" si="11"/>
        <v>111</v>
      </c>
      <c r="R34" s="772" t="s">
        <v>17</v>
      </c>
      <c r="S34" s="773">
        <f t="shared" si="12"/>
        <v>100</v>
      </c>
      <c r="T34" s="772" t="s">
        <v>17</v>
      </c>
      <c r="U34" s="773">
        <f t="shared" si="13"/>
        <v>100</v>
      </c>
      <c r="V34" s="772" t="s">
        <v>17</v>
      </c>
      <c r="W34" s="773">
        <f t="shared" si="14"/>
        <v>100</v>
      </c>
      <c r="X34" s="1814"/>
      <c r="Y34" s="3150"/>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50"/>
      <c r="Q35" s="774">
        <f t="shared" si="11"/>
        <v>111</v>
      </c>
      <c r="R35" s="775" t="s">
        <v>17</v>
      </c>
      <c r="S35" s="776">
        <f t="shared" si="12"/>
        <v>100</v>
      </c>
      <c r="T35" s="775" t="s">
        <v>17</v>
      </c>
      <c r="U35" s="776">
        <f t="shared" si="13"/>
        <v>100</v>
      </c>
      <c r="V35" s="775" t="s">
        <v>17</v>
      </c>
      <c r="W35" s="776">
        <f t="shared" si="14"/>
        <v>100</v>
      </c>
      <c r="X35" s="777"/>
      <c r="Y35" s="3150"/>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50"/>
      <c r="Q36" s="1811">
        <f t="shared" si="11"/>
        <v>111</v>
      </c>
      <c r="R36" s="772" t="s">
        <v>17</v>
      </c>
      <c r="S36" s="773">
        <f t="shared" si="12"/>
        <v>100</v>
      </c>
      <c r="T36" s="772" t="s">
        <v>17</v>
      </c>
      <c r="U36" s="773">
        <f t="shared" si="13"/>
        <v>100</v>
      </c>
      <c r="V36" s="772" t="s">
        <v>17</v>
      </c>
      <c r="W36" s="773">
        <f t="shared" si="14"/>
        <v>100</v>
      </c>
      <c r="X36" s="1814"/>
      <c r="Y36" s="3150"/>
      <c r="Z36" s="1815">
        <f t="shared" si="15"/>
        <v>111</v>
      </c>
      <c r="AA36" s="1812">
        <f t="shared" si="3"/>
        <v>1</v>
      </c>
      <c r="AB36" s="1812">
        <f t="shared" si="4"/>
        <v>1</v>
      </c>
      <c r="AC36" s="1812">
        <f t="shared" si="5"/>
        <v>1</v>
      </c>
    </row>
    <row r="37" spans="1:29" ht="15">
      <c r="A37" s="479" t="s">
        <v>2703</v>
      </c>
      <c r="B37" s="2693" t="s">
        <v>2704</v>
      </c>
      <c r="C37" s="1407" t="s">
        <v>1</v>
      </c>
      <c r="D37" s="1408"/>
      <c r="E37" s="1409"/>
      <c r="F37" s="1410"/>
      <c r="G37" s="1411"/>
      <c r="H37" s="1412"/>
      <c r="I37" s="1409"/>
      <c r="J37" s="1412"/>
      <c r="K37" s="617"/>
      <c r="L37" s="1143"/>
      <c r="M37" s="1144"/>
      <c r="N37" s="1131"/>
      <c r="O37" s="1144"/>
      <c r="P37" s="3143" t="str">
        <f>A37</f>
        <v>成交单价</v>
      </c>
      <c r="Q37" s="3143"/>
      <c r="R37" s="3144">
        <f>E37</f>
        <v>0</v>
      </c>
      <c r="S37" s="3144"/>
      <c r="T37" s="3144">
        <f>G37</f>
        <v>0</v>
      </c>
      <c r="U37" s="3144"/>
      <c r="V37" s="3144">
        <f>I37</f>
        <v>0</v>
      </c>
      <c r="W37" s="3144"/>
      <c r="X37" s="757"/>
      <c r="Y37" s="779"/>
      <c r="Z37" s="757"/>
      <c r="AA37" s="757"/>
      <c r="AB37" s="757"/>
      <c r="AC37" s="757"/>
    </row>
    <row r="38" spans="1:29" ht="15.75" thickBot="1">
      <c r="A38" s="486" t="s">
        <v>2705</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143" t="str">
        <f>A38</f>
        <v>比较价值（元/平方米）</v>
      </c>
      <c r="Q38" s="3143"/>
      <c r="R38" s="3144" t="e">
        <f>IF(F1="售价",ROUND(PRODUCT(R37,AA7:AA36),0),ROUND(PRODUCT(R37,AA7:AA36),1))</f>
        <v>#DIV/0!</v>
      </c>
      <c r="S38" s="3144"/>
      <c r="T38" s="3144" t="e">
        <f>IF(F1="售价",ROUND(PRODUCT(T37,AB7:AB36),0),ROUND(PRODUCT(T37,AB7:AB36),1))</f>
        <v>#DIV/0!</v>
      </c>
      <c r="U38" s="3144"/>
      <c r="V38" s="3144" t="e">
        <f>IF(F1="售价",ROUND(PRODUCT(V37,AC7:AC36),0),ROUND(PRODUCT(V37,AC7:AC36),1))</f>
        <v>#DIV/0!</v>
      </c>
      <c r="W38" s="3144"/>
      <c r="X38" s="757"/>
      <c r="Y38" s="757"/>
      <c r="Z38" s="757"/>
      <c r="AA38" s="757"/>
      <c r="AB38" s="757"/>
      <c r="AC38" s="757"/>
    </row>
    <row r="39" spans="1:29" ht="15.75" thickBot="1">
      <c r="A39" s="492" t="s">
        <v>2706</v>
      </c>
      <c r="B39" s="493"/>
      <c r="C39" s="1417" t="e">
        <f>R39</f>
        <v>#DIV/0!</v>
      </c>
      <c r="D39" s="1417"/>
      <c r="E39" s="1417"/>
      <c r="F39" s="1417"/>
      <c r="G39" s="1417"/>
      <c r="H39" s="1417"/>
      <c r="I39" s="1417"/>
      <c r="J39" s="1417"/>
      <c r="K39" s="619"/>
      <c r="L39" s="1143"/>
      <c r="M39" s="1144"/>
      <c r="N39" s="1144"/>
      <c r="O39" s="1144"/>
      <c r="P39" s="3140" t="str">
        <f>A39</f>
        <v>估价对象XX用房的比较价值（楼面单价，元/平方米）</v>
      </c>
      <c r="Q39" s="3141"/>
      <c r="R39" s="3142" t="e">
        <f>IF(F1="售价",ROUND(AVERAGE(R38:V38),0),ROUND(AVERAGE(R38:V38),1))</f>
        <v>#DIV/0!</v>
      </c>
      <c r="S39" s="3142"/>
      <c r="T39" s="3142"/>
      <c r="U39" s="3142"/>
      <c r="V39" s="3142"/>
      <c r="W39" s="3142"/>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2711</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2569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2534</v>
      </c>
      <c r="B51" s="510"/>
      <c r="C51" s="522" t="s">
        <v>2636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2572</v>
      </c>
      <c r="B53" s="528" t="s">
        <v>2538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2541</v>
      </c>
      <c r="C55" s="539" t="s">
        <v>2573</v>
      </c>
      <c r="D55" s="539" t="s">
        <v>2574</v>
      </c>
      <c r="E55" s="539" t="s">
        <v>2575</v>
      </c>
      <c r="F55" s="539" t="s">
        <v>2576</v>
      </c>
      <c r="G55" s="539" t="s">
        <v>2577</v>
      </c>
      <c r="H55" s="539" t="s">
        <v>2578</v>
      </c>
      <c r="I55" s="539" t="s">
        <v>2579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2543</v>
      </c>
      <c r="B63" s="528" t="s">
        <v>2586</v>
      </c>
      <c r="C63" s="573" t="s">
        <v>2581</v>
      </c>
      <c r="D63" s="573" t="s">
        <v>2582</v>
      </c>
      <c r="E63" s="573" t="s">
        <v>2583</v>
      </c>
      <c r="F63" s="573" t="s">
        <v>2584</v>
      </c>
      <c r="G63" s="573" t="s">
        <v>2585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2587</v>
      </c>
      <c r="C65" s="578" t="s">
        <v>2581</v>
      </c>
      <c r="D65" s="578" t="s">
        <v>2582</v>
      </c>
      <c r="E65" s="578" t="s">
        <v>2583</v>
      </c>
      <c r="F65" s="578" t="s">
        <v>2584</v>
      </c>
      <c r="G65" s="578" t="s">
        <v>2585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2672</v>
      </c>
      <c r="C67" s="658" t="s">
        <v>2658</v>
      </c>
      <c r="D67" s="658" t="s">
        <v>2659</v>
      </c>
      <c r="E67" s="658" t="s">
        <v>2660</v>
      </c>
      <c r="F67" s="658" t="s">
        <v>2661</v>
      </c>
      <c r="G67" s="658" t="s">
        <v>2662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2593</v>
      </c>
      <c r="C69" s="578" t="s">
        <v>2581</v>
      </c>
      <c r="D69" s="578" t="s">
        <v>2582</v>
      </c>
      <c r="E69" s="578" t="s">
        <v>2583</v>
      </c>
      <c r="F69" s="578" t="s">
        <v>2584</v>
      </c>
      <c r="G69" s="578" t="s">
        <v>2585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2547</v>
      </c>
      <c r="B79" s="528" t="s">
        <v>2713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2714</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2719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2690</v>
      </c>
      <c r="B1" s="1620"/>
      <c r="C1" s="1621" t="s">
        <v>2514</v>
      </c>
      <c r="D1" s="1622"/>
      <c r="E1" s="1631"/>
      <c r="F1" s="2585"/>
      <c r="G1" s="1632" t="s">
        <v>2627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2311</v>
      </c>
      <c r="B2" s="1418" t="e">
        <f ca="1">IF(C2="——",ROUND(C37*D3/10000,0),ROUND(C37*D3/10000,0)-D2)</f>
        <v>#DIV/0!</v>
      </c>
      <c r="C2" s="2587"/>
      <c r="D2" s="1124" t="e">
        <f ca="1">SUMIF(INDIRECT("'"&amp;F2&amp;"'"&amp;"!A:A"),"承租人权益价值",INDIRECT("'"&amp;F2&amp;"'"&amp;"!c:c"))</f>
        <v>#REF!</v>
      </c>
      <c r="E2" s="2588" t="s">
        <v>2312</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2313</v>
      </c>
      <c r="B3" s="609" t="e">
        <f ca="1">IF(C2="——",C37,ROUND(B2*10000/D3,0))</f>
        <v>#DIV/0!</v>
      </c>
      <c r="C3" s="400" t="s">
        <v>2628</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68" t="s">
        <v>2631</v>
      </c>
      <c r="S4" s="3169"/>
      <c r="T4" s="3168" t="s">
        <v>2632</v>
      </c>
      <c r="U4" s="3169"/>
      <c r="V4" s="3174" t="s">
        <v>2633</v>
      </c>
      <c r="W4" s="3174"/>
      <c r="X4" s="1814"/>
      <c r="Y4" s="3168" t="s">
        <v>2635</v>
      </c>
      <c r="Z4" s="3169"/>
      <c r="AA4" s="3155" t="s">
        <v>2631</v>
      </c>
      <c r="AB4" s="3156" t="s">
        <v>2632</v>
      </c>
      <c r="AC4" s="3155" t="s">
        <v>2633</v>
      </c>
    </row>
    <row r="5" spans="1:29" ht="15">
      <c r="A5" s="404"/>
      <c r="B5" s="405"/>
      <c r="C5" s="3230" t="s">
        <v>2526</v>
      </c>
      <c r="D5" s="3178"/>
      <c r="E5" s="3233" t="s">
        <v>2527</v>
      </c>
      <c r="F5" s="3185"/>
      <c r="G5" s="3230" t="s">
        <v>2528</v>
      </c>
      <c r="H5" s="3178"/>
      <c r="I5" s="3230" t="s">
        <v>2529</v>
      </c>
      <c r="J5" s="3178"/>
      <c r="K5" s="610"/>
      <c r="L5" s="1130"/>
      <c r="M5" s="1131"/>
      <c r="N5" s="1131"/>
      <c r="O5" s="1131"/>
      <c r="P5" s="3164"/>
      <c r="Q5" s="3165"/>
      <c r="R5" s="3170"/>
      <c r="S5" s="3171"/>
      <c r="T5" s="3170"/>
      <c r="U5" s="3171"/>
      <c r="V5" s="3174"/>
      <c r="W5" s="3174"/>
      <c r="X5" s="1814"/>
      <c r="Y5" s="3170"/>
      <c r="Z5" s="3171"/>
      <c r="AA5" s="3156"/>
      <c r="AB5" s="3156"/>
      <c r="AC5" s="3156"/>
    </row>
    <row r="6" spans="1:29" ht="15.75" thickBot="1">
      <c r="A6" s="406"/>
      <c r="B6" s="407"/>
      <c r="C6" s="3175" t="s">
        <v>2530</v>
      </c>
      <c r="D6" s="3176"/>
      <c r="E6" s="3182" t="s">
        <v>2530</v>
      </c>
      <c r="F6" s="3183"/>
      <c r="G6" s="3175" t="s">
        <v>2530</v>
      </c>
      <c r="H6" s="3176"/>
      <c r="I6" s="3175" t="s">
        <v>2530</v>
      </c>
      <c r="J6" s="3176"/>
      <c r="K6" s="610" t="s">
        <v>2531</v>
      </c>
      <c r="L6" s="1130"/>
      <c r="M6" s="1131"/>
      <c r="N6" s="1131"/>
      <c r="O6" s="1131"/>
      <c r="P6" s="3166"/>
      <c r="Q6" s="3167"/>
      <c r="R6" s="3170"/>
      <c r="S6" s="3171"/>
      <c r="T6" s="3172"/>
      <c r="U6" s="3173"/>
      <c r="V6" s="3174"/>
      <c r="W6" s="3174"/>
      <c r="X6" s="1814"/>
      <c r="Y6" s="3172"/>
      <c r="Z6" s="3173"/>
      <c r="AA6" s="3157"/>
      <c r="AB6" s="3157"/>
      <c r="AC6" s="3157"/>
    </row>
    <row r="7" spans="1:29" s="116" customFormat="1" ht="15.75" thickBot="1">
      <c r="A7" s="408" t="s">
        <v>2532</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79" t="s">
        <v>2533</v>
      </c>
      <c r="Q7" s="3181"/>
      <c r="R7" s="768" t="s">
        <v>17</v>
      </c>
      <c r="S7" s="769">
        <f t="shared" ref="S7:S14" si="0">F7</f>
        <v>0</v>
      </c>
      <c r="T7" s="768" t="s">
        <v>17</v>
      </c>
      <c r="U7" s="769">
        <f t="shared" ref="U7:U14" si="1">H7</f>
        <v>0</v>
      </c>
      <c r="V7" s="768" t="s">
        <v>17</v>
      </c>
      <c r="W7" s="769">
        <f t="shared" ref="W7:W14" si="2">J7</f>
        <v>0</v>
      </c>
      <c r="X7" s="770"/>
      <c r="Y7" s="3179" t="s">
        <v>2533</v>
      </c>
      <c r="Z7" s="3180"/>
      <c r="AA7" s="771" t="e">
        <f>D7/F7</f>
        <v>#DIV/0!</v>
      </c>
      <c r="AB7" s="771" t="e">
        <f>D7/H7</f>
        <v>#DIV/0!</v>
      </c>
      <c r="AC7" s="771" t="e">
        <f>D7/J7</f>
        <v>#DIV/0!</v>
      </c>
    </row>
    <row r="8" spans="1:29" s="116" customFormat="1" ht="15.75" thickBot="1">
      <c r="A8" s="408" t="s">
        <v>2534</v>
      </c>
      <c r="B8" s="409"/>
      <c r="C8" s="414" t="s">
        <v>2636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9" t="s">
        <v>2536</v>
      </c>
      <c r="Q8" s="3180"/>
      <c r="R8" s="768" t="s">
        <v>17</v>
      </c>
      <c r="S8" s="769">
        <f t="shared" si="0"/>
        <v>0</v>
      </c>
      <c r="T8" s="768" t="s">
        <v>17</v>
      </c>
      <c r="U8" s="769">
        <f t="shared" si="1"/>
        <v>0</v>
      </c>
      <c r="V8" s="768" t="s">
        <v>17</v>
      </c>
      <c r="W8" s="769">
        <f t="shared" si="2"/>
        <v>0</v>
      </c>
      <c r="X8" s="770"/>
      <c r="Y8" s="3179" t="s">
        <v>2536</v>
      </c>
      <c r="Z8" s="3180"/>
      <c r="AA8" s="771" t="e">
        <f t="shared" ref="AA8:AA34" si="3">D8/F8</f>
        <v>#DIV/0!</v>
      </c>
      <c r="AB8" s="771" t="e">
        <f t="shared" ref="AB8:AB34" si="4">D8/H8</f>
        <v>#DIV/0!</v>
      </c>
      <c r="AC8" s="771" t="e">
        <f t="shared" ref="AC8:AC34" si="5">D8/J8</f>
        <v>#DIV/0!</v>
      </c>
    </row>
    <row r="9" spans="1:29" s="116" customFormat="1">
      <c r="A9" s="415" t="s">
        <v>2537</v>
      </c>
      <c r="B9" s="70" t="s">
        <v>2538</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43" t="s">
        <v>2539</v>
      </c>
      <c r="Q9" s="1796" t="str">
        <f t="shared" ref="Q9:Q14" si="6">B9</f>
        <v>用途</v>
      </c>
      <c r="R9" s="768" t="s">
        <v>17</v>
      </c>
      <c r="S9" s="769">
        <f t="shared" si="0"/>
        <v>100</v>
      </c>
      <c r="T9" s="768" t="s">
        <v>17</v>
      </c>
      <c r="U9" s="769">
        <f t="shared" si="1"/>
        <v>100</v>
      </c>
      <c r="V9" s="768" t="s">
        <v>17</v>
      </c>
      <c r="W9" s="769">
        <f t="shared" si="2"/>
        <v>100</v>
      </c>
      <c r="X9" s="770"/>
      <c r="Y9" s="2998" t="s">
        <v>2540</v>
      </c>
      <c r="Z9" s="54" t="str">
        <f t="shared" ref="Z9:Z14" si="7">Q9</f>
        <v>用途</v>
      </c>
      <c r="AA9" s="771">
        <f t="shared" si="3"/>
        <v>1</v>
      </c>
      <c r="AB9" s="771">
        <f t="shared" si="4"/>
        <v>1</v>
      </c>
      <c r="AC9" s="771">
        <f t="shared" si="5"/>
        <v>1</v>
      </c>
    </row>
    <row r="10" spans="1:29" s="427" customFormat="1" ht="27">
      <c r="A10" s="421"/>
      <c r="B10" s="422" t="s">
        <v>2541</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43"/>
      <c r="Q10" s="1796" t="str">
        <f t="shared" si="6"/>
        <v>土地使用年限（年）</v>
      </c>
      <c r="R10" s="768" t="s">
        <v>17</v>
      </c>
      <c r="S10" s="769">
        <f t="shared" si="0"/>
        <v>100</v>
      </c>
      <c r="T10" s="768" t="s">
        <v>17</v>
      </c>
      <c r="U10" s="769">
        <f t="shared" si="1"/>
        <v>100</v>
      </c>
      <c r="V10" s="768" t="s">
        <v>17</v>
      </c>
      <c r="W10" s="769">
        <f t="shared" si="2"/>
        <v>100</v>
      </c>
      <c r="X10" s="770"/>
      <c r="Y10" s="2998"/>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43"/>
      <c r="Q11" s="1796">
        <f t="shared" si="6"/>
        <v>111</v>
      </c>
      <c r="R11" s="768" t="s">
        <v>17</v>
      </c>
      <c r="S11" s="769">
        <f t="shared" si="0"/>
        <v>100</v>
      </c>
      <c r="T11" s="768" t="s">
        <v>17</v>
      </c>
      <c r="U11" s="769">
        <f t="shared" si="1"/>
        <v>100</v>
      </c>
      <c r="V11" s="768" t="s">
        <v>17</v>
      </c>
      <c r="W11" s="769">
        <f t="shared" si="2"/>
        <v>100</v>
      </c>
      <c r="X11" s="770"/>
      <c r="Y11" s="2998"/>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43"/>
      <c r="Q12" s="1796">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43"/>
      <c r="Q13" s="1796">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771">
        <f t="shared" si="5"/>
        <v>1</v>
      </c>
    </row>
    <row r="14" spans="1:29" ht="71.25">
      <c r="A14" s="440" t="s">
        <v>2543</v>
      </c>
      <c r="B14" s="68" t="s">
        <v>2692</v>
      </c>
      <c r="C14" s="2691" t="str">
        <f>IF(B1="工业",估价对象房地状况!G4,估价对象房地状况!C6)</f>
        <v>周边有302、快速直达专线102路等公交线路，交通便捷度一般。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45" t="s">
        <v>2544</v>
      </c>
      <c r="Q14" s="1811" t="str">
        <f t="shared" si="6"/>
        <v>交通便捷度</v>
      </c>
      <c r="R14" s="772" t="s">
        <v>17</v>
      </c>
      <c r="S14" s="773">
        <f t="shared" si="0"/>
        <v>100</v>
      </c>
      <c r="T14" s="772" t="s">
        <v>17</v>
      </c>
      <c r="U14" s="773">
        <f t="shared" si="1"/>
        <v>100</v>
      </c>
      <c r="V14" s="772" t="s">
        <v>17</v>
      </c>
      <c r="W14" s="773">
        <f t="shared" si="2"/>
        <v>100</v>
      </c>
      <c r="X14" s="1814"/>
      <c r="Y14" s="3145" t="s">
        <v>2544</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146"/>
      <c r="Q15" s="1811"/>
      <c r="R15" s="772"/>
      <c r="S15" s="773"/>
      <c r="T15" s="772"/>
      <c r="U15" s="773"/>
      <c r="V15" s="772"/>
      <c r="W15" s="773"/>
      <c r="X15" s="1814"/>
      <c r="Y15" s="3146"/>
      <c r="Z15" s="1815"/>
      <c r="AA15" s="1812">
        <v>1</v>
      </c>
      <c r="AB15" s="1812">
        <v>1</v>
      </c>
      <c r="AC15" s="1812">
        <v>1</v>
      </c>
    </row>
    <row r="16" spans="1:29" ht="71.25">
      <c r="A16" s="428"/>
      <c r="B16" s="451" t="s">
        <v>2671</v>
      </c>
      <c r="C16" s="2607" t="str">
        <f>IF(B1="工业",估价对象房地状况!G5,估价对象房地状况!C7)</f>
        <v>估价对象周边无银行、商场、学校、医院，有社区超市等，公共配套设施较差。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46"/>
      <c r="Q16" s="1811" t="str">
        <f>B16</f>
        <v>公共配套设施</v>
      </c>
      <c r="R16" s="772" t="s">
        <v>17</v>
      </c>
      <c r="S16" s="773">
        <f>F16</f>
        <v>100</v>
      </c>
      <c r="T16" s="772" t="s">
        <v>17</v>
      </c>
      <c r="U16" s="773">
        <f>H16</f>
        <v>100</v>
      </c>
      <c r="V16" s="772" t="s">
        <v>17</v>
      </c>
      <c r="W16" s="773">
        <f>J16</f>
        <v>100</v>
      </c>
      <c r="X16" s="1814"/>
      <c r="Y16" s="3146"/>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146"/>
      <c r="Q17" s="1811"/>
      <c r="R17" s="772"/>
      <c r="S17" s="773"/>
      <c r="T17" s="772"/>
      <c r="U17" s="773"/>
      <c r="V17" s="772"/>
      <c r="W17" s="773"/>
      <c r="X17" s="1814"/>
      <c r="Y17" s="3146"/>
      <c r="Z17" s="1815"/>
      <c r="AA17" s="1812">
        <v>1</v>
      </c>
      <c r="AB17" s="1812">
        <v>1</v>
      </c>
      <c r="AC17" s="1812">
        <v>1</v>
      </c>
    </row>
    <row r="18" spans="1:29" ht="42.75">
      <c r="A18" s="428"/>
      <c r="B18" s="1384" t="s">
        <v>2672</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46"/>
      <c r="Q18" s="1811" t="str">
        <f>B18</f>
        <v>基础设施水平</v>
      </c>
      <c r="R18" s="772" t="s">
        <v>17</v>
      </c>
      <c r="S18" s="773">
        <f>F18</f>
        <v>100</v>
      </c>
      <c r="T18" s="772" t="s">
        <v>17</v>
      </c>
      <c r="U18" s="773">
        <f>H18</f>
        <v>100</v>
      </c>
      <c r="V18" s="772" t="s">
        <v>17</v>
      </c>
      <c r="W18" s="773">
        <f>J18</f>
        <v>100</v>
      </c>
      <c r="X18" s="1814"/>
      <c r="Y18" s="3146"/>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146"/>
      <c r="Q19" s="1811"/>
      <c r="R19" s="772"/>
      <c r="S19" s="773"/>
      <c r="T19" s="772"/>
      <c r="U19" s="773"/>
      <c r="V19" s="772"/>
      <c r="W19" s="773"/>
      <c r="X19" s="1814"/>
      <c r="Y19" s="3146"/>
      <c r="Z19" s="1815"/>
      <c r="AA19" s="1812">
        <v>1</v>
      </c>
      <c r="AB19" s="1812">
        <v>1</v>
      </c>
      <c r="AC19" s="1812">
        <v>1</v>
      </c>
    </row>
    <row r="20" spans="1:29" ht="71.25">
      <c r="A20" s="428"/>
      <c r="B20" s="451" t="s">
        <v>2693</v>
      </c>
      <c r="C20" s="2607" t="str">
        <f>IF(B1="工业",估价对象房地状况!G7,估价对象房地状况!C9)</f>
        <v>周边绿化均为城市绿化，无高等教育机构等，综合评价环境状况一般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46"/>
      <c r="Q20" s="1811" t="str">
        <f>B20</f>
        <v>自然及人文环境</v>
      </c>
      <c r="R20" s="772" t="s">
        <v>17</v>
      </c>
      <c r="S20" s="773">
        <f>F20</f>
        <v>100</v>
      </c>
      <c r="T20" s="772" t="s">
        <v>17</v>
      </c>
      <c r="U20" s="773">
        <f>H20</f>
        <v>100</v>
      </c>
      <c r="V20" s="772" t="s">
        <v>17</v>
      </c>
      <c r="W20" s="773">
        <f>J20</f>
        <v>100</v>
      </c>
      <c r="X20" s="1814"/>
      <c r="Y20" s="3146"/>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146"/>
      <c r="Q21" s="1811"/>
      <c r="R21" s="772"/>
      <c r="S21" s="773"/>
      <c r="T21" s="772"/>
      <c r="U21" s="773"/>
      <c r="V21" s="772"/>
      <c r="W21" s="773"/>
      <c r="X21" s="1814"/>
      <c r="Y21" s="3146"/>
      <c r="Z21" s="1815"/>
      <c r="AA21" s="1812">
        <v>1</v>
      </c>
      <c r="AB21" s="1812">
        <v>1</v>
      </c>
      <c r="AC21" s="1812">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46"/>
      <c r="Q22" s="1811" t="str">
        <f>B22</f>
        <v>楼层</v>
      </c>
      <c r="R22" s="772" t="s">
        <v>17</v>
      </c>
      <c r="S22" s="773">
        <f>F22</f>
        <v>100</v>
      </c>
      <c r="T22" s="772" t="s">
        <v>17</v>
      </c>
      <c r="U22" s="773">
        <f>H22</f>
        <v>100</v>
      </c>
      <c r="V22" s="772" t="s">
        <v>17</v>
      </c>
      <c r="W22" s="773">
        <f>J22</f>
        <v>100</v>
      </c>
      <c r="X22" s="1814"/>
      <c r="Y22" s="3146"/>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46"/>
      <c r="Q23" s="1811">
        <f>B23</f>
        <v>111</v>
      </c>
      <c r="R23" s="772" t="s">
        <v>17</v>
      </c>
      <c r="S23" s="773">
        <f>F23</f>
        <v>100</v>
      </c>
      <c r="T23" s="772" t="s">
        <v>17</v>
      </c>
      <c r="U23" s="773">
        <f>H23</f>
        <v>100</v>
      </c>
      <c r="V23" s="772" t="s">
        <v>17</v>
      </c>
      <c r="W23" s="773">
        <f>J23</f>
        <v>100</v>
      </c>
      <c r="X23" s="1814"/>
      <c r="Y23" s="3146"/>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46"/>
      <c r="Q24" s="1811">
        <f t="shared" ref="Q24:Q34" si="11">B24</f>
        <v>111</v>
      </c>
      <c r="R24" s="772" t="s">
        <v>17</v>
      </c>
      <c r="S24" s="773">
        <f>F24</f>
        <v>100</v>
      </c>
      <c r="T24" s="772" t="s">
        <v>17</v>
      </c>
      <c r="U24" s="773">
        <f>H24</f>
        <v>100</v>
      </c>
      <c r="V24" s="772" t="s">
        <v>17</v>
      </c>
      <c r="W24" s="773">
        <f>J24</f>
        <v>100</v>
      </c>
      <c r="X24" s="1814"/>
      <c r="Y24" s="3146"/>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146"/>
      <c r="Q25" s="1796">
        <f t="shared" si="11"/>
        <v>111</v>
      </c>
      <c r="R25" s="768" t="s">
        <v>17</v>
      </c>
      <c r="S25" s="769">
        <f>F25</f>
        <v>100</v>
      </c>
      <c r="T25" s="768" t="s">
        <v>17</v>
      </c>
      <c r="U25" s="769">
        <f>H25</f>
        <v>100</v>
      </c>
      <c r="V25" s="768" t="s">
        <v>17</v>
      </c>
      <c r="W25" s="769">
        <f>J25</f>
        <v>100</v>
      </c>
      <c r="X25" s="770"/>
      <c r="Y25" s="3146"/>
      <c r="Z25" s="54">
        <f>Q25</f>
        <v>111</v>
      </c>
      <c r="AA25" s="1812">
        <f>D25/F25</f>
        <v>1</v>
      </c>
      <c r="AB25" s="1812">
        <f>D25/H25</f>
        <v>1</v>
      </c>
      <c r="AC25" s="1812">
        <f>D25/J25</f>
        <v>1</v>
      </c>
    </row>
    <row r="26" spans="1:29" ht="15">
      <c r="A26" s="466" t="s">
        <v>2547</v>
      </c>
      <c r="B26" s="70" t="s">
        <v>2697</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234" t="s">
        <v>2549</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50" t="s">
        <v>2549</v>
      </c>
      <c r="Z26" s="1815" t="str">
        <f t="shared" ref="Z26:Z34" si="15">Q26</f>
        <v>公共部分装修</v>
      </c>
      <c r="AA26" s="1812">
        <f t="shared" si="3"/>
        <v>1</v>
      </c>
      <c r="AB26" s="1812">
        <f t="shared" si="4"/>
        <v>1</v>
      </c>
      <c r="AC26" s="1812">
        <f t="shared" si="5"/>
        <v>1</v>
      </c>
    </row>
    <row r="27" spans="1:29" s="471" customFormat="1" ht="15">
      <c r="A27" s="468"/>
      <c r="B27" s="422" t="s">
        <v>2698</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50"/>
      <c r="Q27" s="774" t="str">
        <f t="shared" si="11"/>
        <v>成新率</v>
      </c>
      <c r="R27" s="775" t="s">
        <v>17</v>
      </c>
      <c r="S27" s="776" t="e">
        <f t="shared" si="12"/>
        <v>#N/A</v>
      </c>
      <c r="T27" s="775" t="s">
        <v>17</v>
      </c>
      <c r="U27" s="776" t="e">
        <f t="shared" si="13"/>
        <v>#N/A</v>
      </c>
      <c r="V27" s="775" t="s">
        <v>17</v>
      </c>
      <c r="W27" s="776" t="e">
        <f t="shared" si="14"/>
        <v>#N/A</v>
      </c>
      <c r="X27" s="777"/>
      <c r="Y27" s="3150"/>
      <c r="Z27" s="778" t="str">
        <f t="shared" si="15"/>
        <v>成新率</v>
      </c>
      <c r="AA27" s="1812" t="e">
        <f t="shared" si="3"/>
        <v>#N/A</v>
      </c>
      <c r="AB27" s="1812" t="e">
        <f t="shared" si="4"/>
        <v>#N/A</v>
      </c>
      <c r="AC27" s="1812"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50"/>
      <c r="Q28" s="1811" t="str">
        <f t="shared" si="11"/>
        <v>物业等级</v>
      </c>
      <c r="R28" s="772" t="s">
        <v>17</v>
      </c>
      <c r="S28" s="773">
        <f t="shared" si="12"/>
        <v>100</v>
      </c>
      <c r="T28" s="772" t="s">
        <v>17</v>
      </c>
      <c r="U28" s="773">
        <f t="shared" si="13"/>
        <v>100</v>
      </c>
      <c r="V28" s="772" t="s">
        <v>17</v>
      </c>
      <c r="W28" s="773">
        <f t="shared" si="14"/>
        <v>100</v>
      </c>
      <c r="X28" s="1814"/>
      <c r="Y28" s="3150"/>
      <c r="Z28" s="1815" t="str">
        <f t="shared" si="15"/>
        <v>物业等级</v>
      </c>
      <c r="AA28" s="1812">
        <f t="shared" si="3"/>
        <v>1</v>
      </c>
      <c r="AB28" s="1812">
        <f t="shared" si="4"/>
        <v>1</v>
      </c>
      <c r="AC28" s="1812">
        <f t="shared" si="5"/>
        <v>1</v>
      </c>
    </row>
    <row r="29" spans="1:29" ht="15">
      <c r="A29" s="472"/>
      <c r="B29" s="422" t="s">
        <v>2720</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150"/>
      <c r="Q29" s="1811" t="str">
        <f t="shared" si="11"/>
        <v>有无电梯</v>
      </c>
      <c r="R29" s="772" t="s">
        <v>17</v>
      </c>
      <c r="S29" s="773">
        <f t="shared" si="12"/>
        <v>100</v>
      </c>
      <c r="T29" s="772" t="s">
        <v>17</v>
      </c>
      <c r="U29" s="773">
        <f t="shared" si="13"/>
        <v>100</v>
      </c>
      <c r="V29" s="772" t="s">
        <v>17</v>
      </c>
      <c r="W29" s="773">
        <f t="shared" si="14"/>
        <v>100</v>
      </c>
      <c r="X29" s="1814"/>
      <c r="Y29" s="3150"/>
      <c r="Z29" s="1815" t="str">
        <f t="shared" si="15"/>
        <v>有无电梯</v>
      </c>
      <c r="AA29" s="1812">
        <f t="shared" si="3"/>
        <v>1</v>
      </c>
      <c r="AB29" s="1812">
        <f t="shared" si="4"/>
        <v>1</v>
      </c>
      <c r="AC29" s="1812">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50"/>
      <c r="Q30" s="1811" t="str">
        <f t="shared" si="11"/>
        <v>建筑面积</v>
      </c>
      <c r="R30" s="772" t="s">
        <v>17</v>
      </c>
      <c r="S30" s="773" t="e">
        <f t="shared" si="12"/>
        <v>#N/A</v>
      </c>
      <c r="T30" s="772" t="s">
        <v>17</v>
      </c>
      <c r="U30" s="773" t="e">
        <f t="shared" si="13"/>
        <v>#N/A</v>
      </c>
      <c r="V30" s="772" t="s">
        <v>17</v>
      </c>
      <c r="W30" s="773" t="e">
        <f t="shared" si="14"/>
        <v>#N/A</v>
      </c>
      <c r="X30" s="1814"/>
      <c r="Y30" s="3150"/>
      <c r="Z30" s="1815" t="str">
        <f t="shared" si="15"/>
        <v>建筑面积</v>
      </c>
      <c r="AA30" s="1812" t="e">
        <f t="shared" si="3"/>
        <v>#N/A</v>
      </c>
      <c r="AB30" s="1812" t="e">
        <f t="shared" si="4"/>
        <v>#N/A</v>
      </c>
      <c r="AC30" s="1812" t="e">
        <f t="shared" si="5"/>
        <v>#N/A</v>
      </c>
    </row>
    <row r="31" spans="1:29" s="116" customFormat="1" ht="15">
      <c r="A31" s="473"/>
      <c r="B31" s="422" t="s">
        <v>2722</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150"/>
      <c r="Q31" s="1796" t="str">
        <f t="shared" si="11"/>
        <v>是否封闭</v>
      </c>
      <c r="R31" s="768" t="s">
        <v>17</v>
      </c>
      <c r="S31" s="769">
        <f t="shared" si="12"/>
        <v>100</v>
      </c>
      <c r="T31" s="768" t="s">
        <v>17</v>
      </c>
      <c r="U31" s="769">
        <f t="shared" si="13"/>
        <v>100</v>
      </c>
      <c r="V31" s="768" t="s">
        <v>17</v>
      </c>
      <c r="W31" s="769">
        <f t="shared" si="14"/>
        <v>100</v>
      </c>
      <c r="X31" s="770"/>
      <c r="Y31" s="3150"/>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50" t="s">
        <v>2549</v>
      </c>
      <c r="Q32" s="1811">
        <f t="shared" si="11"/>
        <v>111</v>
      </c>
      <c r="R32" s="772" t="s">
        <v>17</v>
      </c>
      <c r="S32" s="773">
        <f t="shared" si="12"/>
        <v>100</v>
      </c>
      <c r="T32" s="772" t="s">
        <v>17</v>
      </c>
      <c r="U32" s="773">
        <f t="shared" si="13"/>
        <v>100</v>
      </c>
      <c r="V32" s="772" t="s">
        <v>17</v>
      </c>
      <c r="W32" s="773">
        <f t="shared" si="14"/>
        <v>100</v>
      </c>
      <c r="X32" s="1814"/>
      <c r="Y32" s="3150" t="s">
        <v>2549</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50"/>
      <c r="Q33" s="1811">
        <f t="shared" si="11"/>
        <v>111</v>
      </c>
      <c r="R33" s="772" t="s">
        <v>17</v>
      </c>
      <c r="S33" s="773">
        <f t="shared" si="12"/>
        <v>100</v>
      </c>
      <c r="T33" s="772" t="s">
        <v>17</v>
      </c>
      <c r="U33" s="773">
        <f t="shared" si="13"/>
        <v>100</v>
      </c>
      <c r="V33" s="772" t="s">
        <v>17</v>
      </c>
      <c r="W33" s="773">
        <f t="shared" si="14"/>
        <v>100</v>
      </c>
      <c r="X33" s="1814"/>
      <c r="Y33" s="3150"/>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50"/>
      <c r="Q34" s="1811">
        <f t="shared" si="11"/>
        <v>111</v>
      </c>
      <c r="R34" s="772" t="s">
        <v>17</v>
      </c>
      <c r="S34" s="773">
        <f t="shared" si="12"/>
        <v>100</v>
      </c>
      <c r="T34" s="772" t="s">
        <v>17</v>
      </c>
      <c r="U34" s="773">
        <f t="shared" si="13"/>
        <v>100</v>
      </c>
      <c r="V34" s="772" t="s">
        <v>17</v>
      </c>
      <c r="W34" s="773">
        <f t="shared" si="14"/>
        <v>100</v>
      </c>
      <c r="X34" s="1814"/>
      <c r="Y34" s="3150"/>
      <c r="Z34" s="1815">
        <f t="shared" si="15"/>
        <v>111</v>
      </c>
      <c r="AA34" s="1812">
        <f t="shared" si="3"/>
        <v>1</v>
      </c>
      <c r="AB34" s="1812">
        <f t="shared" si="4"/>
        <v>1</v>
      </c>
      <c r="AC34" s="1812">
        <f t="shared" si="5"/>
        <v>1</v>
      </c>
    </row>
    <row r="35" spans="1:29" ht="15">
      <c r="A35" s="479" t="s">
        <v>2561</v>
      </c>
      <c r="B35" s="480"/>
      <c r="C35" s="1407" t="s">
        <v>1</v>
      </c>
      <c r="D35" s="1408"/>
      <c r="E35" s="1409"/>
      <c r="F35" s="1410"/>
      <c r="G35" s="1411"/>
      <c r="H35" s="1412"/>
      <c r="I35" s="1409"/>
      <c r="J35" s="1412"/>
      <c r="K35" s="781"/>
      <c r="L35" s="1143"/>
      <c r="M35" s="1144"/>
      <c r="N35" s="1131"/>
      <c r="O35" s="1144"/>
      <c r="P35" s="3143" t="str">
        <f>A35</f>
        <v>成交单价（元/平方米）</v>
      </c>
      <c r="Q35" s="3143"/>
      <c r="R35" s="3144">
        <f>E35</f>
        <v>0</v>
      </c>
      <c r="S35" s="3144"/>
      <c r="T35" s="3144">
        <f>G35</f>
        <v>0</v>
      </c>
      <c r="U35" s="3144"/>
      <c r="V35" s="3144">
        <f>I35</f>
        <v>0</v>
      </c>
      <c r="W35" s="3144"/>
      <c r="X35" s="757"/>
      <c r="Y35" s="779"/>
      <c r="Z35" s="757"/>
      <c r="AA35" s="757"/>
      <c r="AB35" s="757"/>
      <c r="AC35" s="757"/>
    </row>
    <row r="36" spans="1:29" ht="15.75" thickBot="1">
      <c r="A36" s="486" t="s">
        <v>2652</v>
      </c>
      <c r="B36" s="487"/>
      <c r="C36" s="1413" t="e">
        <f>R37</f>
        <v>#DIV/0!</v>
      </c>
      <c r="D36" s="1414"/>
      <c r="E36" s="1415" t="e">
        <f>R36</f>
        <v>#DIV/0!</v>
      </c>
      <c r="F36" s="1415"/>
      <c r="G36" s="1413" t="e">
        <f>T36</f>
        <v>#DIV/0!</v>
      </c>
      <c r="H36" s="1414"/>
      <c r="I36" s="1415" t="e">
        <f>V36</f>
        <v>#DIV/0!</v>
      </c>
      <c r="J36" s="1414"/>
      <c r="K36" s="782"/>
      <c r="L36" s="1143"/>
      <c r="M36" s="1144"/>
      <c r="N36" s="1131"/>
      <c r="O36" s="1144"/>
      <c r="P36" s="3143" t="str">
        <f>A36</f>
        <v>比较价值（元/平方米）</v>
      </c>
      <c r="Q36" s="3143"/>
      <c r="R36" s="3144" t="e">
        <f>IF(F1="售价",ROUND(PRODUCT(R35,AA7:AA34),0),ROUND(PRODUCT(R35,AA7:AA34),1))</f>
        <v>#DIV/0!</v>
      </c>
      <c r="S36" s="3144"/>
      <c r="T36" s="3144" t="e">
        <f>IF(F1="售价",ROUND(PRODUCT(T35,AB7:AB34),0),ROUND(PRODUCT(T35,AB7:AB34),1))</f>
        <v>#DIV/0!</v>
      </c>
      <c r="U36" s="3144"/>
      <c r="V36" s="3144" t="e">
        <f>IF(F1="售价",ROUND(PRODUCT(V35,AC7:AC34),0),ROUND(PRODUCT(V35,AC7:AC34),1))</f>
        <v>#DIV/0!</v>
      </c>
      <c r="W36" s="3144"/>
      <c r="X36" s="757"/>
      <c r="Y36" s="757"/>
      <c r="Z36" s="757"/>
      <c r="AA36" s="757"/>
      <c r="AB36" s="757"/>
      <c r="AC36" s="757"/>
    </row>
    <row r="37" spans="1:29" ht="15.75" thickBot="1">
      <c r="A37" s="492" t="s">
        <v>2653</v>
      </c>
      <c r="B37" s="493"/>
      <c r="C37" s="1417" t="e">
        <f>R37</f>
        <v>#DIV/0!</v>
      </c>
      <c r="D37" s="1417"/>
      <c r="E37" s="1417"/>
      <c r="F37" s="1417"/>
      <c r="G37" s="1417"/>
      <c r="H37" s="1417"/>
      <c r="I37" s="1417"/>
      <c r="J37" s="1417"/>
      <c r="K37" s="783"/>
      <c r="L37" s="1143"/>
      <c r="M37" s="1144"/>
      <c r="N37" s="1144"/>
      <c r="O37" s="1144"/>
      <c r="P37" s="3140" t="str">
        <f>A37</f>
        <v>估价对象XX用房的比较价值（楼面单价，元/平方米）</v>
      </c>
      <c r="Q37" s="3141"/>
      <c r="R37" s="3142" t="e">
        <f>IF(F1="售价",ROUND(AVERAGE(R36:V36),0),ROUND(AVERAGE(R36:V36),1))</f>
        <v>#DIV/0!</v>
      </c>
      <c r="S37" s="3142"/>
      <c r="T37" s="3142"/>
      <c r="U37" s="3142"/>
      <c r="V37" s="3142"/>
      <c r="W37" s="3142"/>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2657</v>
      </c>
      <c r="B45" s="757"/>
      <c r="C45" s="762"/>
      <c r="D45" s="762"/>
      <c r="E45" s="762"/>
      <c r="F45" s="763"/>
      <c r="G45" s="763"/>
      <c r="H45" s="762"/>
      <c r="I45" s="762"/>
      <c r="J45" s="762"/>
      <c r="K45" s="764"/>
      <c r="L45" s="765"/>
      <c r="M45" s="762"/>
      <c r="N45" s="762"/>
      <c r="O45" s="762"/>
      <c r="P45" s="503"/>
      <c r="Q45" s="504"/>
    </row>
    <row r="46" spans="1:29" s="508" customFormat="1" ht="15">
      <c r="A46" s="505" t="s">
        <v>2532</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2569</v>
      </c>
      <c r="B48" s="516"/>
      <c r="C48" s="517"/>
      <c r="D48" s="518"/>
      <c r="E48" s="518"/>
      <c r="F48" s="518"/>
      <c r="G48" s="518"/>
      <c r="H48" s="518"/>
      <c r="I48" s="518"/>
      <c r="J48" s="518"/>
      <c r="K48" s="518"/>
      <c r="L48" s="518"/>
      <c r="M48" s="519"/>
      <c r="N48" s="518"/>
      <c r="O48" s="520"/>
      <c r="P48" s="504"/>
      <c r="Q48" s="504"/>
    </row>
    <row r="49" spans="1:17" s="116" customFormat="1" ht="15">
      <c r="A49" s="521" t="s">
        <v>2534</v>
      </c>
      <c r="B49" s="510"/>
      <c r="C49" s="522" t="s">
        <v>2636</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2572</v>
      </c>
      <c r="B51" s="528" t="s">
        <v>2538</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2541</v>
      </c>
      <c r="C53" s="539" t="s">
        <v>2573</v>
      </c>
      <c r="D53" s="539" t="s">
        <v>2574</v>
      </c>
      <c r="E53" s="539" t="s">
        <v>2575</v>
      </c>
      <c r="F53" s="539" t="s">
        <v>2576</v>
      </c>
      <c r="G53" s="539" t="s">
        <v>2577</v>
      </c>
      <c r="H53" s="539" t="s">
        <v>2578</v>
      </c>
      <c r="I53" s="539" t="s">
        <v>2579</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2543</v>
      </c>
      <c r="B61" s="528" t="s">
        <v>2586</v>
      </c>
      <c r="C61" s="573" t="s">
        <v>2581</v>
      </c>
      <c r="D61" s="573" t="s">
        <v>2582</v>
      </c>
      <c r="E61" s="573" t="s">
        <v>2583</v>
      </c>
      <c r="F61" s="573" t="s">
        <v>2584</v>
      </c>
      <c r="G61" s="573" t="s">
        <v>2585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2723</v>
      </c>
      <c r="C63" s="578" t="s">
        <v>2581</v>
      </c>
      <c r="D63" s="578" t="s">
        <v>2582</v>
      </c>
      <c r="E63" s="578" t="s">
        <v>2583</v>
      </c>
      <c r="F63" s="578" t="s">
        <v>2584</v>
      </c>
      <c r="G63" s="578" t="s">
        <v>2585</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2672</v>
      </c>
      <c r="C65" s="658" t="s">
        <v>2658</v>
      </c>
      <c r="D65" s="658" t="s">
        <v>2659</v>
      </c>
      <c r="E65" s="658" t="s">
        <v>2660</v>
      </c>
      <c r="F65" s="658" t="s">
        <v>2661</v>
      </c>
      <c r="G65" s="658" t="s">
        <v>2662</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2593</v>
      </c>
      <c r="C67" s="578" t="s">
        <v>2581</v>
      </c>
      <c r="D67" s="578" t="s">
        <v>2582</v>
      </c>
      <c r="E67" s="578" t="s">
        <v>2583</v>
      </c>
      <c r="F67" s="578" t="s">
        <v>2584</v>
      </c>
      <c r="G67" s="578" t="s">
        <v>2585</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2712</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2547</v>
      </c>
      <c r="B77" s="528" t="s">
        <v>2600</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2716</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2724</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2727</v>
      </c>
      <c r="B1" s="395"/>
      <c r="C1" s="396" t="s">
        <v>2728</v>
      </c>
      <c r="D1" s="753"/>
      <c r="E1" s="753"/>
      <c r="F1" s="752" t="s">
        <v>2627</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2311</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2313</v>
      </c>
      <c r="B3" s="609" t="e">
        <f>ROUND(IF(D3="",B2*10000/'数据-汇总表'!E3,B2*10000/D3),0)</f>
        <v>#DIV/0!</v>
      </c>
      <c r="C3" s="247" t="s">
        <v>2729</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68" t="s">
        <v>2631</v>
      </c>
      <c r="S4" s="3169"/>
      <c r="T4" s="3168" t="s">
        <v>2632</v>
      </c>
      <c r="U4" s="3169"/>
      <c r="V4" s="3174" t="s">
        <v>2633</v>
      </c>
      <c r="W4" s="3174"/>
      <c r="X4" s="1814"/>
      <c r="Y4" s="3168" t="s">
        <v>2635</v>
      </c>
      <c r="Z4" s="3169"/>
      <c r="AA4" s="3155" t="s">
        <v>2631</v>
      </c>
      <c r="AB4" s="3156" t="s">
        <v>2632</v>
      </c>
      <c r="AC4" s="3155" t="s">
        <v>2633</v>
      </c>
    </row>
    <row r="5" spans="1:30" ht="15">
      <c r="A5" s="404"/>
      <c r="B5" s="405"/>
      <c r="C5" s="3230" t="s">
        <v>2526</v>
      </c>
      <c r="D5" s="3178"/>
      <c r="E5" s="3233" t="s">
        <v>2527</v>
      </c>
      <c r="F5" s="3185"/>
      <c r="G5" s="3230" t="s">
        <v>2528</v>
      </c>
      <c r="H5" s="3178"/>
      <c r="I5" s="3230" t="s">
        <v>2529</v>
      </c>
      <c r="J5" s="3178"/>
      <c r="K5" s="610"/>
      <c r="L5" s="1130"/>
      <c r="M5" s="1131"/>
      <c r="N5" s="1131"/>
      <c r="O5" s="1131"/>
      <c r="P5" s="3164"/>
      <c r="Q5" s="3165"/>
      <c r="R5" s="3170"/>
      <c r="S5" s="3171"/>
      <c r="T5" s="3170"/>
      <c r="U5" s="3171"/>
      <c r="V5" s="3174"/>
      <c r="W5" s="3174"/>
      <c r="X5" s="1814"/>
      <c r="Y5" s="3170"/>
      <c r="Z5" s="3171"/>
      <c r="AA5" s="3156"/>
      <c r="AB5" s="3156"/>
      <c r="AC5" s="3156"/>
    </row>
    <row r="6" spans="1:30" ht="15.75" thickBot="1">
      <c r="A6" s="406"/>
      <c r="B6" s="407"/>
      <c r="C6" s="3175" t="s">
        <v>2530</v>
      </c>
      <c r="D6" s="3176"/>
      <c r="E6" s="3182" t="s">
        <v>2530</v>
      </c>
      <c r="F6" s="3183"/>
      <c r="G6" s="3175" t="s">
        <v>2530</v>
      </c>
      <c r="H6" s="3176"/>
      <c r="I6" s="3175" t="s">
        <v>2530</v>
      </c>
      <c r="J6" s="3176"/>
      <c r="K6" s="610" t="s">
        <v>2531</v>
      </c>
      <c r="L6" s="1130"/>
      <c r="M6" s="1131"/>
      <c r="N6" s="1131"/>
      <c r="O6" s="1131"/>
      <c r="P6" s="3166"/>
      <c r="Q6" s="3167"/>
      <c r="R6" s="3170"/>
      <c r="S6" s="3171"/>
      <c r="T6" s="3172"/>
      <c r="U6" s="3173"/>
      <c r="V6" s="3174"/>
      <c r="W6" s="3174"/>
      <c r="X6" s="1814"/>
      <c r="Y6" s="3172"/>
      <c r="Z6" s="3173"/>
      <c r="AA6" s="3157"/>
      <c r="AB6" s="3157"/>
      <c r="AC6" s="3157"/>
    </row>
    <row r="7" spans="1:30" s="116" customFormat="1" ht="15.75" thickBot="1">
      <c r="A7" s="408" t="s">
        <v>2532</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79" t="s">
        <v>2533</v>
      </c>
      <c r="Q7" s="3181"/>
      <c r="R7" s="768" t="s">
        <v>17</v>
      </c>
      <c r="S7" s="769">
        <f t="shared" ref="S7:S15" si="0">F7</f>
        <v>0</v>
      </c>
      <c r="T7" s="768" t="s">
        <v>17</v>
      </c>
      <c r="U7" s="769">
        <f t="shared" ref="U7:U15" si="1">H7</f>
        <v>0</v>
      </c>
      <c r="V7" s="768" t="s">
        <v>17</v>
      </c>
      <c r="W7" s="769">
        <f t="shared" ref="W7:W15" si="2">J7</f>
        <v>0</v>
      </c>
      <c r="X7" s="770"/>
      <c r="Y7" s="3179" t="s">
        <v>2533</v>
      </c>
      <c r="Z7" s="3180"/>
      <c r="AA7" s="771" t="e">
        <f>D7/F7</f>
        <v>#DIV/0!</v>
      </c>
      <c r="AB7" s="771" t="e">
        <f>D7/H7</f>
        <v>#DIV/0!</v>
      </c>
      <c r="AC7" s="771" t="e">
        <f>D7/J7</f>
        <v>#DIV/0!</v>
      </c>
    </row>
    <row r="8" spans="1:30" s="116" customFormat="1" ht="15.75" thickBot="1">
      <c r="A8" s="408" t="s">
        <v>2534</v>
      </c>
      <c r="B8" s="409"/>
      <c r="C8" s="414" t="s">
        <v>2535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9" t="s">
        <v>2536</v>
      </c>
      <c r="Q8" s="3180"/>
      <c r="R8" s="768" t="s">
        <v>17</v>
      </c>
      <c r="S8" s="769">
        <f t="shared" si="0"/>
        <v>0</v>
      </c>
      <c r="T8" s="768" t="s">
        <v>17</v>
      </c>
      <c r="U8" s="769">
        <f t="shared" si="1"/>
        <v>0</v>
      </c>
      <c r="V8" s="768" t="s">
        <v>17</v>
      </c>
      <c r="W8" s="769">
        <f t="shared" si="2"/>
        <v>0</v>
      </c>
      <c r="X8" s="770"/>
      <c r="Y8" s="3179" t="s">
        <v>2536</v>
      </c>
      <c r="Z8" s="3180"/>
      <c r="AA8" s="771" t="e">
        <f t="shared" ref="AA8:AA45" si="3">D8/F8</f>
        <v>#DIV/0!</v>
      </c>
      <c r="AB8" s="771" t="e">
        <f t="shared" ref="AB8:AB45" si="4">D8/H8</f>
        <v>#DIV/0!</v>
      </c>
      <c r="AC8" s="771" t="e">
        <f t="shared" ref="AC8:AC45" si="5">D8/J8</f>
        <v>#DIV/0!</v>
      </c>
    </row>
    <row r="9" spans="1:30" s="116" customFormat="1">
      <c r="A9" s="415" t="s">
        <v>2537</v>
      </c>
      <c r="B9" s="70" t="s">
        <v>2538</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143" t="s">
        <v>2539</v>
      </c>
      <c r="Q9" s="1796" t="str">
        <f t="shared" ref="Q9:Q15" si="6">B9</f>
        <v>用途</v>
      </c>
      <c r="R9" s="768" t="s">
        <v>17</v>
      </c>
      <c r="S9" s="769">
        <f t="shared" si="0"/>
        <v>100</v>
      </c>
      <c r="T9" s="768" t="s">
        <v>17</v>
      </c>
      <c r="U9" s="769">
        <f t="shared" si="1"/>
        <v>100</v>
      </c>
      <c r="V9" s="768" t="s">
        <v>17</v>
      </c>
      <c r="W9" s="769">
        <f t="shared" si="2"/>
        <v>100</v>
      </c>
      <c r="X9" s="770"/>
      <c r="Y9" s="2998" t="s">
        <v>2540</v>
      </c>
      <c r="Z9" s="54" t="str">
        <f t="shared" ref="Z9:Z15" si="7">Q9</f>
        <v>用途</v>
      </c>
      <c r="AA9" s="771">
        <f t="shared" si="3"/>
        <v>1</v>
      </c>
      <c r="AB9" s="771">
        <f t="shared" si="4"/>
        <v>1</v>
      </c>
      <c r="AC9" s="771">
        <f t="shared" si="5"/>
        <v>1</v>
      </c>
    </row>
    <row r="10" spans="1:30" s="427" customFormat="1" ht="27">
      <c r="A10" s="421"/>
      <c r="B10" s="422" t="s">
        <v>2541</v>
      </c>
      <c r="C10" s="432"/>
      <c r="D10" s="135">
        <v>100</v>
      </c>
      <c r="E10" s="465"/>
      <c r="F10" s="135">
        <f>ROUND(100/'数据-取费表'!G16,0)</f>
        <v>105</v>
      </c>
      <c r="G10" s="463"/>
      <c r="H10" s="135">
        <f>ROUND(100/'数据-取费表'!G16,0)</f>
        <v>105</v>
      </c>
      <c r="I10" s="463"/>
      <c r="J10" s="135">
        <f>ROUND(100/'数据-取费表'!G16,0)</f>
        <v>105</v>
      </c>
      <c r="K10" s="670"/>
      <c r="L10" s="1135"/>
      <c r="M10" s="1136"/>
      <c r="N10" s="1136"/>
      <c r="O10" s="1137"/>
      <c r="P10" s="3143"/>
      <c r="Q10" s="1796" t="str">
        <f t="shared" si="6"/>
        <v>土地使用年限（年）</v>
      </c>
      <c r="R10" s="768" t="s">
        <v>17</v>
      </c>
      <c r="S10" s="769">
        <f t="shared" si="0"/>
        <v>105</v>
      </c>
      <c r="T10" s="768" t="s">
        <v>17</v>
      </c>
      <c r="U10" s="769">
        <f t="shared" si="1"/>
        <v>105</v>
      </c>
      <c r="V10" s="768" t="s">
        <v>17</v>
      </c>
      <c r="W10" s="769">
        <f t="shared" si="2"/>
        <v>105</v>
      </c>
      <c r="X10" s="770"/>
      <c r="Y10" s="2998"/>
      <c r="Z10" s="54" t="str">
        <f t="shared" si="7"/>
        <v>土地使用年限（年）</v>
      </c>
      <c r="AA10" s="771">
        <f t="shared" si="3"/>
        <v>0.95238095238095233</v>
      </c>
      <c r="AB10" s="771">
        <f t="shared" si="4"/>
        <v>0.95238095238095233</v>
      </c>
      <c r="AC10" s="771">
        <f t="shared" si="5"/>
        <v>0.95238095238095233</v>
      </c>
    </row>
    <row r="11" spans="1:30" ht="15">
      <c r="A11" s="428"/>
      <c r="B11" s="422" t="s">
        <v>2542</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143"/>
      <c r="Q11" s="1796" t="str">
        <f t="shared" si="6"/>
        <v>容积率</v>
      </c>
      <c r="R11" s="768" t="s">
        <v>17</v>
      </c>
      <c r="S11" s="769" t="e">
        <f t="shared" si="0"/>
        <v>#N/A</v>
      </c>
      <c r="T11" s="768" t="s">
        <v>17</v>
      </c>
      <c r="U11" s="769" t="e">
        <f t="shared" si="1"/>
        <v>#N/A</v>
      </c>
      <c r="V11" s="768" t="s">
        <v>17</v>
      </c>
      <c r="W11" s="769" t="e">
        <f t="shared" si="2"/>
        <v>#N/A</v>
      </c>
      <c r="X11" s="770"/>
      <c r="Y11" s="2998"/>
      <c r="Z11" s="54" t="str">
        <f t="shared" si="7"/>
        <v>容积率</v>
      </c>
      <c r="AA11" s="771" t="e">
        <f t="shared" si="3"/>
        <v>#N/A</v>
      </c>
      <c r="AB11" s="771" t="e">
        <f t="shared" si="4"/>
        <v>#N/A</v>
      </c>
      <c r="AC11" s="771" t="e">
        <f t="shared" si="5"/>
        <v>#N/A</v>
      </c>
    </row>
    <row r="12" spans="1:30" s="116" customFormat="1" ht="15">
      <c r="A12" s="431"/>
      <c r="B12" s="2600" t="s">
        <v>2730</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143"/>
      <c r="Q12" s="1796" t="str">
        <f t="shared" si="6"/>
        <v>配建</v>
      </c>
      <c r="R12" s="768" t="s">
        <v>17</v>
      </c>
      <c r="S12" s="769">
        <f t="shared" si="0"/>
        <v>100</v>
      </c>
      <c r="T12" s="768" t="s">
        <v>17</v>
      </c>
      <c r="U12" s="769">
        <f t="shared" si="1"/>
        <v>100</v>
      </c>
      <c r="V12" s="768" t="s">
        <v>17</v>
      </c>
      <c r="W12" s="769">
        <f t="shared" si="2"/>
        <v>100</v>
      </c>
      <c r="X12" s="770"/>
      <c r="Y12" s="2998"/>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143"/>
      <c r="Q13" s="1796">
        <f t="shared" si="6"/>
        <v>111</v>
      </c>
      <c r="R13" s="768" t="s">
        <v>17</v>
      </c>
      <c r="S13" s="769">
        <f t="shared" si="0"/>
        <v>100</v>
      </c>
      <c r="T13" s="768" t="s">
        <v>17</v>
      </c>
      <c r="U13" s="769">
        <f t="shared" si="1"/>
        <v>100</v>
      </c>
      <c r="V13" s="768" t="s">
        <v>17</v>
      </c>
      <c r="W13" s="769">
        <f t="shared" si="2"/>
        <v>100</v>
      </c>
      <c r="X13" s="770"/>
      <c r="Y13" s="2998"/>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143"/>
      <c r="Q14" s="1796">
        <f t="shared" si="6"/>
        <v>111</v>
      </c>
      <c r="R14" s="768" t="s">
        <v>17</v>
      </c>
      <c r="S14" s="769">
        <f t="shared" si="0"/>
        <v>100</v>
      </c>
      <c r="T14" s="768" t="s">
        <v>17</v>
      </c>
      <c r="U14" s="769">
        <f t="shared" si="1"/>
        <v>100</v>
      </c>
      <c r="V14" s="768" t="s">
        <v>17</v>
      </c>
      <c r="W14" s="769">
        <f t="shared" si="2"/>
        <v>100</v>
      </c>
      <c r="X14" s="770"/>
      <c r="Y14" s="2998"/>
      <c r="Z14" s="54">
        <f t="shared" si="7"/>
        <v>111</v>
      </c>
      <c r="AA14" s="771">
        <f>D14/F14</f>
        <v>1</v>
      </c>
      <c r="AB14" s="771">
        <f>D14/H14</f>
        <v>1</v>
      </c>
      <c r="AC14" s="771">
        <f>D14/J14</f>
        <v>1</v>
      </c>
    </row>
    <row r="15" spans="1:30" ht="85.5">
      <c r="A15" s="440" t="s">
        <v>2543</v>
      </c>
      <c r="B15" s="68" t="s">
        <v>2084</v>
      </c>
      <c r="C15" s="2603" t="str">
        <f>估价对象房地状况!C15</f>
        <v>周边有夏威夷·蓝湾、美丽乡村别墅、金谷iSOHO等居住社区，综合评价居住社区成熟度较好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145" t="s">
        <v>2544</v>
      </c>
      <c r="Q15" s="1811" t="str">
        <f t="shared" si="6"/>
        <v>居住社区成熟度</v>
      </c>
      <c r="R15" s="772" t="s">
        <v>17</v>
      </c>
      <c r="S15" s="773">
        <f t="shared" si="0"/>
        <v>100</v>
      </c>
      <c r="T15" s="772" t="s">
        <v>17</v>
      </c>
      <c r="U15" s="773">
        <f t="shared" si="1"/>
        <v>100</v>
      </c>
      <c r="V15" s="772" t="s">
        <v>17</v>
      </c>
      <c r="W15" s="773">
        <f t="shared" si="2"/>
        <v>100</v>
      </c>
      <c r="X15" s="1814"/>
      <c r="Y15" s="3145" t="s">
        <v>2544</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146"/>
      <c r="Q16" s="1811"/>
      <c r="R16" s="772"/>
      <c r="S16" s="773"/>
      <c r="T16" s="772"/>
      <c r="U16" s="773"/>
      <c r="V16" s="772"/>
      <c r="W16" s="773"/>
      <c r="X16" s="1814"/>
      <c r="Y16" s="3146"/>
      <c r="Z16" s="1815"/>
      <c r="AA16" s="1812">
        <v>1</v>
      </c>
      <c r="AB16" s="1812">
        <v>1</v>
      </c>
      <c r="AC16" s="1812">
        <v>1</v>
      </c>
    </row>
    <row r="17" spans="1:29" ht="99.75">
      <c r="A17" s="428"/>
      <c r="B17" s="451" t="s">
        <v>2637</v>
      </c>
      <c r="C17" s="2662" t="str">
        <f>估价对象房地状况!C16</f>
        <v>估价对象位于燕郊，周边商业氛围成熟度一般，多集中于住宅底商，人流量较小，商业繁华度较差</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146"/>
      <c r="Q17" s="1811" t="str">
        <f>B17</f>
        <v>商业繁华度</v>
      </c>
      <c r="R17" s="772" t="s">
        <v>17</v>
      </c>
      <c r="S17" s="773">
        <f>F17</f>
        <v>100</v>
      </c>
      <c r="T17" s="772" t="s">
        <v>17</v>
      </c>
      <c r="U17" s="773">
        <f>H17</f>
        <v>100</v>
      </c>
      <c r="V17" s="772" t="s">
        <v>17</v>
      </c>
      <c r="W17" s="773">
        <f>J17</f>
        <v>100</v>
      </c>
      <c r="X17" s="1814"/>
      <c r="Y17" s="3146"/>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146"/>
      <c r="Q18" s="1811"/>
      <c r="R18" s="772"/>
      <c r="S18" s="773"/>
      <c r="T18" s="772"/>
      <c r="U18" s="773"/>
      <c r="V18" s="772"/>
      <c r="W18" s="773"/>
      <c r="X18" s="1814"/>
      <c r="Y18" s="3146"/>
      <c r="Z18" s="1815"/>
      <c r="AA18" s="1812">
        <v>1</v>
      </c>
      <c r="AB18" s="1812">
        <v>1</v>
      </c>
      <c r="AC18" s="1812">
        <v>1</v>
      </c>
    </row>
    <row r="19" spans="1:29" ht="15">
      <c r="A19" s="428"/>
      <c r="B19" s="451" t="s">
        <v>2670</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146"/>
      <c r="Q19" s="1811" t="str">
        <f>B19</f>
        <v>办公集聚程度</v>
      </c>
      <c r="R19" s="772" t="s">
        <v>17</v>
      </c>
      <c r="S19" s="773">
        <f>F19</f>
        <v>100</v>
      </c>
      <c r="T19" s="772" t="s">
        <v>17</v>
      </c>
      <c r="U19" s="773">
        <f>H19</f>
        <v>100</v>
      </c>
      <c r="V19" s="772" t="s">
        <v>17</v>
      </c>
      <c r="W19" s="773">
        <f>J19</f>
        <v>100</v>
      </c>
      <c r="X19" s="1814"/>
      <c r="Y19" s="3146"/>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146"/>
      <c r="Q20" s="1811"/>
      <c r="R20" s="772"/>
      <c r="S20" s="773"/>
      <c r="T20" s="772"/>
      <c r="U20" s="773"/>
      <c r="V20" s="772"/>
      <c r="W20" s="773"/>
      <c r="X20" s="1814"/>
      <c r="Y20" s="3146"/>
      <c r="Z20" s="1815"/>
      <c r="AA20" s="1812">
        <v>1</v>
      </c>
      <c r="AB20" s="1812">
        <v>1</v>
      </c>
      <c r="AC20" s="1812">
        <v>1</v>
      </c>
    </row>
    <row r="21" spans="1:29" ht="71.25">
      <c r="A21" s="428"/>
      <c r="B21" s="451" t="s">
        <v>2692</v>
      </c>
      <c r="C21" s="2607" t="str">
        <f>估价对象房地状况!C18</f>
        <v>周边有302、快速直达专线102路等公交线路，交通便捷度一般。</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146"/>
      <c r="Q21" s="1811" t="str">
        <f>B21</f>
        <v>交通便捷度</v>
      </c>
      <c r="R21" s="772" t="s">
        <v>17</v>
      </c>
      <c r="S21" s="773">
        <f>F21</f>
        <v>100</v>
      </c>
      <c r="T21" s="772" t="s">
        <v>17</v>
      </c>
      <c r="U21" s="773">
        <f>H21</f>
        <v>100</v>
      </c>
      <c r="V21" s="772" t="s">
        <v>17</v>
      </c>
      <c r="W21" s="773">
        <f>J21</f>
        <v>100</v>
      </c>
      <c r="X21" s="1814"/>
      <c r="Y21" s="3146"/>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146"/>
      <c r="Q22" s="1811"/>
      <c r="R22" s="772"/>
      <c r="S22" s="773"/>
      <c r="T22" s="772"/>
      <c r="U22" s="773"/>
      <c r="V22" s="772"/>
      <c r="W22" s="773"/>
      <c r="X22" s="1814"/>
      <c r="Y22" s="3146"/>
      <c r="Z22" s="1815"/>
      <c r="AA22" s="1812">
        <v>1</v>
      </c>
      <c r="AB22" s="1812">
        <v>1</v>
      </c>
      <c r="AC22" s="1812">
        <v>1</v>
      </c>
    </row>
    <row r="23" spans="1:29" ht="15">
      <c r="A23" s="404"/>
      <c r="B23" s="451" t="s">
        <v>2731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146"/>
      <c r="Q23" s="1811" t="str">
        <f t="shared" ref="Q23:Q37" si="8">B23</f>
        <v>区域土地利用方向</v>
      </c>
      <c r="R23" s="772" t="s">
        <v>17</v>
      </c>
      <c r="S23" s="773">
        <f>F23</f>
        <v>100</v>
      </c>
      <c r="T23" s="772" t="s">
        <v>17</v>
      </c>
      <c r="U23" s="773">
        <f>H23</f>
        <v>100</v>
      </c>
      <c r="V23" s="772" t="s">
        <v>17</v>
      </c>
      <c r="W23" s="773">
        <f>J23</f>
        <v>100</v>
      </c>
      <c r="X23" s="1814"/>
      <c r="Y23" s="3146"/>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146"/>
      <c r="Q24" s="1811"/>
      <c r="R24" s="772"/>
      <c r="S24" s="773"/>
      <c r="T24" s="772"/>
      <c r="U24" s="773"/>
      <c r="V24" s="772"/>
      <c r="W24" s="773"/>
      <c r="X24" s="1814"/>
      <c r="Y24" s="3146"/>
      <c r="Z24" s="1815"/>
      <c r="AA24" s="1812"/>
      <c r="AB24" s="1812"/>
      <c r="AC24" s="1812"/>
    </row>
    <row r="25" spans="1:29" ht="71.25">
      <c r="A25" s="404"/>
      <c r="B25" s="1384" t="s">
        <v>2732</v>
      </c>
      <c r="C25" s="2662" t="str">
        <f>估价对象房地状况!C20</f>
        <v>周边绿化均为城市绿化，无高等教育机构等，综合评价环境状况一般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146"/>
      <c r="Q25" s="1811" t="str">
        <f t="shared" si="8"/>
        <v>自然及人文环境状况</v>
      </c>
      <c r="R25" s="772" t="s">
        <v>17</v>
      </c>
      <c r="S25" s="773">
        <f>F25</f>
        <v>100</v>
      </c>
      <c r="T25" s="772" t="s">
        <v>17</v>
      </c>
      <c r="U25" s="773">
        <f>H25</f>
        <v>100</v>
      </c>
      <c r="V25" s="772" t="s">
        <v>17</v>
      </c>
      <c r="W25" s="773">
        <f>J25</f>
        <v>100</v>
      </c>
      <c r="X25" s="1814"/>
      <c r="Y25" s="3146"/>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146"/>
      <c r="Q26" s="1811"/>
      <c r="R26" s="772"/>
      <c r="S26" s="773"/>
      <c r="T26" s="772"/>
      <c r="U26" s="773"/>
      <c r="V26" s="772"/>
      <c r="W26" s="773"/>
      <c r="X26" s="1814"/>
      <c r="Y26" s="3146"/>
      <c r="Z26" s="1815"/>
      <c r="AA26" s="1812">
        <v>1</v>
      </c>
      <c r="AB26" s="1812">
        <v>1</v>
      </c>
      <c r="AC26" s="1812">
        <v>1</v>
      </c>
    </row>
    <row r="27" spans="1:29" s="116" customFormat="1" ht="71.25">
      <c r="A27" s="647"/>
      <c r="B27" s="1384" t="s">
        <v>2638</v>
      </c>
      <c r="C27" s="2607" t="str">
        <f>估价对象房地状况!C21</f>
        <v>估价对象周边无银行、商场、学校、医院，有社区超市等，公共配套设施较差。</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146"/>
      <c r="Q27" s="1796" t="str">
        <f t="shared" si="8"/>
        <v>公共配套设施</v>
      </c>
      <c r="R27" s="768" t="s">
        <v>17</v>
      </c>
      <c r="S27" s="769">
        <f>F27</f>
        <v>100</v>
      </c>
      <c r="T27" s="768" t="s">
        <v>17</v>
      </c>
      <c r="U27" s="769">
        <f>H27</f>
        <v>100</v>
      </c>
      <c r="V27" s="768" t="s">
        <v>17</v>
      </c>
      <c r="W27" s="769">
        <f>J27</f>
        <v>100</v>
      </c>
      <c r="X27" s="770"/>
      <c r="Y27" s="3146"/>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146"/>
      <c r="Q28" s="1796"/>
      <c r="R28" s="768"/>
      <c r="S28" s="769"/>
      <c r="T28" s="768"/>
      <c r="U28" s="769"/>
      <c r="V28" s="768"/>
      <c r="W28" s="769"/>
      <c r="X28" s="770"/>
      <c r="Y28" s="3146"/>
      <c r="Z28" s="54"/>
      <c r="AA28" s="1812">
        <v>1</v>
      </c>
      <c r="AB28" s="1812">
        <v>1</v>
      </c>
      <c r="AC28" s="1812">
        <v>1</v>
      </c>
    </row>
    <row r="29" spans="1:29" s="116" customFormat="1" ht="42.75">
      <c r="A29" s="647"/>
      <c r="B29" s="1384" t="s">
        <v>2639</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146"/>
      <c r="Q29" s="1796" t="str">
        <f t="shared" ref="Q29" si="9">B29</f>
        <v>基础设施水平</v>
      </c>
      <c r="R29" s="768" t="s">
        <v>17</v>
      </c>
      <c r="S29" s="769">
        <f>F29</f>
        <v>100</v>
      </c>
      <c r="T29" s="768" t="s">
        <v>17</v>
      </c>
      <c r="U29" s="769">
        <f>H29</f>
        <v>100</v>
      </c>
      <c r="V29" s="768" t="s">
        <v>17</v>
      </c>
      <c r="W29" s="769">
        <f>J29</f>
        <v>100</v>
      </c>
      <c r="X29" s="770"/>
      <c r="Y29" s="3146"/>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146"/>
      <c r="Q30" s="1796"/>
      <c r="R30" s="768"/>
      <c r="S30" s="769"/>
      <c r="T30" s="768"/>
      <c r="U30" s="769"/>
      <c r="V30" s="768"/>
      <c r="W30" s="769"/>
      <c r="X30" s="770"/>
      <c r="Y30" s="3146"/>
      <c r="Z30" s="54"/>
      <c r="AA30" s="1812">
        <v>1</v>
      </c>
      <c r="AB30" s="1812">
        <v>1</v>
      </c>
      <c r="AC30" s="1812">
        <v>1</v>
      </c>
    </row>
    <row r="31" spans="1:29" ht="15">
      <c r="A31" s="428"/>
      <c r="B31" s="456" t="s">
        <v>2640</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146"/>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46"/>
      <c r="Z31" s="1815" t="str">
        <f t="shared" ref="Z31:Z45" si="13">Q31</f>
        <v>临街状况</v>
      </c>
      <c r="AA31" s="1812">
        <f t="shared" si="3"/>
        <v>1</v>
      </c>
      <c r="AB31" s="1812">
        <f t="shared" si="4"/>
        <v>1</v>
      </c>
      <c r="AC31" s="1812">
        <f t="shared" si="5"/>
        <v>1</v>
      </c>
    </row>
    <row r="32" spans="1:29" ht="27">
      <c r="A32" s="428"/>
      <c r="B32" s="1384"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146"/>
      <c r="Q32" s="1811" t="str">
        <f t="shared" si="8"/>
        <v>毗邻道路的类型与等级</v>
      </c>
      <c r="R32" s="772" t="s">
        <v>17</v>
      </c>
      <c r="S32" s="773">
        <f t="shared" si="10"/>
        <v>100</v>
      </c>
      <c r="T32" s="772" t="s">
        <v>17</v>
      </c>
      <c r="U32" s="773">
        <f t="shared" si="11"/>
        <v>100</v>
      </c>
      <c r="V32" s="772" t="s">
        <v>17</v>
      </c>
      <c r="W32" s="773">
        <f t="shared" si="12"/>
        <v>100</v>
      </c>
      <c r="X32" s="1814"/>
      <c r="Y32" s="3146"/>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146"/>
      <c r="Q33" s="1811"/>
      <c r="R33" s="772"/>
      <c r="S33" s="773"/>
      <c r="T33" s="772"/>
      <c r="U33" s="773"/>
      <c r="V33" s="772"/>
      <c r="W33" s="773"/>
      <c r="X33" s="1814"/>
      <c r="Y33" s="3146"/>
      <c r="Z33" s="1815"/>
      <c r="AA33" s="1812">
        <v>1</v>
      </c>
      <c r="AB33" s="1812">
        <v>1</v>
      </c>
      <c r="AC33" s="1812">
        <v>1</v>
      </c>
    </row>
    <row r="34" spans="1:29" ht="15">
      <c r="A34" s="428"/>
      <c r="B34" s="422" t="s">
        <v>2733</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146"/>
      <c r="Q34" s="1811" t="str">
        <f t="shared" si="8"/>
        <v>土地级别</v>
      </c>
      <c r="R34" s="772" t="s">
        <v>17</v>
      </c>
      <c r="S34" s="773">
        <f t="shared" si="10"/>
        <v>100</v>
      </c>
      <c r="T34" s="772" t="s">
        <v>17</v>
      </c>
      <c r="U34" s="773">
        <f t="shared" si="11"/>
        <v>100</v>
      </c>
      <c r="V34" s="772" t="s">
        <v>17</v>
      </c>
      <c r="W34" s="773">
        <f t="shared" si="12"/>
        <v>100</v>
      </c>
      <c r="X34" s="1814"/>
      <c r="Y34" s="3146"/>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146"/>
      <c r="Q35" s="1811">
        <f t="shared" si="8"/>
        <v>111</v>
      </c>
      <c r="R35" s="772" t="s">
        <v>17</v>
      </c>
      <c r="S35" s="773">
        <f t="shared" si="10"/>
        <v>100</v>
      </c>
      <c r="T35" s="772" t="s">
        <v>17</v>
      </c>
      <c r="U35" s="773">
        <f t="shared" si="11"/>
        <v>100</v>
      </c>
      <c r="V35" s="772" t="s">
        <v>17</v>
      </c>
      <c r="W35" s="773">
        <f t="shared" si="12"/>
        <v>100</v>
      </c>
      <c r="X35" s="1814"/>
      <c r="Y35" s="3146"/>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234" t="s">
        <v>2549</v>
      </c>
      <c r="Q36" s="1811">
        <f t="shared" si="8"/>
        <v>111</v>
      </c>
      <c r="R36" s="772" t="s">
        <v>17</v>
      </c>
      <c r="S36" s="773">
        <f t="shared" si="10"/>
        <v>100</v>
      </c>
      <c r="T36" s="772" t="s">
        <v>17</v>
      </c>
      <c r="U36" s="773">
        <f t="shared" si="11"/>
        <v>100</v>
      </c>
      <c r="V36" s="772" t="s">
        <v>17</v>
      </c>
      <c r="W36" s="773">
        <f t="shared" si="12"/>
        <v>100</v>
      </c>
      <c r="X36" s="1814"/>
      <c r="Y36" s="3150" t="s">
        <v>2549</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150"/>
      <c r="Q37" s="1811">
        <f t="shared" si="8"/>
        <v>111</v>
      </c>
      <c r="R37" s="775" t="s">
        <v>17</v>
      </c>
      <c r="S37" s="776">
        <f t="shared" si="10"/>
        <v>100</v>
      </c>
      <c r="T37" s="775" t="s">
        <v>17</v>
      </c>
      <c r="U37" s="776">
        <f t="shared" si="11"/>
        <v>100</v>
      </c>
      <c r="V37" s="775" t="s">
        <v>17</v>
      </c>
      <c r="W37" s="776">
        <f t="shared" si="12"/>
        <v>100</v>
      </c>
      <c r="X37" s="777"/>
      <c r="Y37" s="3150"/>
      <c r="Z37" s="778">
        <f t="shared" si="13"/>
        <v>111</v>
      </c>
      <c r="AA37" s="1812">
        <f t="shared" si="3"/>
        <v>1</v>
      </c>
      <c r="AB37" s="1812">
        <f t="shared" si="4"/>
        <v>1</v>
      </c>
      <c r="AC37" s="1812">
        <f t="shared" si="5"/>
        <v>1</v>
      </c>
    </row>
    <row r="38" spans="1:29" ht="15">
      <c r="A38" s="472" t="s">
        <v>2547</v>
      </c>
      <c r="B38" s="456" t="s">
        <v>2734</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150"/>
      <c r="Q38" s="1811" t="str">
        <f>B38</f>
        <v>宗地面积</v>
      </c>
      <c r="R38" s="772" t="s">
        <v>17</v>
      </c>
      <c r="S38" s="773" t="e">
        <f t="shared" si="10"/>
        <v>#N/A</v>
      </c>
      <c r="T38" s="772" t="s">
        <v>17</v>
      </c>
      <c r="U38" s="773" t="e">
        <f t="shared" si="11"/>
        <v>#N/A</v>
      </c>
      <c r="V38" s="772" t="s">
        <v>17</v>
      </c>
      <c r="W38" s="773" t="e">
        <f t="shared" si="12"/>
        <v>#N/A</v>
      </c>
      <c r="X38" s="1814"/>
      <c r="Y38" s="3150"/>
      <c r="Z38" s="1815" t="str">
        <f t="shared" si="13"/>
        <v>宗地面积</v>
      </c>
      <c r="AA38" s="1812" t="e">
        <f t="shared" si="3"/>
        <v>#N/A</v>
      </c>
      <c r="AB38" s="1812" t="e">
        <f t="shared" si="4"/>
        <v>#N/A</v>
      </c>
      <c r="AC38" s="1812" t="e">
        <f t="shared" si="5"/>
        <v>#N/A</v>
      </c>
    </row>
    <row r="39" spans="1:29" ht="15">
      <c r="A39" s="472"/>
      <c r="B39" s="422" t="s">
        <v>2735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50"/>
      <c r="Q39" s="1811" t="str">
        <f t="shared" ref="Q39:Q45" si="14">B39</f>
        <v>宗地形状</v>
      </c>
      <c r="R39" s="772" t="s">
        <v>17</v>
      </c>
      <c r="S39" s="773">
        <f t="shared" si="10"/>
        <v>100</v>
      </c>
      <c r="T39" s="772" t="s">
        <v>17</v>
      </c>
      <c r="U39" s="773">
        <f t="shared" si="11"/>
        <v>100</v>
      </c>
      <c r="V39" s="772" t="s">
        <v>17</v>
      </c>
      <c r="W39" s="773">
        <f t="shared" si="12"/>
        <v>100</v>
      </c>
      <c r="X39" s="1814"/>
      <c r="Y39" s="3150"/>
      <c r="Z39" s="1815" t="str">
        <f t="shared" si="13"/>
        <v>宗地形状</v>
      </c>
      <c r="AA39" s="1812">
        <f t="shared" si="3"/>
        <v>1</v>
      </c>
      <c r="AB39" s="1812">
        <f t="shared" si="4"/>
        <v>1</v>
      </c>
      <c r="AC39" s="1812">
        <f t="shared" si="5"/>
        <v>1</v>
      </c>
    </row>
    <row r="40" spans="1:29" ht="15">
      <c r="A40" s="472"/>
      <c r="B40" s="422" t="s">
        <v>2736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50"/>
      <c r="Q40" s="1811" t="str">
        <f t="shared" si="14"/>
        <v>临街宽度及深度</v>
      </c>
      <c r="R40" s="772" t="s">
        <v>17</v>
      </c>
      <c r="S40" s="773">
        <f t="shared" si="10"/>
        <v>100</v>
      </c>
      <c r="T40" s="772" t="s">
        <v>17</v>
      </c>
      <c r="U40" s="773">
        <f t="shared" si="11"/>
        <v>100</v>
      </c>
      <c r="V40" s="772" t="s">
        <v>17</v>
      </c>
      <c r="W40" s="773">
        <f t="shared" si="12"/>
        <v>100</v>
      </c>
      <c r="X40" s="1814"/>
      <c r="Y40" s="3150"/>
      <c r="Z40" s="1815" t="str">
        <f t="shared" si="13"/>
        <v>临街宽度及深度</v>
      </c>
      <c r="AA40" s="1812">
        <f t="shared" si="3"/>
        <v>1</v>
      </c>
      <c r="AB40" s="1812">
        <f t="shared" si="4"/>
        <v>1</v>
      </c>
      <c r="AC40" s="1812">
        <f t="shared" si="5"/>
        <v>1</v>
      </c>
    </row>
    <row r="41" spans="1:29" s="116" customFormat="1" ht="15">
      <c r="A41" s="473"/>
      <c r="B41" s="422" t="s">
        <v>2737</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50"/>
      <c r="Q41" s="1811" t="str">
        <f t="shared" si="14"/>
        <v>宗地开发程度</v>
      </c>
      <c r="R41" s="768" t="s">
        <v>17</v>
      </c>
      <c r="S41" s="769">
        <f t="shared" si="10"/>
        <v>100</v>
      </c>
      <c r="T41" s="768" t="s">
        <v>17</v>
      </c>
      <c r="U41" s="769">
        <f t="shared" si="11"/>
        <v>100</v>
      </c>
      <c r="V41" s="768" t="s">
        <v>17</v>
      </c>
      <c r="W41" s="769">
        <f t="shared" si="12"/>
        <v>100</v>
      </c>
      <c r="X41" s="770"/>
      <c r="Y41" s="3150"/>
      <c r="Z41" s="54" t="str">
        <f t="shared" si="13"/>
        <v>宗地开发程度</v>
      </c>
      <c r="AA41" s="771">
        <f t="shared" si="3"/>
        <v>1</v>
      </c>
      <c r="AB41" s="771">
        <f t="shared" si="4"/>
        <v>1</v>
      </c>
      <c r="AC41" s="771">
        <f t="shared" si="5"/>
        <v>1</v>
      </c>
    </row>
    <row r="42" spans="1:29" ht="15">
      <c r="A42" s="472"/>
      <c r="B42" s="422" t="s">
        <v>2738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50" t="s">
        <v>2549</v>
      </c>
      <c r="Q42" s="1811" t="str">
        <f t="shared" si="14"/>
        <v>工程地质条件</v>
      </c>
      <c r="R42" s="772" t="s">
        <v>17</v>
      </c>
      <c r="S42" s="773">
        <f t="shared" si="10"/>
        <v>100</v>
      </c>
      <c r="T42" s="772" t="s">
        <v>17</v>
      </c>
      <c r="U42" s="773">
        <f t="shared" si="11"/>
        <v>100</v>
      </c>
      <c r="V42" s="772" t="s">
        <v>17</v>
      </c>
      <c r="W42" s="773">
        <f t="shared" si="12"/>
        <v>100</v>
      </c>
      <c r="X42" s="1814"/>
      <c r="Y42" s="3150" t="s">
        <v>2549</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150"/>
      <c r="Q43" s="1811">
        <f t="shared" si="14"/>
        <v>111</v>
      </c>
      <c r="R43" s="772" t="s">
        <v>17</v>
      </c>
      <c r="S43" s="773">
        <f t="shared" si="10"/>
        <v>100</v>
      </c>
      <c r="T43" s="772" t="s">
        <v>17</v>
      </c>
      <c r="U43" s="773">
        <f t="shared" si="11"/>
        <v>100</v>
      </c>
      <c r="V43" s="772" t="s">
        <v>17</v>
      </c>
      <c r="W43" s="773">
        <f t="shared" si="12"/>
        <v>100</v>
      </c>
      <c r="X43" s="1814"/>
      <c r="Y43" s="3150"/>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150"/>
      <c r="Q44" s="1811">
        <f t="shared" si="14"/>
        <v>111</v>
      </c>
      <c r="R44" s="772" t="s">
        <v>17</v>
      </c>
      <c r="S44" s="773">
        <f t="shared" si="10"/>
        <v>100</v>
      </c>
      <c r="T44" s="772" t="s">
        <v>17</v>
      </c>
      <c r="U44" s="773">
        <f t="shared" si="11"/>
        <v>100</v>
      </c>
      <c r="V44" s="772" t="s">
        <v>17</v>
      </c>
      <c r="W44" s="773">
        <f t="shared" si="12"/>
        <v>100</v>
      </c>
      <c r="X44" s="1814"/>
      <c r="Y44" s="3150"/>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150"/>
      <c r="Q45" s="1811">
        <f t="shared" si="14"/>
        <v>111</v>
      </c>
      <c r="R45" s="775" t="s">
        <v>17</v>
      </c>
      <c r="S45" s="776">
        <f t="shared" si="10"/>
        <v>100</v>
      </c>
      <c r="T45" s="775" t="s">
        <v>17</v>
      </c>
      <c r="U45" s="776">
        <f t="shared" si="11"/>
        <v>100</v>
      </c>
      <c r="V45" s="775" t="s">
        <v>17</v>
      </c>
      <c r="W45" s="776">
        <f t="shared" si="12"/>
        <v>100</v>
      </c>
      <c r="X45" s="777"/>
      <c r="Y45" s="3150"/>
      <c r="Z45" s="778">
        <f t="shared" si="13"/>
        <v>111</v>
      </c>
      <c r="AA45" s="1812">
        <f t="shared" si="3"/>
        <v>1</v>
      </c>
      <c r="AB45" s="1812">
        <f t="shared" si="4"/>
        <v>1</v>
      </c>
      <c r="AC45" s="1812">
        <f t="shared" si="5"/>
        <v>1</v>
      </c>
    </row>
    <row r="46" spans="1:29" ht="15">
      <c r="A46" s="479" t="s">
        <v>2703</v>
      </c>
      <c r="B46" s="2702" t="s">
        <v>2739</v>
      </c>
      <c r="C46" s="680" t="s">
        <v>1</v>
      </c>
      <c r="D46" s="481"/>
      <c r="E46" s="482"/>
      <c r="F46" s="483"/>
      <c r="G46" s="484"/>
      <c r="H46" s="485"/>
      <c r="I46" s="482"/>
      <c r="J46" s="485"/>
      <c r="K46" s="781"/>
      <c r="L46" s="1143"/>
      <c r="M46" s="1144"/>
      <c r="N46" s="1131"/>
      <c r="O46" s="1144"/>
      <c r="P46" s="3143" t="str">
        <f>A46</f>
        <v>成交单价</v>
      </c>
      <c r="Q46" s="3143"/>
      <c r="R46" s="3174">
        <f>E46</f>
        <v>0</v>
      </c>
      <c r="S46" s="3174"/>
      <c r="T46" s="3174">
        <f>G46</f>
        <v>0</v>
      </c>
      <c r="U46" s="3174"/>
      <c r="V46" s="3174">
        <f>I46</f>
        <v>0</v>
      </c>
      <c r="W46" s="3174"/>
      <c r="X46" s="757"/>
      <c r="Y46" s="779"/>
      <c r="Z46" s="757"/>
      <c r="AA46" s="757"/>
      <c r="AB46" s="757"/>
      <c r="AC46" s="757"/>
    </row>
    <row r="47" spans="1:29" ht="15.75" thickBot="1">
      <c r="A47" s="486" t="s">
        <v>2652</v>
      </c>
      <c r="B47" s="681"/>
      <c r="C47" s="490" t="e">
        <f>R48</f>
        <v>#DIV/0!</v>
      </c>
      <c r="D47" s="489"/>
      <c r="E47" s="490" t="e">
        <f>R47</f>
        <v>#DIV/0!</v>
      </c>
      <c r="F47" s="491"/>
      <c r="G47" s="488" t="e">
        <f>T47</f>
        <v>#DIV/0!</v>
      </c>
      <c r="H47" s="489"/>
      <c r="I47" s="490" t="e">
        <f>V47</f>
        <v>#DIV/0!</v>
      </c>
      <c r="J47" s="489"/>
      <c r="K47" s="782"/>
      <c r="L47" s="1143"/>
      <c r="M47" s="1144"/>
      <c r="N47" s="1144"/>
      <c r="O47" s="1144"/>
      <c r="P47" s="3143" t="str">
        <f>A47</f>
        <v>比较价值（元/平方米）</v>
      </c>
      <c r="Q47" s="3143"/>
      <c r="R47" s="3235" t="e">
        <f>ROUND(PRODUCT(R46,AA7:AA45),0)</f>
        <v>#DIV/0!</v>
      </c>
      <c r="S47" s="3235"/>
      <c r="T47" s="3235" t="e">
        <f>ROUND(PRODUCT(T46,AB7:AB45),0)</f>
        <v>#DIV/0!</v>
      </c>
      <c r="U47" s="3235"/>
      <c r="V47" s="3235" t="e">
        <f>ROUND(PRODUCT(V46,AC7:AC45),0)</f>
        <v>#DIV/0!</v>
      </c>
      <c r="W47" s="3235"/>
      <c r="X47" s="757"/>
      <c r="Y47" s="757"/>
      <c r="Z47" s="757"/>
      <c r="AA47" s="757"/>
      <c r="AB47" s="757"/>
      <c r="AC47" s="757"/>
    </row>
    <row r="48" spans="1:29" ht="15.75" thickBot="1">
      <c r="A48" s="492" t="s">
        <v>2740</v>
      </c>
      <c r="B48" s="493"/>
      <c r="C48" s="494" t="e">
        <f>R48</f>
        <v>#DIV/0!</v>
      </c>
      <c r="D48" s="494"/>
      <c r="E48" s="494"/>
      <c r="F48" s="494"/>
      <c r="G48" s="494"/>
      <c r="H48" s="494"/>
      <c r="I48" s="494"/>
      <c r="J48" s="494"/>
      <c r="K48" s="783"/>
      <c r="L48" s="1143"/>
      <c r="M48" s="1144"/>
      <c r="N48" s="1144"/>
      <c r="O48" s="1144"/>
      <c r="P48" s="3140" t="str">
        <f>A48</f>
        <v>估价对象XX用房的比较价值（楼面单价，元/平方米）</v>
      </c>
      <c r="Q48" s="3141"/>
      <c r="R48" s="3236" t="e">
        <f>ROUND(AVERAGE(R47:V47),0)</f>
        <v>#DIV/0!</v>
      </c>
      <c r="S48" s="3236"/>
      <c r="T48" s="3236"/>
      <c r="U48" s="3236"/>
      <c r="V48" s="3236"/>
      <c r="W48" s="3236"/>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2741</v>
      </c>
      <c r="B55" s="683" t="s">
        <v>2742</v>
      </c>
      <c r="C55" s="2703" t="s">
        <v>2743</v>
      </c>
      <c r="D55" s="2704" t="s">
        <v>2744</v>
      </c>
      <c r="E55" s="684" t="s">
        <v>2745</v>
      </c>
      <c r="F55" s="1108" t="s">
        <v>2746</v>
      </c>
      <c r="G55" s="3158" t="s">
        <v>2747</v>
      </c>
      <c r="H55" s="3237"/>
      <c r="I55" s="143" t="s">
        <v>2748</v>
      </c>
      <c r="J55" s="2705" t="str">
        <f>项目基本情况!F35</f>
        <v>河北省</v>
      </c>
      <c r="K55" s="2706" t="s">
        <v>2749</v>
      </c>
      <c r="L55" s="1107"/>
      <c r="M55" s="1144"/>
      <c r="N55" s="1144"/>
      <c r="O55" s="1144"/>
    </row>
    <row r="56" spans="1:15" s="690" customFormat="1">
      <c r="A56" s="686" t="s">
        <v>2750</v>
      </c>
      <c r="B56" s="687" t="e">
        <f>C48</f>
        <v>#DIV/0!</v>
      </c>
      <c r="C56" s="688">
        <v>1</v>
      </c>
      <c r="D56" s="1163">
        <v>1</v>
      </c>
      <c r="E56" s="688">
        <f>'数据-汇总表'!E8+'数据-汇总表'!E9</f>
        <v>4145.53</v>
      </c>
      <c r="F56" s="1104" t="e">
        <f t="shared" ref="F56:F65" si="15">ROUND(B56*E56/10000,0)</f>
        <v>#DIV/0!</v>
      </c>
      <c r="G56" s="3154"/>
      <c r="H56" s="3143"/>
      <c r="I56" s="1109">
        <v>1</v>
      </c>
      <c r="J56" s="1112">
        <v>1</v>
      </c>
      <c r="K56" s="1145"/>
      <c r="L56" s="942"/>
      <c r="M56" s="942"/>
      <c r="N56" s="942"/>
      <c r="O56" s="942"/>
    </row>
    <row r="57" spans="1:15" s="690" customFormat="1">
      <c r="A57" s="691" t="s">
        <v>2751</v>
      </c>
      <c r="B57" s="262" t="e">
        <f>ROUND($C$48*C57*D57,0)</f>
        <v>#DIV/0!</v>
      </c>
      <c r="C57" s="200">
        <f t="shared" ref="C57:C65" si="16">IF($C$55="北京市系数",I57,J57)</f>
        <v>0</v>
      </c>
      <c r="D57" s="1164">
        <v>0.25</v>
      </c>
      <c r="E57" s="692"/>
      <c r="F57" s="1104" t="e">
        <f t="shared" si="15"/>
        <v>#DIV/0!</v>
      </c>
      <c r="G57" s="3238" t="s">
        <v>2752</v>
      </c>
      <c r="H57" s="1105">
        <f>项目基本情况!B37</f>
        <v>0</v>
      </c>
      <c r="I57" s="1109">
        <f>SUMIF(修正!A45:A56,H57,修正!B45:B56)</f>
        <v>0</v>
      </c>
      <c r="J57" s="1113"/>
      <c r="K57" s="1144"/>
      <c r="L57" s="942"/>
      <c r="M57" s="942"/>
      <c r="N57" s="942"/>
      <c r="O57" s="942"/>
    </row>
    <row r="58" spans="1:15" s="690" customFormat="1">
      <c r="A58" s="691" t="s">
        <v>2753</v>
      </c>
      <c r="B58" s="262" t="e">
        <f t="shared" ref="B58:B65" si="17">ROUND($C$48*C58*D58,0)</f>
        <v>#DIV/0!</v>
      </c>
      <c r="C58" s="200">
        <f t="shared" si="16"/>
        <v>0</v>
      </c>
      <c r="D58" s="1164">
        <v>0.25</v>
      </c>
      <c r="E58" s="692"/>
      <c r="F58" s="1104" t="e">
        <f t="shared" si="15"/>
        <v>#DIV/0!</v>
      </c>
      <c r="G58" s="3238"/>
      <c r="H58" s="1105">
        <f>项目基本情况!B37</f>
        <v>0</v>
      </c>
      <c r="I58" s="1109">
        <f>SUMIF(修正!A45:A56,H58,修正!C45:C56)</f>
        <v>0</v>
      </c>
      <c r="J58" s="1113"/>
      <c r="K58" s="1145"/>
      <c r="L58" s="942"/>
      <c r="M58" s="942"/>
      <c r="N58" s="942"/>
      <c r="O58" s="942"/>
    </row>
    <row r="59" spans="1:15" s="690" customFormat="1">
      <c r="A59" s="691" t="s">
        <v>2754</v>
      </c>
      <c r="B59" s="262" t="e">
        <f t="shared" si="17"/>
        <v>#DIV/0!</v>
      </c>
      <c r="C59" s="200">
        <f t="shared" si="16"/>
        <v>0</v>
      </c>
      <c r="D59" s="1164">
        <v>0.25</v>
      </c>
      <c r="E59" s="692"/>
      <c r="F59" s="1104" t="e">
        <f t="shared" si="15"/>
        <v>#DIV/0!</v>
      </c>
      <c r="G59" s="3238"/>
      <c r="H59" s="1105">
        <f>项目基本情况!B37</f>
        <v>0</v>
      </c>
      <c r="I59" s="1109">
        <f>SUMIF(修正!A45:A56,H59,修正!D45:D56)</f>
        <v>0</v>
      </c>
      <c r="J59" s="1113"/>
      <c r="K59" s="1144"/>
      <c r="L59" s="942"/>
      <c r="M59" s="942"/>
      <c r="N59" s="942"/>
      <c r="O59" s="942"/>
    </row>
    <row r="60" spans="1:15" s="690" customFormat="1">
      <c r="A60" s="691" t="s">
        <v>2755</v>
      </c>
      <c r="B60" s="262" t="e">
        <f t="shared" si="17"/>
        <v>#DIV/0!</v>
      </c>
      <c r="C60" s="200">
        <f t="shared" si="16"/>
        <v>0</v>
      </c>
      <c r="D60" s="1164">
        <v>0.25</v>
      </c>
      <c r="E60" s="692"/>
      <c r="F60" s="1104" t="e">
        <f t="shared" si="15"/>
        <v>#DIV/0!</v>
      </c>
      <c r="G60" s="3238"/>
      <c r="H60" s="1105">
        <f>项目基本情况!B37</f>
        <v>0</v>
      </c>
      <c r="I60" s="1109">
        <f>SUMIF(修正!A45:A56,H60,修正!E45:E56)</f>
        <v>0</v>
      </c>
      <c r="J60" s="1113"/>
      <c r="K60" s="1145"/>
      <c r="L60" s="942"/>
      <c r="M60" s="942"/>
      <c r="N60" s="942"/>
      <c r="O60" s="942"/>
    </row>
    <row r="61" spans="1:15" s="690" customFormat="1">
      <c r="A61" s="691" t="s">
        <v>2756</v>
      </c>
      <c r="B61" s="262" t="e">
        <f t="shared" si="17"/>
        <v>#DIV/0!</v>
      </c>
      <c r="C61" s="200">
        <f t="shared" si="16"/>
        <v>0</v>
      </c>
      <c r="D61" s="1164">
        <v>0.25</v>
      </c>
      <c r="E61" s="261">
        <f>'数据-汇总表'!E11</f>
        <v>0</v>
      </c>
      <c r="F61" s="1104" t="e">
        <f t="shared" si="15"/>
        <v>#DIV/0!</v>
      </c>
      <c r="G61" s="2707" t="s">
        <v>2757</v>
      </c>
      <c r="H61" s="1105">
        <f>项目基本情况!C37</f>
        <v>0</v>
      </c>
      <c r="I61" s="1109">
        <f>SUMIF(修正!A45:A56,H61,修正!F45:F56)</f>
        <v>0</v>
      </c>
      <c r="J61" s="1113"/>
      <c r="K61" s="1144"/>
      <c r="L61" s="942"/>
      <c r="M61" s="942"/>
      <c r="N61" s="942"/>
      <c r="O61" s="942"/>
    </row>
    <row r="62" spans="1:15" s="690" customFormat="1">
      <c r="A62" s="691" t="s">
        <v>2758</v>
      </c>
      <c r="B62" s="262" t="e">
        <f t="shared" si="17"/>
        <v>#DIV/0!</v>
      </c>
      <c r="C62" s="200">
        <f t="shared" si="16"/>
        <v>0</v>
      </c>
      <c r="D62" s="1164">
        <v>0.25</v>
      </c>
      <c r="E62" s="261">
        <f>'数据-汇总表'!E12</f>
        <v>0</v>
      </c>
      <c r="F62" s="1104" t="e">
        <f t="shared" si="15"/>
        <v>#DIV/0!</v>
      </c>
      <c r="G62" s="1110" t="s">
        <v>2759</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2760</v>
      </c>
      <c r="B63" s="262" t="e">
        <f t="shared" si="17"/>
        <v>#DIV/0!</v>
      </c>
      <c r="C63" s="200">
        <f t="shared" si="16"/>
        <v>0</v>
      </c>
      <c r="D63" s="1164">
        <v>0.25</v>
      </c>
      <c r="E63" s="261">
        <f>'数据-汇总表'!E13</f>
        <v>0</v>
      </c>
      <c r="F63" s="1104" t="e">
        <f t="shared" si="15"/>
        <v>#DIV/0!</v>
      </c>
      <c r="G63" s="1110" t="s">
        <v>2761</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2762</v>
      </c>
      <c r="B64" s="262" t="e">
        <f t="shared" si="17"/>
        <v>#DIV/0!</v>
      </c>
      <c r="C64" s="200">
        <f t="shared" si="16"/>
        <v>0</v>
      </c>
      <c r="D64" s="1164">
        <v>0.25</v>
      </c>
      <c r="E64" s="261">
        <f>'数据-汇总表'!E14</f>
        <v>0</v>
      </c>
      <c r="F64" s="1104" t="e">
        <f t="shared" si="15"/>
        <v>#DIV/0!</v>
      </c>
      <c r="G64" s="2707" t="s">
        <v>2752</v>
      </c>
      <c r="H64" s="1105">
        <f>项目基本情况!B37</f>
        <v>0</v>
      </c>
      <c r="I64" s="1109">
        <f>SUMIF(修正!A45:A56,H64,修正!H45:H56)</f>
        <v>0</v>
      </c>
      <c r="J64" s="1113"/>
      <c r="K64" s="1145"/>
      <c r="L64" s="942"/>
      <c r="M64" s="942"/>
      <c r="N64" s="942"/>
      <c r="O64" s="942"/>
    </row>
    <row r="65" spans="1:17" s="690" customFormat="1" ht="15" thickBot="1">
      <c r="A65" s="691" t="s">
        <v>2763</v>
      </c>
      <c r="B65" s="262" t="e">
        <f t="shared" si="17"/>
        <v>#DIV/0!</v>
      </c>
      <c r="C65" s="200">
        <f t="shared" si="16"/>
        <v>0</v>
      </c>
      <c r="D65" s="1164">
        <v>0.25</v>
      </c>
      <c r="E65" s="261">
        <f>'数据-汇总表'!E15</f>
        <v>0</v>
      </c>
      <c r="F65" s="1104" t="e">
        <f t="shared" si="15"/>
        <v>#DIV/0!</v>
      </c>
      <c r="G65" s="2708" t="s">
        <v>2757</v>
      </c>
      <c r="H65" s="1115">
        <f>项目基本情况!C37</f>
        <v>0</v>
      </c>
      <c r="I65" s="1111">
        <f>SUMIF(修正!A45:A56,H65,修正!H45:H56)</f>
        <v>0</v>
      </c>
      <c r="J65" s="1114"/>
      <c r="K65" s="1144"/>
      <c r="L65" s="942"/>
      <c r="M65" s="942"/>
      <c r="N65" s="942"/>
      <c r="O65" s="942"/>
    </row>
    <row r="66" spans="1:17" s="690" customFormat="1" ht="13.5" thickBot="1">
      <c r="A66" s="693" t="s">
        <v>2764</v>
      </c>
      <c r="B66" s="694" t="s">
        <v>28</v>
      </c>
      <c r="C66" s="694" t="s">
        <v>29</v>
      </c>
      <c r="D66" s="694" t="s">
        <v>1029</v>
      </c>
      <c r="E66" s="694">
        <f>IF(B46="楼面地价",SUM(E56:E65),'数据-汇总表'!D3)</f>
        <v>4145.53</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2657</v>
      </c>
      <c r="B69" s="757"/>
      <c r="C69" s="762"/>
      <c r="D69" s="762"/>
      <c r="E69" s="762"/>
      <c r="F69" s="763"/>
      <c r="G69" s="763"/>
      <c r="H69" s="762"/>
      <c r="I69" s="762"/>
      <c r="J69" s="1159"/>
      <c r="K69" s="1160"/>
      <c r="L69" s="1161"/>
      <c r="M69" s="1159"/>
      <c r="N69" s="1159"/>
      <c r="O69" s="1159"/>
      <c r="P69" s="503"/>
      <c r="Q69" s="504"/>
    </row>
    <row r="70" spans="1:17" s="508" customFormat="1" ht="15">
      <c r="A70" s="2709" t="s">
        <v>2765</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2569</v>
      </c>
      <c r="B72" s="516"/>
      <c r="C72" s="517"/>
      <c r="D72" s="518"/>
      <c r="E72" s="518"/>
      <c r="F72" s="518"/>
      <c r="G72" s="518"/>
      <c r="H72" s="518"/>
      <c r="I72" s="518"/>
      <c r="J72" s="518"/>
      <c r="K72" s="518"/>
      <c r="L72" s="518"/>
      <c r="M72" s="519"/>
      <c r="N72" s="518"/>
      <c r="O72" s="1162"/>
      <c r="P72" s="504"/>
      <c r="Q72" s="504"/>
    </row>
    <row r="73" spans="1:17" s="116" customFormat="1" ht="15">
      <c r="A73" s="521" t="s">
        <v>2534</v>
      </c>
      <c r="B73" s="510"/>
      <c r="C73" s="522" t="s">
        <v>2636</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2572</v>
      </c>
      <c r="B75" s="528" t="s">
        <v>2538</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2541</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2543</v>
      </c>
      <c r="B88" s="528" t="s">
        <v>2580</v>
      </c>
      <c r="C88" s="573" t="s">
        <v>2581</v>
      </c>
      <c r="D88" s="573" t="s">
        <v>2582</v>
      </c>
      <c r="E88" s="573" t="s">
        <v>2583</v>
      </c>
      <c r="F88" s="573" t="s">
        <v>2584</v>
      </c>
      <c r="G88" s="573" t="s">
        <v>2585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2767</v>
      </c>
      <c r="C90" s="578" t="s">
        <v>2581</v>
      </c>
      <c r="D90" s="578" t="s">
        <v>2582</v>
      </c>
      <c r="E90" s="578" t="s">
        <v>2583</v>
      </c>
      <c r="F90" s="578" t="s">
        <v>2584</v>
      </c>
      <c r="G90" s="578" t="s">
        <v>2585</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2680</v>
      </c>
      <c r="C92" s="578" t="s">
        <v>2581</v>
      </c>
      <c r="D92" s="578" t="s">
        <v>2582</v>
      </c>
      <c r="E92" s="578" t="s">
        <v>2583</v>
      </c>
      <c r="F92" s="578" t="s">
        <v>2584</v>
      </c>
      <c r="G92" s="578" t="s">
        <v>2585</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2586</v>
      </c>
      <c r="C94" s="578" t="s">
        <v>2581</v>
      </c>
      <c r="D94" s="578" t="s">
        <v>2582</v>
      </c>
      <c r="E94" s="578" t="s">
        <v>2583</v>
      </c>
      <c r="F94" s="578" t="s">
        <v>2584</v>
      </c>
      <c r="G94" s="578" t="s">
        <v>2585</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2768</v>
      </c>
      <c r="C96" s="578" t="s">
        <v>2581</v>
      </c>
      <c r="D96" s="578" t="s">
        <v>2582</v>
      </c>
      <c r="E96" s="578" t="s">
        <v>2583</v>
      </c>
      <c r="F96" s="578" t="s">
        <v>2584</v>
      </c>
      <c r="G96" s="578" t="s">
        <v>2585</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2769</v>
      </c>
      <c r="C98" s="573" t="s">
        <v>2581</v>
      </c>
      <c r="D98" s="573" t="s">
        <v>2582</v>
      </c>
      <c r="E98" s="573" t="s">
        <v>2583</v>
      </c>
      <c r="F98" s="573" t="s">
        <v>2584</v>
      </c>
      <c r="G98" s="573" t="s">
        <v>2585</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2638</v>
      </c>
      <c r="C100" s="573" t="s">
        <v>2581</v>
      </c>
      <c r="D100" s="573" t="s">
        <v>2582</v>
      </c>
      <c r="E100" s="573" t="s">
        <v>2583</v>
      </c>
      <c r="F100" s="573" t="s">
        <v>2584</v>
      </c>
      <c r="G100" s="573" t="s">
        <v>2585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2639</v>
      </c>
      <c r="C102" s="658" t="s">
        <v>2658</v>
      </c>
      <c r="D102" s="658" t="s">
        <v>2659</v>
      </c>
      <c r="E102" s="658" t="s">
        <v>2660</v>
      </c>
      <c r="F102" s="658" t="s">
        <v>2661</v>
      </c>
      <c r="G102" s="658" t="s">
        <v>2662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2770</v>
      </c>
      <c r="D104" s="539" t="s">
        <v>2771</v>
      </c>
      <c r="E104" s="539" t="s">
        <v>2772</v>
      </c>
      <c r="F104" s="539" t="s">
        <v>2773</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2674</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2733</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2547</v>
      </c>
      <c r="B116" s="528" t="s">
        <v>2774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2775</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2776</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2778</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2727</v>
      </c>
      <c r="B1" s="395"/>
      <c r="C1" s="396" t="s">
        <v>2779</v>
      </c>
      <c r="D1" s="753"/>
      <c r="E1" s="753"/>
      <c r="F1" s="752" t="s">
        <v>2627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2311</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2313</v>
      </c>
      <c r="B3" s="609" t="e">
        <f>ROUND(IF(D3="",B2*10000/'数据-汇总表'!E3,B2*10000/D3),0)</f>
        <v>#DIV/0!</v>
      </c>
      <c r="C3" s="247" t="s">
        <v>2729</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2629</v>
      </c>
      <c r="B4" s="402"/>
      <c r="C4" s="3158" t="s">
        <v>2630</v>
      </c>
      <c r="D4" s="3159"/>
      <c r="E4" s="3160" t="s">
        <v>2631</v>
      </c>
      <c r="F4" s="3161"/>
      <c r="G4" s="3158" t="s">
        <v>2632</v>
      </c>
      <c r="H4" s="3159"/>
      <c r="I4" s="3158" t="s">
        <v>2633</v>
      </c>
      <c r="J4" s="3159"/>
      <c r="K4" s="610" t="s">
        <v>2634</v>
      </c>
      <c r="L4" s="1130"/>
      <c r="M4" s="1131"/>
      <c r="N4" s="1131"/>
      <c r="O4" s="1131"/>
      <c r="P4" s="3162" t="s">
        <v>2635</v>
      </c>
      <c r="Q4" s="3163"/>
      <c r="R4" s="3168" t="s">
        <v>2631</v>
      </c>
      <c r="S4" s="3169"/>
      <c r="T4" s="3168" t="s">
        <v>2632</v>
      </c>
      <c r="U4" s="3169"/>
      <c r="V4" s="3174" t="s">
        <v>2633</v>
      </c>
      <c r="W4" s="3174"/>
      <c r="X4" s="1814"/>
      <c r="Y4" s="3168" t="s">
        <v>2635</v>
      </c>
      <c r="Z4" s="3169"/>
      <c r="AA4" s="3155" t="s">
        <v>2631</v>
      </c>
      <c r="AB4" s="3156" t="s">
        <v>2632</v>
      </c>
      <c r="AC4" s="3155" t="s">
        <v>2633</v>
      </c>
    </row>
    <row r="5" spans="1:29" ht="15">
      <c r="A5" s="404"/>
      <c r="B5" s="405"/>
      <c r="C5" s="3230" t="s">
        <v>2526</v>
      </c>
      <c r="D5" s="3178"/>
      <c r="E5" s="3233" t="s">
        <v>2527</v>
      </c>
      <c r="F5" s="3185"/>
      <c r="G5" s="3230" t="s">
        <v>2528</v>
      </c>
      <c r="H5" s="3178"/>
      <c r="I5" s="3230" t="s">
        <v>2529</v>
      </c>
      <c r="J5" s="3178"/>
      <c r="K5" s="610"/>
      <c r="L5" s="1130"/>
      <c r="M5" s="1131"/>
      <c r="N5" s="1131"/>
      <c r="O5" s="1131"/>
      <c r="P5" s="3164"/>
      <c r="Q5" s="3165"/>
      <c r="R5" s="3170"/>
      <c r="S5" s="3171"/>
      <c r="T5" s="3170"/>
      <c r="U5" s="3171"/>
      <c r="V5" s="3174"/>
      <c r="W5" s="3174"/>
      <c r="X5" s="1814"/>
      <c r="Y5" s="3170"/>
      <c r="Z5" s="3171"/>
      <c r="AA5" s="3156"/>
      <c r="AB5" s="3156"/>
      <c r="AC5" s="3156"/>
    </row>
    <row r="6" spans="1:29" ht="15.75" thickBot="1">
      <c r="A6" s="406"/>
      <c r="B6" s="407"/>
      <c r="C6" s="3239" t="s">
        <v>2780</v>
      </c>
      <c r="D6" s="3240"/>
      <c r="E6" s="3241" t="s">
        <v>2780</v>
      </c>
      <c r="F6" s="3242"/>
      <c r="G6" s="3239" t="s">
        <v>2780</v>
      </c>
      <c r="H6" s="3240"/>
      <c r="I6" s="3239" t="s">
        <v>2780</v>
      </c>
      <c r="J6" s="3240"/>
      <c r="K6" s="610" t="s">
        <v>2531</v>
      </c>
      <c r="L6" s="1130"/>
      <c r="M6" s="1131"/>
      <c r="N6" s="1131"/>
      <c r="O6" s="1131"/>
      <c r="P6" s="3166"/>
      <c r="Q6" s="3167"/>
      <c r="R6" s="3170"/>
      <c r="S6" s="3171"/>
      <c r="T6" s="3172"/>
      <c r="U6" s="3173"/>
      <c r="V6" s="3174"/>
      <c r="W6" s="3174"/>
      <c r="X6" s="1814"/>
      <c r="Y6" s="3172"/>
      <c r="Z6" s="3173"/>
      <c r="AA6" s="3157"/>
      <c r="AB6" s="3157"/>
      <c r="AC6" s="3157"/>
    </row>
    <row r="7" spans="1:29" s="116" customFormat="1" ht="15.75" thickBot="1">
      <c r="A7" s="408" t="s">
        <v>2532</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79" t="s">
        <v>2533</v>
      </c>
      <c r="Q7" s="3181"/>
      <c r="R7" s="768" t="s">
        <v>17</v>
      </c>
      <c r="S7" s="769">
        <f t="shared" ref="S7:S15" si="0">F7</f>
        <v>0</v>
      </c>
      <c r="T7" s="768" t="s">
        <v>17</v>
      </c>
      <c r="U7" s="769">
        <f t="shared" ref="U7:U15" si="1">H7</f>
        <v>0</v>
      </c>
      <c r="V7" s="768" t="s">
        <v>17</v>
      </c>
      <c r="W7" s="769">
        <f t="shared" ref="W7:W15" si="2">J7</f>
        <v>0</v>
      </c>
      <c r="X7" s="770"/>
      <c r="Y7" s="3179" t="s">
        <v>2533</v>
      </c>
      <c r="Z7" s="3180"/>
      <c r="AA7" s="771" t="e">
        <f>D7/F7</f>
        <v>#DIV/0!</v>
      </c>
      <c r="AB7" s="771" t="e">
        <f>D7/H7</f>
        <v>#DIV/0!</v>
      </c>
      <c r="AC7" s="771" t="e">
        <f>D7/J7</f>
        <v>#DIV/0!</v>
      </c>
    </row>
    <row r="8" spans="1:29" s="116" customFormat="1" ht="15.75" thickBot="1">
      <c r="A8" s="408" t="s">
        <v>2534</v>
      </c>
      <c r="B8" s="409"/>
      <c r="C8" s="414" t="s">
        <v>2535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9" t="s">
        <v>2536</v>
      </c>
      <c r="Q8" s="3180"/>
      <c r="R8" s="768" t="s">
        <v>17</v>
      </c>
      <c r="S8" s="769">
        <f t="shared" si="0"/>
        <v>0</v>
      </c>
      <c r="T8" s="768" t="s">
        <v>17</v>
      </c>
      <c r="U8" s="769">
        <f t="shared" si="1"/>
        <v>0</v>
      </c>
      <c r="V8" s="768" t="s">
        <v>17</v>
      </c>
      <c r="W8" s="769">
        <f t="shared" si="2"/>
        <v>0</v>
      </c>
      <c r="X8" s="770"/>
      <c r="Y8" s="3179" t="s">
        <v>2536</v>
      </c>
      <c r="Z8" s="3180"/>
      <c r="AA8" s="771" t="e">
        <f t="shared" ref="AA8:AA40" si="3">D8/F8</f>
        <v>#DIV/0!</v>
      </c>
      <c r="AB8" s="771" t="e">
        <f t="shared" ref="AB8:AB40" si="4">D8/H8</f>
        <v>#DIV/0!</v>
      </c>
      <c r="AC8" s="771" t="e">
        <f t="shared" ref="AC8:AC40" si="5">D8/J8</f>
        <v>#DIV/0!</v>
      </c>
    </row>
    <row r="9" spans="1:29" s="116" customFormat="1">
      <c r="A9" s="415" t="s">
        <v>2537</v>
      </c>
      <c r="B9" s="70" t="s">
        <v>2538</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143" t="s">
        <v>2539</v>
      </c>
      <c r="Q9" s="1796" t="str">
        <f t="shared" ref="Q9:Q15" si="6">B9</f>
        <v>用途</v>
      </c>
      <c r="R9" s="768" t="s">
        <v>17</v>
      </c>
      <c r="S9" s="769">
        <f t="shared" si="0"/>
        <v>100</v>
      </c>
      <c r="T9" s="768" t="s">
        <v>17</v>
      </c>
      <c r="U9" s="769">
        <f t="shared" si="1"/>
        <v>100</v>
      </c>
      <c r="V9" s="768" t="s">
        <v>17</v>
      </c>
      <c r="W9" s="769">
        <f t="shared" si="2"/>
        <v>100</v>
      </c>
      <c r="X9" s="770"/>
      <c r="Y9" s="2998" t="s">
        <v>2540</v>
      </c>
      <c r="Z9" s="54" t="str">
        <f t="shared" ref="Z9:Z15" si="7">Q9</f>
        <v>用途</v>
      </c>
      <c r="AA9" s="771">
        <f t="shared" si="3"/>
        <v>1</v>
      </c>
      <c r="AB9" s="771">
        <f t="shared" si="4"/>
        <v>1</v>
      </c>
      <c r="AC9" s="771">
        <f t="shared" si="5"/>
        <v>1</v>
      </c>
    </row>
    <row r="10" spans="1:29" s="427" customFormat="1" ht="27">
      <c r="A10" s="421"/>
      <c r="B10" s="422" t="s">
        <v>2541</v>
      </c>
      <c r="C10" s="432"/>
      <c r="D10" s="135">
        <v>100</v>
      </c>
      <c r="E10" s="432"/>
      <c r="F10" s="135">
        <f>ROUND(100/'数据-取费表'!G16,0)</f>
        <v>105</v>
      </c>
      <c r="G10" s="432"/>
      <c r="H10" s="135">
        <f>ROUND(100/'数据-取费表'!G16,0)</f>
        <v>105</v>
      </c>
      <c r="I10" s="432"/>
      <c r="J10" s="135">
        <f>ROUND(100/'数据-取费表'!G16,0)</f>
        <v>105</v>
      </c>
      <c r="K10" s="670"/>
      <c r="L10" s="1135"/>
      <c r="M10" s="1136"/>
      <c r="N10" s="1136"/>
      <c r="O10" s="1137"/>
      <c r="P10" s="3143"/>
      <c r="Q10" s="1796" t="str">
        <f t="shared" si="6"/>
        <v>土地使用年限（年）</v>
      </c>
      <c r="R10" s="768" t="s">
        <v>17</v>
      </c>
      <c r="S10" s="769">
        <f t="shared" si="0"/>
        <v>105</v>
      </c>
      <c r="T10" s="768" t="s">
        <v>17</v>
      </c>
      <c r="U10" s="769">
        <f t="shared" si="1"/>
        <v>105</v>
      </c>
      <c r="V10" s="768" t="s">
        <v>17</v>
      </c>
      <c r="W10" s="769">
        <f t="shared" si="2"/>
        <v>105</v>
      </c>
      <c r="X10" s="770"/>
      <c r="Y10" s="2998"/>
      <c r="Z10" s="54" t="str">
        <f t="shared" si="7"/>
        <v>土地使用年限（年）</v>
      </c>
      <c r="AA10" s="771">
        <f t="shared" si="3"/>
        <v>0.95238095238095233</v>
      </c>
      <c r="AB10" s="771">
        <f t="shared" si="4"/>
        <v>0.95238095238095233</v>
      </c>
      <c r="AC10" s="771">
        <f t="shared" si="5"/>
        <v>0.95238095238095233</v>
      </c>
    </row>
    <row r="11" spans="1:29" ht="15">
      <c r="A11" s="428"/>
      <c r="B11" s="422" t="s">
        <v>2542</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143"/>
      <c r="Q11" s="1796" t="str">
        <f t="shared" si="6"/>
        <v>容积率</v>
      </c>
      <c r="R11" s="768" t="s">
        <v>17</v>
      </c>
      <c r="S11" s="769" t="e">
        <f t="shared" si="0"/>
        <v>#N/A</v>
      </c>
      <c r="T11" s="768" t="s">
        <v>17</v>
      </c>
      <c r="U11" s="769" t="e">
        <f t="shared" si="1"/>
        <v>#N/A</v>
      </c>
      <c r="V11" s="768" t="s">
        <v>17</v>
      </c>
      <c r="W11" s="769" t="e">
        <f t="shared" si="2"/>
        <v>#N/A</v>
      </c>
      <c r="X11" s="770"/>
      <c r="Y11" s="2998"/>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143"/>
      <c r="Q12" s="1796">
        <f t="shared" si="6"/>
        <v>111</v>
      </c>
      <c r="R12" s="768" t="s">
        <v>17</v>
      </c>
      <c r="S12" s="769">
        <f t="shared" si="0"/>
        <v>100</v>
      </c>
      <c r="T12" s="768" t="s">
        <v>17</v>
      </c>
      <c r="U12" s="769">
        <f t="shared" si="1"/>
        <v>100</v>
      </c>
      <c r="V12" s="768" t="s">
        <v>17</v>
      </c>
      <c r="W12" s="769">
        <f t="shared" si="2"/>
        <v>100</v>
      </c>
      <c r="X12" s="770"/>
      <c r="Y12" s="2998"/>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143"/>
      <c r="Q13" s="1796">
        <f t="shared" si="6"/>
        <v>111</v>
      </c>
      <c r="R13" s="768" t="s">
        <v>17</v>
      </c>
      <c r="S13" s="769">
        <f t="shared" si="0"/>
        <v>100</v>
      </c>
      <c r="T13" s="768" t="s">
        <v>17</v>
      </c>
      <c r="U13" s="769">
        <f t="shared" si="1"/>
        <v>100</v>
      </c>
      <c r="V13" s="768" t="s">
        <v>17</v>
      </c>
      <c r="W13" s="769">
        <f t="shared" si="2"/>
        <v>100</v>
      </c>
      <c r="X13" s="770"/>
      <c r="Y13" s="2998"/>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143"/>
      <c r="Q14" s="1796">
        <f t="shared" si="6"/>
        <v>111</v>
      </c>
      <c r="R14" s="768" t="s">
        <v>17</v>
      </c>
      <c r="S14" s="769">
        <f t="shared" si="0"/>
        <v>100</v>
      </c>
      <c r="T14" s="768" t="s">
        <v>17</v>
      </c>
      <c r="U14" s="769">
        <f t="shared" si="1"/>
        <v>100</v>
      </c>
      <c r="V14" s="768" t="s">
        <v>17</v>
      </c>
      <c r="W14" s="769">
        <f t="shared" si="2"/>
        <v>100</v>
      </c>
      <c r="X14" s="770"/>
      <c r="Y14" s="2998"/>
      <c r="Z14" s="54">
        <f t="shared" si="7"/>
        <v>111</v>
      </c>
      <c r="AA14" s="771">
        <f t="shared" si="3"/>
        <v>1</v>
      </c>
      <c r="AB14" s="771">
        <f t="shared" si="4"/>
        <v>1</v>
      </c>
      <c r="AC14" s="771">
        <f t="shared" si="5"/>
        <v>1</v>
      </c>
    </row>
    <row r="15" spans="1:29" ht="15">
      <c r="A15" s="440" t="s">
        <v>2543</v>
      </c>
      <c r="B15" s="627" t="s">
        <v>2781</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145" t="s">
        <v>2544</v>
      </c>
      <c r="Q15" s="1811" t="str">
        <f t="shared" si="6"/>
        <v>产业集聚程度</v>
      </c>
      <c r="R15" s="772" t="s">
        <v>17</v>
      </c>
      <c r="S15" s="773">
        <f t="shared" si="0"/>
        <v>100</v>
      </c>
      <c r="T15" s="772" t="s">
        <v>17</v>
      </c>
      <c r="U15" s="773">
        <f t="shared" si="1"/>
        <v>100</v>
      </c>
      <c r="V15" s="772" t="s">
        <v>17</v>
      </c>
      <c r="W15" s="773">
        <f t="shared" si="2"/>
        <v>100</v>
      </c>
      <c r="X15" s="1814"/>
      <c r="Y15" s="3145" t="s">
        <v>2544</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146"/>
      <c r="Q16" s="1811"/>
      <c r="R16" s="772"/>
      <c r="S16" s="773"/>
      <c r="T16" s="772"/>
      <c r="U16" s="773"/>
      <c r="V16" s="772"/>
      <c r="W16" s="773"/>
      <c r="X16" s="1814"/>
      <c r="Y16" s="3146"/>
      <c r="Z16" s="1815"/>
      <c r="AA16" s="1812">
        <v>1</v>
      </c>
      <c r="AB16" s="1812">
        <v>1</v>
      </c>
      <c r="AC16" s="1812">
        <v>1</v>
      </c>
    </row>
    <row r="17" spans="1:29" ht="15">
      <c r="A17" s="428"/>
      <c r="B17" s="629" t="s">
        <v>2692</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146"/>
      <c r="Q17" s="1811" t="str">
        <f>B17</f>
        <v>交通便捷度</v>
      </c>
      <c r="R17" s="772" t="s">
        <v>17</v>
      </c>
      <c r="S17" s="773">
        <f>F17</f>
        <v>100</v>
      </c>
      <c r="T17" s="772" t="s">
        <v>17</v>
      </c>
      <c r="U17" s="773">
        <f>H17</f>
        <v>100</v>
      </c>
      <c r="V17" s="772" t="s">
        <v>17</v>
      </c>
      <c r="W17" s="773">
        <f>J17</f>
        <v>100</v>
      </c>
      <c r="X17" s="1814"/>
      <c r="Y17" s="3146"/>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146"/>
      <c r="Q18" s="1811"/>
      <c r="R18" s="772"/>
      <c r="S18" s="773"/>
      <c r="T18" s="772"/>
      <c r="U18" s="773"/>
      <c r="V18" s="772"/>
      <c r="W18" s="773"/>
      <c r="X18" s="1814"/>
      <c r="Y18" s="3146"/>
      <c r="Z18" s="1815"/>
      <c r="AA18" s="1812">
        <v>1</v>
      </c>
      <c r="AB18" s="1812">
        <v>1</v>
      </c>
      <c r="AC18" s="1812">
        <v>1</v>
      </c>
    </row>
    <row r="19" spans="1:29" ht="15">
      <c r="A19" s="428"/>
      <c r="B19" s="629" t="s">
        <v>2731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146"/>
      <c r="Q19" s="1811" t="str">
        <f t="shared" ref="Q19:Q33" si="8">B19</f>
        <v>区域土地利用方向</v>
      </c>
      <c r="R19" s="772" t="s">
        <v>17</v>
      </c>
      <c r="S19" s="773">
        <f>F19</f>
        <v>100</v>
      </c>
      <c r="T19" s="772" t="s">
        <v>17</v>
      </c>
      <c r="U19" s="773">
        <f>H19</f>
        <v>100</v>
      </c>
      <c r="V19" s="772" t="s">
        <v>17</v>
      </c>
      <c r="W19" s="773">
        <f>J19</f>
        <v>100</v>
      </c>
      <c r="X19" s="1814"/>
      <c r="Y19" s="3146"/>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146"/>
      <c r="Q20" s="1811"/>
      <c r="R20" s="772"/>
      <c r="S20" s="773"/>
      <c r="T20" s="772"/>
      <c r="U20" s="773"/>
      <c r="V20" s="772"/>
      <c r="W20" s="773"/>
      <c r="X20" s="1814"/>
      <c r="Y20" s="3146"/>
      <c r="Z20" s="1815"/>
      <c r="AA20" s="1812"/>
      <c r="AB20" s="1812"/>
      <c r="AC20" s="1812"/>
    </row>
    <row r="21" spans="1:29" ht="15">
      <c r="A21" s="404"/>
      <c r="B21" s="629" t="s">
        <v>2782</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146"/>
      <c r="Q21" s="1811" t="str">
        <f t="shared" si="8"/>
        <v>环境状况</v>
      </c>
      <c r="R21" s="772" t="s">
        <v>17</v>
      </c>
      <c r="S21" s="773">
        <f>F21</f>
        <v>100</v>
      </c>
      <c r="T21" s="772" t="s">
        <v>17</v>
      </c>
      <c r="U21" s="773">
        <f>H21</f>
        <v>100</v>
      </c>
      <c r="V21" s="772" t="s">
        <v>17</v>
      </c>
      <c r="W21" s="773">
        <f>J21</f>
        <v>100</v>
      </c>
      <c r="X21" s="1814"/>
      <c r="Y21" s="3146"/>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146"/>
      <c r="Q22" s="1811"/>
      <c r="R22" s="772"/>
      <c r="S22" s="773"/>
      <c r="T22" s="772"/>
      <c r="U22" s="773"/>
      <c r="V22" s="772"/>
      <c r="W22" s="773"/>
      <c r="X22" s="1814"/>
      <c r="Y22" s="3146"/>
      <c r="Z22" s="1815"/>
      <c r="AA22" s="1812">
        <v>1</v>
      </c>
      <c r="AB22" s="1812">
        <v>1</v>
      </c>
      <c r="AC22" s="1812">
        <v>1</v>
      </c>
    </row>
    <row r="23" spans="1:29" s="116" customFormat="1" ht="15">
      <c r="A23" s="647"/>
      <c r="B23" s="631" t="s">
        <v>2638</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146"/>
      <c r="Q23" s="1796" t="str">
        <f t="shared" si="8"/>
        <v>公共配套设施</v>
      </c>
      <c r="R23" s="768" t="s">
        <v>17</v>
      </c>
      <c r="S23" s="769">
        <f>F23</f>
        <v>100</v>
      </c>
      <c r="T23" s="768" t="s">
        <v>17</v>
      </c>
      <c r="U23" s="769">
        <f>H23</f>
        <v>100</v>
      </c>
      <c r="V23" s="768" t="s">
        <v>17</v>
      </c>
      <c r="W23" s="769">
        <f>J23</f>
        <v>100</v>
      </c>
      <c r="X23" s="770"/>
      <c r="Y23" s="3146"/>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146"/>
      <c r="Q24" s="1796"/>
      <c r="R24" s="768"/>
      <c r="S24" s="769"/>
      <c r="T24" s="768"/>
      <c r="U24" s="769"/>
      <c r="V24" s="768"/>
      <c r="W24" s="769"/>
      <c r="X24" s="770"/>
      <c r="Y24" s="3146"/>
      <c r="Z24" s="54"/>
      <c r="AA24" s="771">
        <v>1</v>
      </c>
      <c r="AB24" s="771">
        <v>1</v>
      </c>
      <c r="AC24" s="771">
        <v>1</v>
      </c>
    </row>
    <row r="25" spans="1:29" s="116" customFormat="1" ht="15">
      <c r="A25" s="647"/>
      <c r="B25" s="631" t="s">
        <v>2639</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146"/>
      <c r="Q25" s="1796" t="str">
        <f t="shared" ref="Q25" si="9">B25</f>
        <v>基础设施水平</v>
      </c>
      <c r="R25" s="768" t="s">
        <v>17</v>
      </c>
      <c r="S25" s="769">
        <f>F25</f>
        <v>100</v>
      </c>
      <c r="T25" s="768" t="s">
        <v>17</v>
      </c>
      <c r="U25" s="769">
        <f>H25</f>
        <v>100</v>
      </c>
      <c r="V25" s="768" t="s">
        <v>17</v>
      </c>
      <c r="W25" s="769">
        <f>J25</f>
        <v>100</v>
      </c>
      <c r="X25" s="770"/>
      <c r="Y25" s="3146"/>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146"/>
      <c r="Q26" s="1796"/>
      <c r="R26" s="768"/>
      <c r="S26" s="769"/>
      <c r="T26" s="768"/>
      <c r="U26" s="769"/>
      <c r="V26" s="768"/>
      <c r="W26" s="769"/>
      <c r="X26" s="770"/>
      <c r="Y26" s="3146"/>
      <c r="Z26" s="54"/>
      <c r="AA26" s="771">
        <v>1</v>
      </c>
      <c r="AB26" s="771">
        <v>1</v>
      </c>
      <c r="AC26" s="771">
        <v>1</v>
      </c>
    </row>
    <row r="27" spans="1:29" ht="15">
      <c r="A27" s="428"/>
      <c r="B27" s="630" t="s">
        <v>2640</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146"/>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46"/>
      <c r="Z27" s="1815" t="str">
        <f t="shared" ref="Z27:Z40" si="13">Q27</f>
        <v>临街状况</v>
      </c>
      <c r="AA27" s="1812">
        <f t="shared" si="3"/>
        <v>1</v>
      </c>
      <c r="AB27" s="1812">
        <f t="shared" si="4"/>
        <v>1</v>
      </c>
      <c r="AC27" s="1812">
        <f t="shared" si="5"/>
        <v>1</v>
      </c>
    </row>
    <row r="28" spans="1:29" ht="27">
      <c r="A28" s="428"/>
      <c r="B28" s="631" t="s">
        <v>2674</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146"/>
      <c r="Q28" s="1811" t="str">
        <f t="shared" si="8"/>
        <v>毗邻道路的类型与等级</v>
      </c>
      <c r="R28" s="772" t="s">
        <v>17</v>
      </c>
      <c r="S28" s="773">
        <f t="shared" si="10"/>
        <v>100</v>
      </c>
      <c r="T28" s="772" t="s">
        <v>17</v>
      </c>
      <c r="U28" s="773">
        <f t="shared" si="11"/>
        <v>100</v>
      </c>
      <c r="V28" s="772" t="s">
        <v>17</v>
      </c>
      <c r="W28" s="773">
        <f t="shared" si="12"/>
        <v>100</v>
      </c>
      <c r="X28" s="1814"/>
      <c r="Y28" s="3146"/>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146"/>
      <c r="Q29" s="1811"/>
      <c r="R29" s="772"/>
      <c r="S29" s="773"/>
      <c r="T29" s="772"/>
      <c r="U29" s="773"/>
      <c r="V29" s="772"/>
      <c r="W29" s="773"/>
      <c r="X29" s="1814"/>
      <c r="Y29" s="3146"/>
      <c r="Z29" s="1815"/>
      <c r="AA29" s="1812">
        <v>1</v>
      </c>
      <c r="AB29" s="1812">
        <v>1</v>
      </c>
      <c r="AC29" s="1812">
        <v>1</v>
      </c>
    </row>
    <row r="30" spans="1:29" ht="15">
      <c r="A30" s="428"/>
      <c r="B30" s="652" t="s">
        <v>2733</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146"/>
      <c r="Q30" s="1811" t="str">
        <f t="shared" si="8"/>
        <v>土地级别</v>
      </c>
      <c r="R30" s="772" t="s">
        <v>17</v>
      </c>
      <c r="S30" s="773">
        <f t="shared" si="10"/>
        <v>100</v>
      </c>
      <c r="T30" s="772" t="s">
        <v>17</v>
      </c>
      <c r="U30" s="773">
        <f t="shared" si="11"/>
        <v>100</v>
      </c>
      <c r="V30" s="772" t="s">
        <v>17</v>
      </c>
      <c r="W30" s="773">
        <f t="shared" si="12"/>
        <v>100</v>
      </c>
      <c r="X30" s="1814"/>
      <c r="Y30" s="3146"/>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46"/>
      <c r="Q31" s="1811">
        <f t="shared" si="8"/>
        <v>111</v>
      </c>
      <c r="R31" s="772" t="s">
        <v>17</v>
      </c>
      <c r="S31" s="773">
        <f t="shared" si="10"/>
        <v>100</v>
      </c>
      <c r="T31" s="772" t="s">
        <v>17</v>
      </c>
      <c r="U31" s="773">
        <f t="shared" si="11"/>
        <v>100</v>
      </c>
      <c r="V31" s="772" t="s">
        <v>17</v>
      </c>
      <c r="W31" s="773">
        <f t="shared" si="12"/>
        <v>100</v>
      </c>
      <c r="X31" s="1814"/>
      <c r="Y31" s="3146"/>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234" t="s">
        <v>2549</v>
      </c>
      <c r="Q32" s="1811">
        <f t="shared" si="8"/>
        <v>111</v>
      </c>
      <c r="R32" s="772" t="s">
        <v>17</v>
      </c>
      <c r="S32" s="773">
        <f t="shared" si="10"/>
        <v>100</v>
      </c>
      <c r="T32" s="772" t="s">
        <v>17</v>
      </c>
      <c r="U32" s="773">
        <f t="shared" si="11"/>
        <v>100</v>
      </c>
      <c r="V32" s="772" t="s">
        <v>17</v>
      </c>
      <c r="W32" s="773">
        <f t="shared" si="12"/>
        <v>100</v>
      </c>
      <c r="X32" s="1814"/>
      <c r="Y32" s="3150" t="s">
        <v>2549</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150"/>
      <c r="Q33" s="1811">
        <f t="shared" si="8"/>
        <v>111</v>
      </c>
      <c r="R33" s="775" t="s">
        <v>17</v>
      </c>
      <c r="S33" s="776">
        <f t="shared" si="10"/>
        <v>100</v>
      </c>
      <c r="T33" s="775" t="s">
        <v>17</v>
      </c>
      <c r="U33" s="776">
        <f t="shared" si="11"/>
        <v>100</v>
      </c>
      <c r="V33" s="775" t="s">
        <v>17</v>
      </c>
      <c r="W33" s="776">
        <f t="shared" si="12"/>
        <v>100</v>
      </c>
      <c r="X33" s="777"/>
      <c r="Y33" s="3150"/>
      <c r="Z33" s="778">
        <f t="shared" si="13"/>
        <v>111</v>
      </c>
      <c r="AA33" s="1812">
        <f t="shared" si="3"/>
        <v>1</v>
      </c>
      <c r="AB33" s="1812">
        <f t="shared" si="4"/>
        <v>1</v>
      </c>
      <c r="AC33" s="1812">
        <f t="shared" si="5"/>
        <v>1</v>
      </c>
    </row>
    <row r="34" spans="1:29" ht="15">
      <c r="A34" s="440" t="s">
        <v>2547</v>
      </c>
      <c r="B34" s="456" t="s">
        <v>2734</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150"/>
      <c r="Q34" s="1811" t="str">
        <f>B34</f>
        <v>宗地面积</v>
      </c>
      <c r="R34" s="772" t="s">
        <v>17</v>
      </c>
      <c r="S34" s="773" t="e">
        <f t="shared" si="10"/>
        <v>#N/A</v>
      </c>
      <c r="T34" s="772" t="s">
        <v>17</v>
      </c>
      <c r="U34" s="773" t="e">
        <f t="shared" si="11"/>
        <v>#N/A</v>
      </c>
      <c r="V34" s="772" t="s">
        <v>17</v>
      </c>
      <c r="W34" s="773" t="e">
        <f t="shared" si="12"/>
        <v>#N/A</v>
      </c>
      <c r="X34" s="1814"/>
      <c r="Y34" s="3150"/>
      <c r="Z34" s="1815" t="str">
        <f t="shared" si="13"/>
        <v>宗地面积</v>
      </c>
      <c r="AA34" s="1812" t="e">
        <f t="shared" si="3"/>
        <v>#N/A</v>
      </c>
      <c r="AB34" s="1812" t="e">
        <f t="shared" si="4"/>
        <v>#N/A</v>
      </c>
      <c r="AC34" s="1812" t="e">
        <f t="shared" si="5"/>
        <v>#N/A</v>
      </c>
    </row>
    <row r="35" spans="1:29" ht="15">
      <c r="A35" s="472"/>
      <c r="B35" s="422" t="s">
        <v>2735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50"/>
      <c r="Q35" s="1811" t="str">
        <f t="shared" ref="Q35:Q40" si="14">B35</f>
        <v>宗地形状</v>
      </c>
      <c r="R35" s="772" t="s">
        <v>17</v>
      </c>
      <c r="S35" s="773">
        <f t="shared" si="10"/>
        <v>100</v>
      </c>
      <c r="T35" s="772" t="s">
        <v>17</v>
      </c>
      <c r="U35" s="773">
        <f t="shared" si="11"/>
        <v>100</v>
      </c>
      <c r="V35" s="772" t="s">
        <v>17</v>
      </c>
      <c r="W35" s="773">
        <f t="shared" si="12"/>
        <v>100</v>
      </c>
      <c r="X35" s="1814"/>
      <c r="Y35" s="3150"/>
      <c r="Z35" s="1815" t="str">
        <f t="shared" si="13"/>
        <v>宗地形状</v>
      </c>
      <c r="AA35" s="1812">
        <f t="shared" si="3"/>
        <v>1</v>
      </c>
      <c r="AB35" s="1812">
        <f t="shared" si="4"/>
        <v>1</v>
      </c>
      <c r="AC35" s="1812">
        <f t="shared" si="5"/>
        <v>1</v>
      </c>
    </row>
    <row r="36" spans="1:29" s="116" customFormat="1" ht="15">
      <c r="A36" s="473"/>
      <c r="B36" s="422" t="s">
        <v>2737</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50"/>
      <c r="Q36" s="1811" t="str">
        <f t="shared" si="14"/>
        <v>宗地开发程度</v>
      </c>
      <c r="R36" s="768" t="s">
        <v>17</v>
      </c>
      <c r="S36" s="769">
        <f t="shared" si="10"/>
        <v>100</v>
      </c>
      <c r="T36" s="768" t="s">
        <v>17</v>
      </c>
      <c r="U36" s="769">
        <f t="shared" si="11"/>
        <v>100</v>
      </c>
      <c r="V36" s="768" t="s">
        <v>17</v>
      </c>
      <c r="W36" s="769">
        <f t="shared" si="12"/>
        <v>100</v>
      </c>
      <c r="X36" s="770"/>
      <c r="Y36" s="3150"/>
      <c r="Z36" s="54" t="str">
        <f t="shared" si="13"/>
        <v>宗地开发程度</v>
      </c>
      <c r="AA36" s="771">
        <f t="shared" si="3"/>
        <v>1</v>
      </c>
      <c r="AB36" s="771">
        <f t="shared" si="4"/>
        <v>1</v>
      </c>
      <c r="AC36" s="771">
        <f t="shared" si="5"/>
        <v>1</v>
      </c>
    </row>
    <row r="37" spans="1:29" ht="15">
      <c r="A37" s="472"/>
      <c r="B37" s="422" t="s">
        <v>2738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50" t="s">
        <v>2549</v>
      </c>
      <c r="Q37" s="1811" t="str">
        <f t="shared" si="14"/>
        <v>工程地质条件</v>
      </c>
      <c r="R37" s="772" t="s">
        <v>17</v>
      </c>
      <c r="S37" s="773">
        <f t="shared" si="10"/>
        <v>100</v>
      </c>
      <c r="T37" s="772" t="s">
        <v>17</v>
      </c>
      <c r="U37" s="773">
        <f t="shared" si="11"/>
        <v>100</v>
      </c>
      <c r="V37" s="772" t="s">
        <v>17</v>
      </c>
      <c r="W37" s="773">
        <f t="shared" si="12"/>
        <v>100</v>
      </c>
      <c r="X37" s="1814"/>
      <c r="Y37" s="3150" t="s">
        <v>2549</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150"/>
      <c r="Q38" s="1811">
        <f t="shared" si="14"/>
        <v>111</v>
      </c>
      <c r="R38" s="772" t="s">
        <v>17</v>
      </c>
      <c r="S38" s="773">
        <f t="shared" si="10"/>
        <v>100</v>
      </c>
      <c r="T38" s="772" t="s">
        <v>17</v>
      </c>
      <c r="U38" s="773">
        <f t="shared" si="11"/>
        <v>100</v>
      </c>
      <c r="V38" s="772" t="s">
        <v>17</v>
      </c>
      <c r="W38" s="773">
        <f t="shared" si="12"/>
        <v>100</v>
      </c>
      <c r="X38" s="1814"/>
      <c r="Y38" s="3150"/>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150"/>
      <c r="Q39" s="1811">
        <f t="shared" si="14"/>
        <v>111</v>
      </c>
      <c r="R39" s="772" t="s">
        <v>17</v>
      </c>
      <c r="S39" s="773">
        <f t="shared" si="10"/>
        <v>100</v>
      </c>
      <c r="T39" s="772" t="s">
        <v>17</v>
      </c>
      <c r="U39" s="773">
        <f t="shared" si="11"/>
        <v>100</v>
      </c>
      <c r="V39" s="772" t="s">
        <v>17</v>
      </c>
      <c r="W39" s="773">
        <f t="shared" si="12"/>
        <v>100</v>
      </c>
      <c r="X39" s="1814"/>
      <c r="Y39" s="3150"/>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150"/>
      <c r="Q40" s="1811">
        <f t="shared" si="14"/>
        <v>111</v>
      </c>
      <c r="R40" s="775" t="s">
        <v>17</v>
      </c>
      <c r="S40" s="776">
        <f t="shared" si="10"/>
        <v>100</v>
      </c>
      <c r="T40" s="775" t="s">
        <v>17</v>
      </c>
      <c r="U40" s="776">
        <f t="shared" si="11"/>
        <v>100</v>
      </c>
      <c r="V40" s="775" t="s">
        <v>17</v>
      </c>
      <c r="W40" s="776">
        <f t="shared" si="12"/>
        <v>100</v>
      </c>
      <c r="X40" s="777"/>
      <c r="Y40" s="3150"/>
      <c r="Z40" s="778">
        <f t="shared" si="13"/>
        <v>111</v>
      </c>
      <c r="AA40" s="1812">
        <f t="shared" si="3"/>
        <v>1</v>
      </c>
      <c r="AB40" s="1812">
        <f t="shared" si="4"/>
        <v>1</v>
      </c>
      <c r="AC40" s="1812">
        <f t="shared" si="5"/>
        <v>1</v>
      </c>
    </row>
    <row r="41" spans="1:29" ht="15">
      <c r="A41" s="479" t="s">
        <v>2703</v>
      </c>
      <c r="B41" s="2702" t="s">
        <v>2783</v>
      </c>
      <c r="C41" s="680" t="s">
        <v>1</v>
      </c>
      <c r="D41" s="481"/>
      <c r="E41" s="482"/>
      <c r="F41" s="483"/>
      <c r="G41" s="484"/>
      <c r="H41" s="485"/>
      <c r="I41" s="482"/>
      <c r="J41" s="485"/>
      <c r="K41" s="781"/>
      <c r="L41" s="1143"/>
      <c r="M41" s="1131"/>
      <c r="N41" s="1131"/>
      <c r="O41" s="1144"/>
      <c r="P41" s="3143" t="str">
        <f>A41</f>
        <v>成交单价</v>
      </c>
      <c r="Q41" s="3143"/>
      <c r="R41" s="3174">
        <f>E41</f>
        <v>0</v>
      </c>
      <c r="S41" s="3174"/>
      <c r="T41" s="3174">
        <f>G41</f>
        <v>0</v>
      </c>
      <c r="U41" s="3174"/>
      <c r="V41" s="3174">
        <f>I41</f>
        <v>0</v>
      </c>
      <c r="W41" s="3174"/>
      <c r="X41" s="757"/>
      <c r="Y41" s="779"/>
      <c r="Z41" s="757"/>
      <c r="AA41" s="757"/>
      <c r="AB41" s="757"/>
      <c r="AC41" s="757"/>
    </row>
    <row r="42" spans="1:29" ht="15.75" thickBot="1">
      <c r="A42" s="486" t="s">
        <v>2652</v>
      </c>
      <c r="B42" s="681"/>
      <c r="C42" s="490" t="e">
        <f>R43</f>
        <v>#DIV/0!</v>
      </c>
      <c r="D42" s="489"/>
      <c r="E42" s="490" t="e">
        <f>R42</f>
        <v>#DIV/0!</v>
      </c>
      <c r="F42" s="491"/>
      <c r="G42" s="488" t="e">
        <f>T42</f>
        <v>#DIV/0!</v>
      </c>
      <c r="H42" s="489"/>
      <c r="I42" s="490" t="e">
        <f>V42</f>
        <v>#DIV/0!</v>
      </c>
      <c r="J42" s="489"/>
      <c r="K42" s="782"/>
      <c r="L42" s="1143"/>
      <c r="M42" s="1131"/>
      <c r="N42" s="1131"/>
      <c r="O42" s="1144"/>
      <c r="P42" s="3143" t="str">
        <f>A42</f>
        <v>比较价值（元/平方米）</v>
      </c>
      <c r="Q42" s="3143"/>
      <c r="R42" s="3235" t="e">
        <f>ROUND(PRODUCT(R41,AA7:AA40),0)</f>
        <v>#DIV/0!</v>
      </c>
      <c r="S42" s="3235"/>
      <c r="T42" s="3235" t="e">
        <f>ROUND(PRODUCT(T41,AB7:AB40),0)</f>
        <v>#DIV/0!</v>
      </c>
      <c r="U42" s="3235"/>
      <c r="V42" s="3235" t="e">
        <f>ROUND(PRODUCT(V41,AC7:AC40),0)</f>
        <v>#DIV/0!</v>
      </c>
      <c r="W42" s="3235"/>
      <c r="X42" s="757"/>
      <c r="Y42" s="757"/>
      <c r="Z42" s="757"/>
      <c r="AA42" s="757"/>
      <c r="AB42" s="757"/>
      <c r="AC42" s="757"/>
    </row>
    <row r="43" spans="1:29" ht="15.75" thickBot="1">
      <c r="A43" s="492" t="s">
        <v>2653</v>
      </c>
      <c r="B43" s="493"/>
      <c r="C43" s="494" t="e">
        <f>R43</f>
        <v>#DIV/0!</v>
      </c>
      <c r="D43" s="494"/>
      <c r="E43" s="494"/>
      <c r="F43" s="494"/>
      <c r="G43" s="494"/>
      <c r="H43" s="494"/>
      <c r="I43" s="494"/>
      <c r="J43" s="494"/>
      <c r="K43" s="783"/>
      <c r="L43" s="1143"/>
      <c r="M43" s="1131"/>
      <c r="N43" s="1131"/>
      <c r="O43" s="1144"/>
      <c r="P43" s="3140" t="str">
        <f>A43</f>
        <v>估价对象XX用房的比较价值（楼面单价，元/平方米）</v>
      </c>
      <c r="Q43" s="3141"/>
      <c r="R43" s="3236" t="e">
        <f>ROUND(AVERAGE(R42:V42),0)</f>
        <v>#DIV/0!</v>
      </c>
      <c r="S43" s="3236"/>
      <c r="T43" s="3236"/>
      <c r="U43" s="3236"/>
      <c r="V43" s="3236"/>
      <c r="W43" s="3236"/>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2741</v>
      </c>
      <c r="B50" s="683" t="s">
        <v>2742</v>
      </c>
      <c r="C50" s="2703" t="s">
        <v>2743</v>
      </c>
      <c r="D50" s="2704" t="s">
        <v>2744</v>
      </c>
      <c r="E50" s="684" t="s">
        <v>2745</v>
      </c>
      <c r="F50" s="685" t="s">
        <v>2746</v>
      </c>
      <c r="G50" s="3158" t="s">
        <v>2747</v>
      </c>
      <c r="H50" s="3237"/>
      <c r="I50" s="1815" t="s">
        <v>2784</v>
      </c>
      <c r="J50" s="1815" t="str">
        <f>项目基本情况!F35</f>
        <v>河北省</v>
      </c>
      <c r="K50" s="2706" t="s">
        <v>2749</v>
      </c>
      <c r="L50" s="1107"/>
      <c r="M50" s="1144"/>
      <c r="N50" s="1144"/>
      <c r="O50" s="1144"/>
    </row>
    <row r="51" spans="1:17" s="690" customFormat="1">
      <c r="A51" s="686" t="s">
        <v>2750</v>
      </c>
      <c r="B51" s="687" t="e">
        <f>C43</f>
        <v>#DIV/0!</v>
      </c>
      <c r="C51" s="688">
        <v>1</v>
      </c>
      <c r="D51" s="1163">
        <v>1</v>
      </c>
      <c r="E51" s="688">
        <f>'数据-汇总表'!E8+'数据-汇总表'!E9</f>
        <v>4145.53</v>
      </c>
      <c r="F51" s="689" t="e">
        <f t="shared" ref="F51:F60" si="15">ROUND(B51*E51/10000,0)</f>
        <v>#DIV/0!</v>
      </c>
      <c r="G51" s="3154"/>
      <c r="H51" s="3143"/>
      <c r="I51" s="943">
        <v>1</v>
      </c>
      <c r="J51" s="943">
        <v>1</v>
      </c>
      <c r="K51" s="1145"/>
      <c r="L51" s="942"/>
      <c r="M51" s="942"/>
      <c r="N51" s="942"/>
      <c r="O51" s="942"/>
    </row>
    <row r="52" spans="1:17" s="690" customFormat="1">
      <c r="A52" s="691" t="s">
        <v>2751</v>
      </c>
      <c r="B52" s="262" t="e">
        <f>ROUND($C$43*C52*D52,0)</f>
        <v>#DIV/0!</v>
      </c>
      <c r="C52" s="200">
        <f t="shared" ref="C52:C60" si="16">IF($C$50="北京市系数",I52,J52)</f>
        <v>0</v>
      </c>
      <c r="D52" s="1164">
        <v>0.25</v>
      </c>
      <c r="E52" s="692"/>
      <c r="F52" s="689" t="e">
        <f t="shared" si="15"/>
        <v>#DIV/0!</v>
      </c>
      <c r="G52" s="3238" t="s">
        <v>2752</v>
      </c>
      <c r="H52" s="1105">
        <f>项目基本情况!B37</f>
        <v>0</v>
      </c>
      <c r="I52" s="943">
        <f>SUMIF(修正!A45:A56,H52,修正!B45:B56)</f>
        <v>0</v>
      </c>
      <c r="J52" s="944"/>
      <c r="K52" s="1144"/>
      <c r="L52" s="942"/>
      <c r="M52" s="942"/>
      <c r="N52" s="942"/>
      <c r="O52" s="942"/>
    </row>
    <row r="53" spans="1:17" s="690" customFormat="1">
      <c r="A53" s="691" t="s">
        <v>2753</v>
      </c>
      <c r="B53" s="262" t="e">
        <f t="shared" ref="B53:B60" si="17">ROUND($C$43*C53*D53,0)</f>
        <v>#DIV/0!</v>
      </c>
      <c r="C53" s="200">
        <f t="shared" si="16"/>
        <v>0</v>
      </c>
      <c r="D53" s="1164">
        <v>0.25</v>
      </c>
      <c r="E53" s="692"/>
      <c r="F53" s="689" t="e">
        <f t="shared" si="15"/>
        <v>#DIV/0!</v>
      </c>
      <c r="G53" s="3238"/>
      <c r="H53" s="1105">
        <f>项目基本情况!B37</f>
        <v>0</v>
      </c>
      <c r="I53" s="943">
        <f>SUMIF(修正!A45:A56,H53,修正!C45:C56)</f>
        <v>0</v>
      </c>
      <c r="J53" s="944"/>
      <c r="K53" s="1145"/>
      <c r="L53" s="942"/>
      <c r="M53" s="942"/>
      <c r="N53" s="942"/>
      <c r="O53" s="942"/>
    </row>
    <row r="54" spans="1:17" s="690" customFormat="1">
      <c r="A54" s="691" t="s">
        <v>2754</v>
      </c>
      <c r="B54" s="262" t="e">
        <f t="shared" si="17"/>
        <v>#DIV/0!</v>
      </c>
      <c r="C54" s="200">
        <f t="shared" si="16"/>
        <v>0</v>
      </c>
      <c r="D54" s="1164">
        <v>0.25</v>
      </c>
      <c r="E54" s="692"/>
      <c r="F54" s="689" t="e">
        <f t="shared" si="15"/>
        <v>#DIV/0!</v>
      </c>
      <c r="G54" s="3238"/>
      <c r="H54" s="1105">
        <f>项目基本情况!B37</f>
        <v>0</v>
      </c>
      <c r="I54" s="943">
        <f>SUMIF(修正!A45:A56,H54,修正!D45:D56)</f>
        <v>0</v>
      </c>
      <c r="J54" s="944"/>
      <c r="K54" s="1144"/>
      <c r="L54" s="942"/>
      <c r="M54" s="942"/>
      <c r="N54" s="942"/>
      <c r="O54" s="942"/>
    </row>
    <row r="55" spans="1:17" s="690" customFormat="1">
      <c r="A55" s="691" t="s">
        <v>2755</v>
      </c>
      <c r="B55" s="262" t="e">
        <f t="shared" si="17"/>
        <v>#DIV/0!</v>
      </c>
      <c r="C55" s="200">
        <f t="shared" si="16"/>
        <v>0</v>
      </c>
      <c r="D55" s="1164">
        <v>0.25</v>
      </c>
      <c r="E55" s="692"/>
      <c r="F55" s="689" t="e">
        <f t="shared" si="15"/>
        <v>#DIV/0!</v>
      </c>
      <c r="G55" s="3238"/>
      <c r="H55" s="1105">
        <f>项目基本情况!B37</f>
        <v>0</v>
      </c>
      <c r="I55" s="943">
        <f>SUMIF(修正!A45:A56,H55,修正!E45:E56)</f>
        <v>0</v>
      </c>
      <c r="J55" s="944"/>
      <c r="K55" s="1145"/>
      <c r="L55" s="942"/>
      <c r="M55" s="942"/>
      <c r="N55" s="942"/>
      <c r="O55" s="942"/>
    </row>
    <row r="56" spans="1:17" s="690" customFormat="1">
      <c r="A56" s="691" t="s">
        <v>2756</v>
      </c>
      <c r="B56" s="262" t="e">
        <f t="shared" si="17"/>
        <v>#DIV/0!</v>
      </c>
      <c r="C56" s="200">
        <f t="shared" si="16"/>
        <v>0</v>
      </c>
      <c r="D56" s="1164">
        <v>0.25</v>
      </c>
      <c r="E56" s="261">
        <f>'数据-汇总表'!E11</f>
        <v>0</v>
      </c>
      <c r="F56" s="689" t="e">
        <f t="shared" si="15"/>
        <v>#DIV/0!</v>
      </c>
      <c r="G56" s="2707" t="s">
        <v>2757</v>
      </c>
      <c r="H56" s="1105">
        <f>项目基本情况!C37</f>
        <v>0</v>
      </c>
      <c r="I56" s="943">
        <f>SUMIF(修正!A45:A56,H56,修正!F45:F56)</f>
        <v>0</v>
      </c>
      <c r="J56" s="944"/>
      <c r="K56" s="1144"/>
      <c r="L56" s="942"/>
      <c r="M56" s="942"/>
      <c r="N56" s="942"/>
      <c r="O56" s="942"/>
    </row>
    <row r="57" spans="1:17" s="690" customFormat="1">
      <c r="A57" s="691" t="s">
        <v>2758</v>
      </c>
      <c r="B57" s="262" t="e">
        <f t="shared" si="17"/>
        <v>#DIV/0!</v>
      </c>
      <c r="C57" s="200">
        <f t="shared" si="16"/>
        <v>0</v>
      </c>
      <c r="D57" s="1164">
        <v>0.25</v>
      </c>
      <c r="E57" s="261">
        <f>'数据-汇总表'!E12</f>
        <v>0</v>
      </c>
      <c r="F57" s="689" t="e">
        <f t="shared" si="15"/>
        <v>#DIV/0!</v>
      </c>
      <c r="G57" s="1110" t="s">
        <v>2759</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2760</v>
      </c>
      <c r="B58" s="262" t="e">
        <f t="shared" si="17"/>
        <v>#DIV/0!</v>
      </c>
      <c r="C58" s="200">
        <f t="shared" si="16"/>
        <v>0</v>
      </c>
      <c r="D58" s="1164">
        <v>0.25</v>
      </c>
      <c r="E58" s="261">
        <f>'数据-汇总表'!E13</f>
        <v>0</v>
      </c>
      <c r="F58" s="689" t="e">
        <f t="shared" si="15"/>
        <v>#DIV/0!</v>
      </c>
      <c r="G58" s="1110" t="s">
        <v>2761</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2762</v>
      </c>
      <c r="B59" s="262" t="e">
        <f t="shared" si="17"/>
        <v>#DIV/0!</v>
      </c>
      <c r="C59" s="200">
        <f t="shared" si="16"/>
        <v>0</v>
      </c>
      <c r="D59" s="1164">
        <v>0.25</v>
      </c>
      <c r="E59" s="261">
        <f>'数据-汇总表'!E14</f>
        <v>0</v>
      </c>
      <c r="F59" s="689" t="e">
        <f t="shared" si="15"/>
        <v>#DIV/0!</v>
      </c>
      <c r="G59" s="2707" t="s">
        <v>2752</v>
      </c>
      <c r="H59" s="1105">
        <f>项目基本情况!B37</f>
        <v>0</v>
      </c>
      <c r="I59" s="943">
        <f>SUMIF(修正!A45:A56,H59,修正!H45:H56)</f>
        <v>0</v>
      </c>
      <c r="J59" s="944"/>
      <c r="K59" s="1145"/>
      <c r="L59" s="942"/>
      <c r="M59" s="942"/>
      <c r="N59" s="942"/>
      <c r="O59" s="942"/>
    </row>
    <row r="60" spans="1:17" s="690" customFormat="1" ht="15" thickBot="1">
      <c r="A60" s="691" t="s">
        <v>2763</v>
      </c>
      <c r="B60" s="262" t="e">
        <f t="shared" si="17"/>
        <v>#DIV/0!</v>
      </c>
      <c r="C60" s="200">
        <f t="shared" si="16"/>
        <v>0</v>
      </c>
      <c r="D60" s="1164">
        <v>0.25</v>
      </c>
      <c r="E60" s="261">
        <f>'数据-汇总表'!E15</f>
        <v>0</v>
      </c>
      <c r="F60" s="689" t="e">
        <f t="shared" si="15"/>
        <v>#DIV/0!</v>
      </c>
      <c r="G60" s="2708" t="s">
        <v>2757</v>
      </c>
      <c r="H60" s="1115">
        <f>项目基本情况!C37</f>
        <v>0</v>
      </c>
      <c r="I60" s="943">
        <f>SUMIF(修正!A45:A56,H60,修正!H45:H56)</f>
        <v>0</v>
      </c>
      <c r="J60" s="944"/>
      <c r="K60" s="1144"/>
      <c r="L60" s="942"/>
      <c r="M60" s="942"/>
      <c r="N60" s="942"/>
      <c r="O60" s="942"/>
    </row>
    <row r="61" spans="1:17" s="690" customFormat="1" ht="15" thickBot="1">
      <c r="A61" s="693" t="s">
        <v>2764</v>
      </c>
      <c r="B61" s="694" t="s">
        <v>28</v>
      </c>
      <c r="C61" s="694" t="s">
        <v>29</v>
      </c>
      <c r="D61" s="694" t="s">
        <v>1029</v>
      </c>
      <c r="E61" s="694">
        <f>IF(B41="楼面地价",SUM(E51:E60),'数据-汇总表'!D3)</f>
        <v>6541.77</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2657</v>
      </c>
      <c r="B64" s="757"/>
      <c r="C64" s="762"/>
      <c r="D64" s="762"/>
      <c r="E64" s="762"/>
      <c r="F64" s="763"/>
      <c r="G64" s="763"/>
      <c r="H64" s="762"/>
      <c r="I64" s="762"/>
      <c r="J64" s="762"/>
      <c r="K64" s="764"/>
      <c r="L64" s="765"/>
      <c r="M64" s="762"/>
      <c r="N64" s="762"/>
      <c r="O64" s="1159"/>
      <c r="P64" s="503"/>
      <c r="Q64" s="504"/>
    </row>
    <row r="65" spans="1:17" s="508" customFormat="1" ht="15">
      <c r="A65" s="2709" t="s">
        <v>2765</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2785</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2569</v>
      </c>
      <c r="B67" s="516"/>
      <c r="C67" s="517"/>
      <c r="D67" s="518"/>
      <c r="E67" s="518"/>
      <c r="F67" s="518"/>
      <c r="G67" s="518"/>
      <c r="H67" s="518"/>
      <c r="I67" s="518"/>
      <c r="J67" s="518"/>
      <c r="K67" s="518"/>
      <c r="L67" s="518"/>
      <c r="M67" s="519"/>
      <c r="N67" s="519"/>
      <c r="O67" s="520"/>
      <c r="P67" s="504"/>
      <c r="Q67" s="504"/>
    </row>
    <row r="68" spans="1:17" s="116" customFormat="1" ht="15">
      <c r="A68" s="521" t="s">
        <v>2534</v>
      </c>
      <c r="B68" s="510"/>
      <c r="C68" s="522" t="s">
        <v>2636</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2572</v>
      </c>
      <c r="B70" s="528" t="s">
        <v>2538</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2541</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2543</v>
      </c>
      <c r="B83" s="528" t="s">
        <v>2688</v>
      </c>
      <c r="C83" s="573" t="s">
        <v>2581</v>
      </c>
      <c r="D83" s="573" t="s">
        <v>2582</v>
      </c>
      <c r="E83" s="573" t="s">
        <v>2583</v>
      </c>
      <c r="F83" s="573" t="s">
        <v>2584</v>
      </c>
      <c r="G83" s="573" t="s">
        <v>2585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2586</v>
      </c>
      <c r="C85" s="578" t="s">
        <v>2581</v>
      </c>
      <c r="D85" s="578" t="s">
        <v>2582</v>
      </c>
      <c r="E85" s="578" t="s">
        <v>2583</v>
      </c>
      <c r="F85" s="578" t="s">
        <v>2584</v>
      </c>
      <c r="G85" s="578" t="s">
        <v>2585</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2768</v>
      </c>
      <c r="C87" s="573" t="s">
        <v>2581</v>
      </c>
      <c r="D87" s="573" t="s">
        <v>2582</v>
      </c>
      <c r="E87" s="573" t="s">
        <v>2583</v>
      </c>
      <c r="F87" s="573" t="s">
        <v>2584</v>
      </c>
      <c r="G87" s="573" t="s">
        <v>2585</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2769</v>
      </c>
      <c r="C89" s="573" t="s">
        <v>2581</v>
      </c>
      <c r="D89" s="573" t="s">
        <v>2582</v>
      </c>
      <c r="E89" s="573" t="s">
        <v>2583</v>
      </c>
      <c r="F89" s="573" t="s">
        <v>2584</v>
      </c>
      <c r="G89" s="573" t="s">
        <v>2585</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2638</v>
      </c>
      <c r="C91" s="573" t="s">
        <v>2581</v>
      </c>
      <c r="D91" s="573" t="s">
        <v>2582</v>
      </c>
      <c r="E91" s="573" t="s">
        <v>2583</v>
      </c>
      <c r="F91" s="573" t="s">
        <v>2584</v>
      </c>
      <c r="G91" s="573" t="s">
        <v>2585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2786</v>
      </c>
      <c r="C93" s="658" t="s">
        <v>2658</v>
      </c>
      <c r="D93" s="658" t="s">
        <v>2659</v>
      </c>
      <c r="E93" s="658" t="s">
        <v>2660</v>
      </c>
      <c r="F93" s="658" t="s">
        <v>2661</v>
      </c>
      <c r="G93" s="658" t="s">
        <v>2662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2770</v>
      </c>
      <c r="D95" s="539" t="s">
        <v>2771</v>
      </c>
      <c r="E95" s="539" t="s">
        <v>2772</v>
      </c>
      <c r="F95" s="539" t="s">
        <v>2773</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2674</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2733</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2547</v>
      </c>
      <c r="B107" s="528" t="s">
        <v>2774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2775</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2778</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2787</v>
      </c>
      <c r="B1" s="241"/>
      <c r="C1" s="245" t="s">
        <v>2788</v>
      </c>
      <c r="D1" s="388">
        <f>SUM(D29:D30,D33:D39)</f>
        <v>0</v>
      </c>
      <c r="E1" s="2715"/>
      <c r="F1" s="2715"/>
      <c r="G1" s="2715"/>
      <c r="H1" s="2715"/>
      <c r="I1" s="2715"/>
      <c r="J1" s="2715"/>
      <c r="K1" s="1370"/>
      <c r="L1" s="2716" t="s">
        <v>2789</v>
      </c>
      <c r="M1" s="1081">
        <f>SUMPRODUCT((区片价!B5:B9=I2)*(区片价!C3:F3=E2)*(区片价!C5:F9))</f>
        <v>0</v>
      </c>
      <c r="N1" s="1084">
        <f>SUMPRODUCT((因素修正幅度!B5:B9=I2)*(因素修正幅度!C3:F3=E2)*(因素修正幅度!C5:F9))</f>
        <v>0</v>
      </c>
      <c r="O1" s="2717"/>
      <c r="P1" s="2717"/>
      <c r="Q1" s="1370"/>
      <c r="R1" s="1603" t="s">
        <v>2790</v>
      </c>
      <c r="S1" s="1603" t="s">
        <v>2791</v>
      </c>
      <c r="T1" s="1603" t="s">
        <v>2792</v>
      </c>
      <c r="U1" s="1603" t="s">
        <v>2793</v>
      </c>
      <c r="V1" s="1603" t="s">
        <v>2794</v>
      </c>
      <c r="W1" s="1607"/>
      <c r="X1" s="1607"/>
      <c r="Y1" s="1607"/>
      <c r="Z1" s="1607"/>
      <c r="AA1" s="1607"/>
      <c r="AB1" s="1607"/>
      <c r="AC1" s="1608"/>
      <c r="AD1" s="1609"/>
      <c r="AE1" s="1609"/>
      <c r="AF1" s="1609"/>
      <c r="AG1" s="1609"/>
      <c r="AH1" s="1609"/>
      <c r="AI1" s="1609"/>
      <c r="AJ1" s="1610"/>
    </row>
    <row r="2" spans="1:36" ht="15.75">
      <c r="A2" s="245" t="s">
        <v>2795</v>
      </c>
      <c r="B2" s="248" t="e">
        <f>C26</f>
        <v>#DIV/0!</v>
      </c>
      <c r="C2" s="2719" t="s">
        <v>2796</v>
      </c>
      <c r="D2" s="2720" t="s">
        <v>2797</v>
      </c>
      <c r="E2" s="2721"/>
      <c r="F2" s="2720" t="s">
        <v>2798</v>
      </c>
      <c r="G2" s="2722">
        <f>IF(E2="商业",项目基本情况!B37,IF(E2="办公",项目基本情况!C37,IF(E2="住宅",项目基本情况!D37,项目基本情况!E37)))</f>
        <v>0</v>
      </c>
      <c r="H2" s="2720" t="s">
        <v>2799</v>
      </c>
      <c r="I2" s="2722">
        <f>IF(E2="商业",项目基本情况!B38,IF(E2="办公",项目基本情况!C38,IF(E2="住宅",项目基本情况!D38,项目基本情况!E38)))</f>
        <v>0</v>
      </c>
      <c r="J2" s="2723"/>
      <c r="K2" s="1370"/>
      <c r="L2" s="2724" t="s">
        <v>2800</v>
      </c>
      <c r="M2" s="1082">
        <f>SUMPRODUCT((区片价!B10:B28=I2)*(区片价!C3:F3=E2)*(区片价!C10:F28))</f>
        <v>0</v>
      </c>
      <c r="N2" s="1084">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2801</v>
      </c>
      <c r="B3" s="248" t="e">
        <f>ROUND(B2*10000/D1,0)</f>
        <v>#DIV/0!</v>
      </c>
      <c r="C3" s="2719" t="s">
        <v>2802</v>
      </c>
      <c r="D3" s="2720" t="s">
        <v>2803</v>
      </c>
      <c r="E3" s="2725"/>
      <c r="F3" s="2726" t="s">
        <v>2804</v>
      </c>
      <c r="G3" s="914">
        <f>IF(F3="宗地容积率",'数据-汇总表'!I4,IF(F3="估价对象容积率",'数据-汇总表'!I6,'数据-汇总表'!I7))</f>
        <v>0.63</v>
      </c>
      <c r="H3" s="198" t="s">
        <v>2805</v>
      </c>
      <c r="I3" s="945"/>
      <c r="J3" s="2723" t="s">
        <v>2806</v>
      </c>
      <c r="K3" s="1370"/>
      <c r="L3" s="2724" t="s">
        <v>2807</v>
      </c>
      <c r="M3" s="1082">
        <f>SUMPRODUCT((区片价!B29:B48=I2)*(区片价!C3:F3=E2)*(区片价!C29:F48))</f>
        <v>0</v>
      </c>
      <c r="N3" s="1084">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46"/>
      <c r="B4" s="3247"/>
      <c r="C4" s="3247"/>
      <c r="D4" s="3248"/>
      <c r="E4" s="3248"/>
      <c r="F4" s="3248"/>
      <c r="G4" s="3248"/>
      <c r="H4" s="3248"/>
      <c r="I4" s="3248"/>
      <c r="J4" s="3249"/>
      <c r="K4" s="1370"/>
      <c r="L4" s="2724" t="s">
        <v>2808</v>
      </c>
      <c r="M4" s="1082">
        <f>SUMPRODUCT((区片价!B49:B75=I2)*(区片价!C3:F3=E2)*(区片价!C49:F75))</f>
        <v>0</v>
      </c>
      <c r="N4" s="1084">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2809</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2810</v>
      </c>
      <c r="M5" s="1082">
        <f>SUMPRODUCT((区片价!B76:B109=I2)*(区片价!C3:F3=E2)*(区片价!C76:F109))</f>
        <v>0</v>
      </c>
      <c r="N5" s="1084">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2811</v>
      </c>
      <c r="B6" s="2738" t="s">
        <v>2812</v>
      </c>
      <c r="C6" s="916">
        <f>SUMIF(L1:L12,G2,M1:M12)</f>
        <v>0</v>
      </c>
      <c r="D6" s="2739" t="s">
        <v>2813</v>
      </c>
      <c r="E6" s="2740"/>
      <c r="F6" s="2740"/>
      <c r="G6" s="2741"/>
      <c r="H6" s="2741"/>
      <c r="I6" s="2741"/>
      <c r="J6" s="2742"/>
      <c r="K6" s="1843"/>
      <c r="L6" s="2724" t="s">
        <v>2814</v>
      </c>
      <c r="M6" s="1082">
        <f>SUMPRODUCT((区片价!B110:B157=I2)*(区片价!C3:F3=E2)*(区片价!C110:F157))</f>
        <v>0</v>
      </c>
      <c r="N6" s="1084">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250" t="str">
        <f>IF(E2="商业",IF(C8="不临58条商业街","",2),"")</f>
        <v/>
      </c>
      <c r="B7" s="2743" t="s">
        <v>2815</v>
      </c>
      <c r="C7" s="917" t="e">
        <f>IF(C8="不临58条商业街",1,ROUND(1+(1.6*E8+1.2*E9+0.8*E10+0.4*E11)*C9,4))</f>
        <v>#DIV/0!</v>
      </c>
      <c r="D7" s="2744" t="s">
        <v>2816</v>
      </c>
      <c r="E7" s="946"/>
      <c r="F7" s="2745"/>
      <c r="G7" s="2746"/>
      <c r="H7" s="2746"/>
      <c r="I7" s="2746"/>
      <c r="J7" s="2747"/>
      <c r="K7" s="1843"/>
      <c r="L7" s="2724" t="s">
        <v>2817</v>
      </c>
      <c r="M7" s="1082">
        <f>SUMPRODUCT((区片价!B158:B205=I2)*(区片价!C3:F3=E2)*(区片价!C158:F205))</f>
        <v>0</v>
      </c>
      <c r="N7" s="1084">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2818</v>
      </c>
      <c r="X7" s="1605">
        <f>G2</f>
        <v>0</v>
      </c>
      <c r="Y7" s="1605" t="s">
        <v>2819</v>
      </c>
      <c r="Z7" s="1606">
        <f>G3</f>
        <v>0.63</v>
      </c>
      <c r="AA7" s="1607"/>
      <c r="AB7" s="1607"/>
      <c r="AC7" s="1608"/>
      <c r="AD7" s="1609"/>
      <c r="AE7" s="1609"/>
      <c r="AF7" s="1609"/>
      <c r="AG7" s="1609"/>
      <c r="AH7" s="1609"/>
      <c r="AI7" s="1609"/>
      <c r="AJ7" s="1610"/>
    </row>
    <row r="8" spans="1:36" ht="15">
      <c r="A8" s="3251"/>
      <c r="B8" s="198" t="s">
        <v>2820</v>
      </c>
      <c r="C8" s="2748"/>
      <c r="D8" s="918" t="s">
        <v>139</v>
      </c>
      <c r="E8" s="919" t="e">
        <f>ROUND(C11/E7,4)</f>
        <v>#DIV/0!</v>
      </c>
      <c r="F8" s="2749" t="s">
        <v>2821</v>
      </c>
      <c r="G8" s="2750"/>
      <c r="H8" s="2750"/>
      <c r="I8" s="2750"/>
      <c r="J8" s="2751"/>
      <c r="K8" s="1370"/>
      <c r="L8" s="2724" t="s">
        <v>2822</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243" t="s">
        <v>2823</v>
      </c>
      <c r="X8" s="3244"/>
      <c r="Y8" s="1611" t="s">
        <v>2824</v>
      </c>
      <c r="Z8" s="1611" t="s">
        <v>2825</v>
      </c>
      <c r="AA8" s="1611" t="s">
        <v>2826</v>
      </c>
      <c r="AB8" s="1611" t="s">
        <v>2827</v>
      </c>
      <c r="AC8" s="1611" t="s">
        <v>2828</v>
      </c>
      <c r="AD8" s="1611" t="s">
        <v>2829</v>
      </c>
      <c r="AE8" s="1611" t="s">
        <v>2830</v>
      </c>
      <c r="AF8" s="1611" t="s">
        <v>2831</v>
      </c>
      <c r="AG8" s="1611" t="s">
        <v>2832</v>
      </c>
      <c r="AH8" s="1611" t="s">
        <v>2833</v>
      </c>
      <c r="AI8" s="1611" t="s">
        <v>2834</v>
      </c>
      <c r="AJ8" s="1611" t="s">
        <v>2835</v>
      </c>
    </row>
    <row r="9" spans="1:36" ht="15">
      <c r="A9" s="3251"/>
      <c r="B9" s="198" t="s">
        <v>2836</v>
      </c>
      <c r="C9" s="920">
        <f>SUMIF(修正!C59:C119,C8,修正!E59:E119)</f>
        <v>0</v>
      </c>
      <c r="D9" s="200" t="s">
        <v>140</v>
      </c>
      <c r="E9" s="200" t="e">
        <f>ROUND(C11/E7,4)</f>
        <v>#DIV/0!</v>
      </c>
      <c r="F9" s="2749" t="s">
        <v>2837</v>
      </c>
      <c r="G9" s="2750"/>
      <c r="H9" s="2750"/>
      <c r="I9" s="2750"/>
      <c r="J9" s="2751"/>
      <c r="K9" s="1370"/>
      <c r="L9" s="2724" t="s">
        <v>2838</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245" t="s">
        <v>2839</v>
      </c>
      <c r="X9" s="1612" t="s">
        <v>2840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1"/>
      <c r="B10" s="198" t="s">
        <v>2841</v>
      </c>
      <c r="C10" s="200">
        <f>SUMIF(修正!C59:C119,C8,修正!F59:F119)</f>
        <v>0</v>
      </c>
      <c r="D10" s="200" t="s">
        <v>141</v>
      </c>
      <c r="E10" s="200" t="e">
        <f>ROUND(C11/E7,4)</f>
        <v>#DIV/0!</v>
      </c>
      <c r="F10" s="2749" t="s">
        <v>2842</v>
      </c>
      <c r="G10" s="2750"/>
      <c r="H10" s="2750"/>
      <c r="I10" s="2750"/>
      <c r="J10" s="2751"/>
      <c r="K10" s="1370"/>
      <c r="L10" s="2724" t="s">
        <v>2843</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24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1"/>
      <c r="B11" s="2752" t="s">
        <v>2844</v>
      </c>
      <c r="C11" s="921">
        <f>C10/4</f>
        <v>0</v>
      </c>
      <c r="D11" s="921" t="s">
        <v>142</v>
      </c>
      <c r="E11" s="921" t="e">
        <f>ROUND(C11/E7,4)</f>
        <v>#DIV/0!</v>
      </c>
      <c r="F11" s="2753" t="s">
        <v>2845</v>
      </c>
      <c r="G11" s="2754"/>
      <c r="H11" s="2754"/>
      <c r="I11" s="2754"/>
      <c r="J11" s="2755"/>
      <c r="K11" s="1370"/>
      <c r="L11" s="2724" t="s">
        <v>2846</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245" t="s">
        <v>2847</v>
      </c>
      <c r="X11" s="1615" t="s">
        <v>2848</v>
      </c>
      <c r="Y11" s="1616">
        <f>$G$3</f>
        <v>0.63</v>
      </c>
      <c r="Z11" s="1616">
        <f t="shared" ref="Z11:AJ11" si="3">$G$3</f>
        <v>0.63</v>
      </c>
      <c r="AA11" s="1616">
        <f t="shared" si="3"/>
        <v>0.63</v>
      </c>
      <c r="AB11" s="1616">
        <f t="shared" si="3"/>
        <v>0.63</v>
      </c>
      <c r="AC11" s="1616">
        <f t="shared" si="3"/>
        <v>0.63</v>
      </c>
      <c r="AD11" s="1616">
        <f t="shared" si="3"/>
        <v>0.63</v>
      </c>
      <c r="AE11" s="1616">
        <f t="shared" si="3"/>
        <v>0.63</v>
      </c>
      <c r="AF11" s="1616">
        <f t="shared" si="3"/>
        <v>0.63</v>
      </c>
      <c r="AG11" s="1616">
        <f t="shared" si="3"/>
        <v>0.63</v>
      </c>
      <c r="AH11" s="1616">
        <f t="shared" si="3"/>
        <v>0.63</v>
      </c>
      <c r="AI11" s="1616">
        <f t="shared" si="3"/>
        <v>0.63</v>
      </c>
      <c r="AJ11" s="1616">
        <f t="shared" si="3"/>
        <v>0.63</v>
      </c>
    </row>
    <row r="12" spans="1:36" ht="25.5" thickBot="1">
      <c r="A12" s="3250" t="s">
        <v>2849</v>
      </c>
      <c r="B12" s="2756" t="s">
        <v>2850</v>
      </c>
      <c r="C12" s="917">
        <f>ROUND(C15*D15*E15*F15*G15*H15*I15*J15,4)</f>
        <v>1</v>
      </c>
      <c r="D12" s="2757" t="s">
        <v>2851</v>
      </c>
      <c r="E12" s="2758"/>
      <c r="F12" s="2758"/>
      <c r="G12" s="2759"/>
      <c r="H12" s="2759"/>
      <c r="I12" s="2759"/>
      <c r="J12" s="2760"/>
      <c r="K12" s="1370"/>
      <c r="L12" s="2761" t="s">
        <v>2852</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245"/>
      <c r="X12" s="1617" t="s">
        <v>2853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2"/>
      <c r="B13" s="2762" t="s">
        <v>2854</v>
      </c>
      <c r="C13" s="2763" t="s">
        <v>2855</v>
      </c>
      <c r="D13" s="1809" t="s">
        <v>2856</v>
      </c>
      <c r="E13" s="1809" t="s">
        <v>2857</v>
      </c>
      <c r="F13" s="29" t="s">
        <v>2858</v>
      </c>
      <c r="G13" s="2764" t="s">
        <v>2859</v>
      </c>
      <c r="H13" s="2764" t="s">
        <v>2859</v>
      </c>
      <c r="I13" s="2764" t="s">
        <v>2859</v>
      </c>
      <c r="J13" s="2765" t="s">
        <v>2859</v>
      </c>
      <c r="K13" s="1370"/>
      <c r="L13" s="1370"/>
      <c r="M13" s="1370"/>
      <c r="N13" s="1370"/>
      <c r="O13" s="1370"/>
      <c r="P13" s="1370"/>
      <c r="Q13" s="1370"/>
      <c r="R13" s="1603">
        <v>12</v>
      </c>
      <c r="S13" s="1604"/>
      <c r="T13" s="1603" t="e">
        <f t="shared" si="0"/>
        <v>#DIV/0!</v>
      </c>
      <c r="U13" s="1604"/>
      <c r="V13" s="1603" t="e">
        <f t="shared" si="1"/>
        <v>#DIV/0!</v>
      </c>
      <c r="W13" s="3245"/>
      <c r="X13" s="1617"/>
      <c r="Y13" s="1614">
        <f>(-0.163*(Y12^2)-0.59*Y12+7617)*(10^(-4))/Y11</f>
        <v>1.2090476190476191</v>
      </c>
      <c r="Z13" s="1614">
        <f t="shared" ref="Z13:AJ13" si="5">(-0.163*(Z12^2)-0.59*Z12+7617)*(10^(-4))/Z11</f>
        <v>1.2090476190476191</v>
      </c>
      <c r="AA13" s="1614">
        <f t="shared" si="5"/>
        <v>1.2090476190476191</v>
      </c>
      <c r="AB13" s="1614">
        <f t="shared" si="5"/>
        <v>1.2090476190476191</v>
      </c>
      <c r="AC13" s="1614">
        <f t="shared" si="5"/>
        <v>1.2090476190476191</v>
      </c>
      <c r="AD13" s="1614">
        <f t="shared" si="5"/>
        <v>1.2090476190476191</v>
      </c>
      <c r="AE13" s="1614">
        <f t="shared" si="5"/>
        <v>1.2090476190476191</v>
      </c>
      <c r="AF13" s="1614">
        <f t="shared" si="5"/>
        <v>1.2090476190476191</v>
      </c>
      <c r="AG13" s="1614">
        <f t="shared" si="5"/>
        <v>1.2090476190476191</v>
      </c>
      <c r="AH13" s="1614">
        <f t="shared" si="5"/>
        <v>1.2090476190476191</v>
      </c>
      <c r="AI13" s="1614">
        <f t="shared" si="5"/>
        <v>1.2090476190476191</v>
      </c>
      <c r="AJ13" s="1614">
        <f t="shared" si="5"/>
        <v>1.2090476190476191</v>
      </c>
    </row>
    <row r="14" spans="1:36" ht="15">
      <c r="A14" s="3252"/>
      <c r="B14" s="2766"/>
      <c r="C14" s="2767"/>
      <c r="D14" s="2768"/>
      <c r="E14" s="2768"/>
      <c r="F14" s="2769"/>
      <c r="G14" s="2770" t="s">
        <v>2860</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53"/>
      <c r="B15" s="2774" t="s">
        <v>2861</v>
      </c>
      <c r="C15" s="229">
        <f>IF(C14="有",1.1,1)</f>
        <v>1</v>
      </c>
      <c r="D15" s="229">
        <f>IF(D14="有",1.1,1)</f>
        <v>1</v>
      </c>
      <c r="E15" s="229">
        <f>IF(E14="有",1.1,1)</f>
        <v>1</v>
      </c>
      <c r="F15" s="229">
        <f>IF(F14="500米范围内",1.2,IF(F14="500-1000米",1.1,1))</f>
        <v>1</v>
      </c>
      <c r="G15" s="947">
        <v>1</v>
      </c>
      <c r="H15" s="947">
        <v>1</v>
      </c>
      <c r="I15" s="947">
        <v>1</v>
      </c>
      <c r="J15" s="948">
        <v>1</v>
      </c>
      <c r="K15" s="1370"/>
      <c r="L15" s="2775" t="s">
        <v>2797</v>
      </c>
      <c r="M15" s="918" t="s">
        <v>2862</v>
      </c>
      <c r="N15" s="918" t="s">
        <v>2863</v>
      </c>
      <c r="O15" s="918" t="s">
        <v>2864</v>
      </c>
      <c r="P15" s="2776" t="s">
        <v>2865</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0" t="s">
        <v>2866</v>
      </c>
      <c r="B16" s="2743" t="s">
        <v>2867</v>
      </c>
      <c r="C16" s="1802" t="e">
        <f>ROUND(SUM(G17:J17)/C17,0)</f>
        <v>#DIV/0!</v>
      </c>
      <c r="D16" s="2777" t="s">
        <v>2868</v>
      </c>
      <c r="E16" s="2778"/>
      <c r="F16" s="2779"/>
      <c r="G16" s="2780"/>
      <c r="H16" s="2780"/>
      <c r="I16" s="2780"/>
      <c r="J16" s="2781"/>
      <c r="K16" s="1370"/>
      <c r="L16" s="2782" t="s">
        <v>2869</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1"/>
      <c r="B17" s="2783" t="s">
        <v>2870</v>
      </c>
      <c r="C17" s="922">
        <f>SUMPRODUCT((修正!A2:A5=E2)*(修正!B1:M1=G2)*(修正!B2:M5))</f>
        <v>0</v>
      </c>
      <c r="D17" s="2784" t="s">
        <v>2871</v>
      </c>
      <c r="E17" s="921" t="str">
        <f>IF(OR(G2="八级",G2="九级",G2="十级",G2="十一级",G2="十二级"),"五通一平","七通一平")</f>
        <v>七通一平</v>
      </c>
      <c r="F17" s="922" t="s">
        <v>2872</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2873</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2874</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2875</v>
      </c>
      <c r="C19" s="925" t="e">
        <f>ROUND(IF(H19="按公示增长率计算",SUMPRODUCT((地价!A3:A20=YEAR(G19)&amp;"-"&amp;ROUNDUP(MONTH(G19)/3,0))*(地价!X2:AB2=E2)*(地价!X3:AB20)),IF(H19="地价指数",M20/M19,(1+I19)^O19)),4)</f>
        <v>#DIV/0!</v>
      </c>
      <c r="D19" s="2795" t="s">
        <v>2876</v>
      </c>
      <c r="E19" s="926">
        <v>41640</v>
      </c>
      <c r="F19" s="2795" t="s">
        <v>2877</v>
      </c>
      <c r="G19" s="927">
        <f>'数据-取费表'!B2</f>
        <v>43052</v>
      </c>
      <c r="H19" s="2796" t="s">
        <v>2878</v>
      </c>
      <c r="I19" s="928" t="str">
        <f>IF(H19="季度增幅（自定义）",SUMIF(N21:N24,E2,O21:O24),"")</f>
        <v/>
      </c>
      <c r="J19" s="2793"/>
      <c r="K19" s="1377"/>
      <c r="L19" s="2797" t="s">
        <v>2879</v>
      </c>
      <c r="M19" s="1735">
        <f>ROUND(SUMIF(地价!B2:F2,E2,地价!B20:F20),0)</f>
        <v>0</v>
      </c>
      <c r="N19" s="2798" t="s">
        <v>2880</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2881</v>
      </c>
      <c r="C20" s="930" t="e">
        <f>ROUND(POWER(1+G20,J20-I20)*(POWER(1+G20,I20)-1)/(POWER(1+G20,J20)-1),4)</f>
        <v>#DIV/0!</v>
      </c>
      <c r="D20" s="2804" t="s">
        <v>2882</v>
      </c>
      <c r="E20" s="1769">
        <f ca="1">存贷款利率!D4/100</f>
        <v>4.3499999999999997E-2</v>
      </c>
      <c r="F20" s="2804" t="s">
        <v>2873</v>
      </c>
      <c r="G20" s="935">
        <f>SUMIF(M15:P15,E2,M17:P17)</f>
        <v>0</v>
      </c>
      <c r="H20" s="2804" t="s">
        <v>2883</v>
      </c>
      <c r="I20" s="936" t="e">
        <f>SUMIF('数据-取费表'!C6:C15,E2,'数据-取费表'!F6:F15)/COUNTIF('数据-取费表'!C6:C15,E2)</f>
        <v>#DIV/0!</v>
      </c>
      <c r="J20" s="937">
        <f>IF(E2="住宅",70,IF(E2="商业",40,50))</f>
        <v>50</v>
      </c>
      <c r="K20" s="1377"/>
      <c r="L20" s="2805" t="s">
        <v>2884</v>
      </c>
      <c r="M20" s="1736">
        <f>ROUND(SUMPRODUCT((地价!A5:A20=YEAR(G19)&amp;"-"&amp;ROUNDUP(MONTH(G19)/3,0))*(地价!B2:F2=E2)*(地价!B5:F20)),0)</f>
        <v>0</v>
      </c>
      <c r="N20" s="2806" t="s">
        <v>2885</v>
      </c>
      <c r="O20" s="2807" t="s">
        <v>2886</v>
      </c>
      <c r="P20" s="2808" t="s">
        <v>2887</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2888</v>
      </c>
      <c r="C21" s="938">
        <f>IF(B21="容积率修正",IF(G3&lt;=10,D22,J22),C23)</f>
        <v>0</v>
      </c>
      <c r="D21" s="2811"/>
      <c r="E21" s="2811"/>
      <c r="F21" s="2811"/>
      <c r="G21" s="2811"/>
      <c r="H21" s="2811"/>
      <c r="I21" s="2811"/>
      <c r="J21" s="2812"/>
      <c r="K21" s="1377"/>
      <c r="N21" s="2813" t="s">
        <v>2889</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2890</v>
      </c>
      <c r="B22" s="2814" t="s">
        <v>2891</v>
      </c>
      <c r="C22" s="1811" t="s">
        <v>2892</v>
      </c>
      <c r="D22" s="1811">
        <f>IF(E22=G22,F22,IF(G3&lt;=10,ROUND(F22+(H22-F22)*(G3-E22)/(G22-E22),4),"——"))</f>
        <v>0</v>
      </c>
      <c r="E22" s="914">
        <f>ROUNDDOWN(G3,1)</f>
        <v>0.6</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0.7</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2893</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2894</v>
      </c>
      <c r="B23" s="2815" t="s">
        <v>2895</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2896</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2897</v>
      </c>
      <c r="C24" s="925">
        <f>SUMIF(A45:A88,E2,B45:B88)</f>
        <v>0</v>
      </c>
      <c r="D24" s="2791"/>
      <c r="E24" s="2821"/>
      <c r="F24" s="2821"/>
      <c r="G24" s="2821"/>
      <c r="H24" s="2821"/>
      <c r="I24" s="2821"/>
      <c r="J24" s="2822"/>
      <c r="K24" s="1377"/>
      <c r="N24" s="2823" t="s">
        <v>2898</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2899</v>
      </c>
      <c r="C25" s="931"/>
      <c r="D25" s="2746"/>
      <c r="E25" s="2746"/>
      <c r="F25" s="2825"/>
      <c r="G25" s="2746"/>
      <c r="H25" s="2746"/>
      <c r="I25" s="2746"/>
      <c r="J25" s="2747"/>
      <c r="K25" s="1370"/>
      <c r="N25" s="2826" t="s">
        <v>2900</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2901</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2902</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2903</v>
      </c>
      <c r="C28" s="2838" t="s">
        <v>2904</v>
      </c>
      <c r="D28" s="2838" t="s">
        <v>2905</v>
      </c>
      <c r="E28" s="2839" t="s">
        <v>2906</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2907</v>
      </c>
      <c r="C29" s="206" t="e">
        <f>ROUND(C5*C18*C19*C20*C21*C24,0)</f>
        <v>#DIV/0!</v>
      </c>
      <c r="D29" s="2843"/>
      <c r="E29" s="943" t="e">
        <f>ROUND(C29*D29/10000,0)</f>
        <v>#DIV/0!</v>
      </c>
      <c r="F29" s="2844" t="s">
        <v>2908</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2909</v>
      </c>
      <c r="C30" s="229" t="e">
        <f>ROUND(IF(E2="工业",C29*M39,C29*M38),0)</f>
        <v>#DIV/0!</v>
      </c>
      <c r="D30" s="2849"/>
      <c r="E30" s="943" t="e">
        <f>ROUND(C30*D30/10000,0)</f>
        <v>#DIV/0!</v>
      </c>
      <c r="F30" s="2850" t="s">
        <v>2910</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2911</v>
      </c>
      <c r="C31" s="2855" t="s">
        <v>2912</v>
      </c>
      <c r="D31" s="2759"/>
      <c r="E31" s="2855"/>
      <c r="F31" s="2855"/>
      <c r="G31" s="2757" t="s">
        <v>2913</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2904</v>
      </c>
      <c r="D32" s="498" t="s">
        <v>2905</v>
      </c>
      <c r="E32" s="498" t="s">
        <v>2906</v>
      </c>
      <c r="F32" s="388" t="s">
        <v>2914</v>
      </c>
      <c r="G32" s="2858" t="s">
        <v>2904</v>
      </c>
      <c r="H32" s="2858" t="s">
        <v>2905</v>
      </c>
      <c r="I32" s="2858"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260" t="s">
        <v>2915</v>
      </c>
      <c r="B33" s="2859" t="s">
        <v>2916</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1"/>
      <c r="B34" s="2763" t="s">
        <v>2917</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1"/>
      <c r="B35" s="2763" t="s">
        <v>2918</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262"/>
      <c r="B36" s="2763" t="s">
        <v>2919</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2920</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2921</v>
      </c>
      <c r="M37" s="2863"/>
      <c r="N37" s="1370"/>
      <c r="O37" s="1370"/>
      <c r="P37" s="1370"/>
      <c r="Q37" s="1370"/>
      <c r="R37" s="1370"/>
      <c r="S37" s="1370"/>
      <c r="T37" s="1370"/>
      <c r="U37" s="1370"/>
      <c r="V37" s="1370"/>
      <c r="W37" s="1370"/>
      <c r="X37" s="1370"/>
      <c r="Y37" s="1370"/>
      <c r="Z37" s="1371"/>
    </row>
    <row r="38" spans="1:37">
      <c r="A38" s="2861"/>
      <c r="B38" s="2763" t="s">
        <v>2922</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2923</v>
      </c>
      <c r="M38" s="2864">
        <v>0.25</v>
      </c>
      <c r="N38" s="1370"/>
      <c r="O38" s="1370"/>
      <c r="P38" s="1370"/>
      <c r="Q38" s="1370"/>
      <c r="R38" s="1370"/>
      <c r="S38" s="1370"/>
      <c r="T38" s="1370"/>
      <c r="U38" s="1370"/>
      <c r="V38" s="1370"/>
      <c r="W38" s="1370"/>
      <c r="X38" s="1370"/>
      <c r="Y38" s="1370"/>
      <c r="Z38" s="1371"/>
    </row>
    <row r="39" spans="1:37" ht="13.5" thickBot="1">
      <c r="A39" s="2847"/>
      <c r="B39" s="2865" t="s">
        <v>2924</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2865</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2925</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2926</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2927</v>
      </c>
      <c r="B47" s="1810" t="s">
        <v>2928</v>
      </c>
      <c r="C47" s="1810" t="s">
        <v>2929</v>
      </c>
      <c r="D47" s="1810" t="s">
        <v>2930</v>
      </c>
      <c r="E47" s="817" t="s">
        <v>2931</v>
      </c>
      <c r="F47" s="2877" t="s">
        <v>2932</v>
      </c>
      <c r="G47" s="1810" t="s">
        <v>754</v>
      </c>
      <c r="H47" s="2878" t="s">
        <v>2933</v>
      </c>
      <c r="I47" s="1810" t="s">
        <v>2934</v>
      </c>
      <c r="J47" s="603" t="s">
        <v>2581</v>
      </c>
      <c r="K47" s="603" t="s">
        <v>2582</v>
      </c>
      <c r="L47" s="603" t="s">
        <v>2583</v>
      </c>
      <c r="M47" s="603" t="s">
        <v>2584</v>
      </c>
      <c r="N47" s="603" t="s">
        <v>2585</v>
      </c>
      <c r="AA47" s="1371"/>
      <c r="AB47" s="1371"/>
      <c r="AC47" s="1371"/>
      <c r="AD47" s="1371"/>
      <c r="AE47" s="1371"/>
      <c r="AF47" s="1371"/>
      <c r="AG47" s="1371"/>
      <c r="AH47" s="1371"/>
      <c r="AI47" s="1371"/>
      <c r="AJ47" s="1371"/>
      <c r="AK47" s="1371"/>
    </row>
    <row r="48" spans="1:37" s="1370" customFormat="1" ht="51">
      <c r="A48" s="2876" t="s">
        <v>2935</v>
      </c>
      <c r="B48" s="2879" t="str">
        <f>估价对象房地状况!C4</f>
        <v>估价对象位于燕郊，周边商业氛围成熟度一般，多集中于住宅底商，人流量较小，商业繁华度较差</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38.25">
      <c r="A49" s="2876" t="s">
        <v>2936</v>
      </c>
      <c r="B49" s="2880" t="str">
        <f>估价对象房地状况!C18</f>
        <v>周边有302、快速直达专线102路等公交线路，交通便捷度一般。</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2937</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2938</v>
      </c>
      <c r="B51" s="2881" t="s">
        <v>2939</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2940</v>
      </c>
      <c r="B52" s="2880" t="str">
        <f>估价对象房地状况!C24</f>
        <v>城市次干道——迎宾路</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2941</v>
      </c>
      <c r="B53" s="2882" t="s">
        <v>2942</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2943</v>
      </c>
      <c r="B54" s="1726" t="str">
        <f>估价对象房地状况!C21</f>
        <v>估价对象周边无银行、商场、学校、医院，有社区超市等，公共配套设施较差。</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2944</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2945</v>
      </c>
      <c r="B56" s="2885" t="str">
        <f>估价对象房地状况!C20</f>
        <v>周边绿化均为城市绿化，无高等教育机构等，综合评价环境状况一般</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2946</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2927</v>
      </c>
      <c r="B58" s="1810"/>
      <c r="C58" s="1810" t="s">
        <v>2929</v>
      </c>
      <c r="D58" s="1810" t="s">
        <v>2930</v>
      </c>
      <c r="E58" s="817" t="s">
        <v>2931</v>
      </c>
      <c r="F58" s="2877" t="s">
        <v>2947</v>
      </c>
      <c r="G58" s="1810" t="s">
        <v>754</v>
      </c>
      <c r="H58" s="2878" t="s">
        <v>2933</v>
      </c>
      <c r="I58" s="1810" t="s">
        <v>2934</v>
      </c>
      <c r="J58" s="603" t="s">
        <v>2581</v>
      </c>
      <c r="K58" s="603" t="s">
        <v>2582</v>
      </c>
      <c r="L58" s="603" t="s">
        <v>2583</v>
      </c>
      <c r="M58" s="603" t="s">
        <v>2584</v>
      </c>
      <c r="N58" s="603" t="s">
        <v>2585</v>
      </c>
      <c r="AA58" s="1371"/>
      <c r="AB58" s="1371"/>
      <c r="AC58" s="1371"/>
      <c r="AD58" s="1371"/>
      <c r="AE58" s="1371"/>
      <c r="AF58" s="1371"/>
      <c r="AG58" s="1371"/>
      <c r="AH58" s="1371"/>
      <c r="AI58" s="1371"/>
      <c r="AJ58" s="1371"/>
      <c r="AK58" s="1371"/>
    </row>
    <row r="59" spans="1:37" s="1370" customFormat="1" ht="24">
      <c r="A59" s="2876" t="s">
        <v>2948</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38.25">
      <c r="A60" s="2876" t="s">
        <v>2936</v>
      </c>
      <c r="B60" s="2880" t="str">
        <f>估价对象房地状况!C18</f>
        <v>周边有302、快速直达专线102路等公交线路，交通便捷度一般。</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2937</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2938</v>
      </c>
      <c r="B62" s="2881" t="s">
        <v>2939</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2940</v>
      </c>
      <c r="B63" s="2880" t="str">
        <f>估价对象房地状况!C24</f>
        <v>城市次干道——迎宾路</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2941</v>
      </c>
      <c r="B64" s="2882" t="s">
        <v>2942</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2943</v>
      </c>
      <c r="B65" s="1726" t="str">
        <f>估价对象房地状况!C21</f>
        <v>估价对象周边无银行、商场、学校、医院，有社区超市等，公共配套设施较差。</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2944</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2945</v>
      </c>
      <c r="B67" s="2886" t="str">
        <f>估价对象房地状况!C20</f>
        <v>周边绿化均为城市绿化，无高等教育机构等，综合评价环境状况一般</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2949</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2927</v>
      </c>
      <c r="B69" s="1810"/>
      <c r="C69" s="1810" t="s">
        <v>2929</v>
      </c>
      <c r="D69" s="1810" t="s">
        <v>2930</v>
      </c>
      <c r="E69" s="817" t="s">
        <v>2931</v>
      </c>
      <c r="F69" s="2877" t="s">
        <v>2947</v>
      </c>
      <c r="G69" s="1810" t="s">
        <v>754</v>
      </c>
      <c r="H69" s="2878" t="s">
        <v>2933</v>
      </c>
      <c r="I69" s="1810" t="s">
        <v>2934</v>
      </c>
      <c r="J69" s="603" t="s">
        <v>2581</v>
      </c>
      <c r="K69" s="603" t="s">
        <v>2582</v>
      </c>
      <c r="L69" s="603" t="s">
        <v>2583</v>
      </c>
      <c r="M69" s="603" t="s">
        <v>2584</v>
      </c>
      <c r="N69" s="603" t="s">
        <v>2585</v>
      </c>
      <c r="AA69" s="1371"/>
      <c r="AB69" s="1371"/>
      <c r="AC69" s="1371"/>
      <c r="AD69" s="1371"/>
      <c r="AE69" s="1371"/>
      <c r="AF69" s="1371"/>
      <c r="AG69" s="1371"/>
      <c r="AH69" s="1371"/>
      <c r="AI69" s="1371"/>
      <c r="AJ69" s="1371"/>
      <c r="AK69" s="1371"/>
    </row>
    <row r="70" spans="1:37" s="1370" customFormat="1" ht="51">
      <c r="A70" s="2876" t="s">
        <v>2950</v>
      </c>
      <c r="B70" s="2879" t="str">
        <f>估价对象房地状况!C15</f>
        <v>周边有夏威夷·蓝湾、美丽乡村别墅、金谷iSOHO等居住社区，综合评价居住社区成熟度较好</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38.25">
      <c r="A71" s="2876" t="s">
        <v>2936</v>
      </c>
      <c r="B71" s="2880" t="str">
        <f>估价对象房地状况!C18</f>
        <v>周边有302、快速直达专线102路等公交线路，交通便捷度一般。</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2937</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2951</v>
      </c>
      <c r="B73" s="2880" t="str">
        <f>估价对象房地状况!C24</f>
        <v>城市次干道——迎宾路</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2943</v>
      </c>
      <c r="B74" s="1726" t="str">
        <f>估价对象房地状况!C21</f>
        <v>估价对象周边无银行、商场、学校、医院，有社区超市等，公共配套设施较差。</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2944</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2941</v>
      </c>
      <c r="B76" s="2882" t="s">
        <v>2942</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2945</v>
      </c>
      <c r="B77" s="2879" t="str">
        <f>估价对象房地状况!C20</f>
        <v>周边绿化均为城市绿化，无高等教育机构等，综合评价环境状况一般</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2952</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2953</v>
      </c>
      <c r="B79" s="2873">
        <f>1+E81</f>
        <v>1</v>
      </c>
      <c r="C79" s="812"/>
      <c r="D79" s="812"/>
      <c r="E79" s="813"/>
      <c r="F79" s="2875"/>
      <c r="G79" s="6"/>
      <c r="H79" s="6"/>
      <c r="I79" s="6"/>
      <c r="J79" s="7"/>
      <c r="K79" s="7"/>
      <c r="L79" s="7"/>
      <c r="M79" s="7"/>
      <c r="N79" s="7"/>
      <c r="Z79" s="2718"/>
      <c r="AA79" s="2794"/>
      <c r="AG79" s="1372"/>
      <c r="AK79" s="2794"/>
    </row>
    <row r="80" spans="1:37" ht="24.75">
      <c r="A80" s="2876" t="s">
        <v>2927</v>
      </c>
      <c r="B80" s="1810"/>
      <c r="C80" s="1810" t="s">
        <v>2929</v>
      </c>
      <c r="D80" s="1810" t="s">
        <v>2930</v>
      </c>
      <c r="E80" s="817" t="s">
        <v>2931</v>
      </c>
      <c r="F80" s="2877" t="s">
        <v>2947</v>
      </c>
      <c r="G80" s="1810" t="s">
        <v>754</v>
      </c>
      <c r="H80" s="2878" t="s">
        <v>2933</v>
      </c>
      <c r="I80" s="1810" t="s">
        <v>2934</v>
      </c>
      <c r="J80" s="603" t="s">
        <v>2581</v>
      </c>
      <c r="K80" s="603" t="s">
        <v>2582</v>
      </c>
      <c r="L80" s="603" t="s">
        <v>2583</v>
      </c>
      <c r="M80" s="603" t="s">
        <v>2584</v>
      </c>
      <c r="N80" s="603" t="s">
        <v>2585</v>
      </c>
      <c r="Z80" s="2718"/>
      <c r="AA80" s="2794"/>
      <c r="AG80" s="1372"/>
      <c r="AK80" s="2794"/>
    </row>
    <row r="81" spans="1:37" ht="24">
      <c r="A81" s="2876" t="s">
        <v>2954</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2936</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2937</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2951</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2943</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2944</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2941</v>
      </c>
      <c r="B87" s="2882" t="s">
        <v>2955</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2956</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254" t="s">
        <v>2957</v>
      </c>
      <c r="B90" s="3254"/>
      <c r="C90" s="3254"/>
      <c r="D90" s="3254"/>
      <c r="E90" s="3254"/>
      <c r="F90" s="3254"/>
      <c r="G90" s="3254"/>
      <c r="H90" s="3254"/>
      <c r="I90" s="3254"/>
      <c r="J90" s="3254"/>
      <c r="K90" s="2890"/>
      <c r="L90" s="2890"/>
      <c r="M90" s="2890"/>
      <c r="N90" s="2890"/>
    </row>
    <row r="91" spans="1:37">
      <c r="A91" s="3256" t="s">
        <v>2958</v>
      </c>
      <c r="B91" s="3256" t="s">
        <v>2959</v>
      </c>
      <c r="C91" s="2844" t="s">
        <v>2960</v>
      </c>
      <c r="D91" s="2845"/>
      <c r="E91" s="2845"/>
      <c r="F91" s="2845"/>
      <c r="G91" s="2845"/>
      <c r="H91" s="2845"/>
      <c r="I91" s="2845"/>
      <c r="J91" s="2891"/>
      <c r="K91" s="2892"/>
      <c r="L91" s="2892"/>
      <c r="M91" s="2892"/>
      <c r="N91" s="2892"/>
    </row>
    <row r="92" spans="1:37">
      <c r="A92" s="3256"/>
      <c r="B92" s="3256"/>
      <c r="C92" s="943" t="s">
        <v>2824</v>
      </c>
      <c r="D92" s="943" t="s">
        <v>2825</v>
      </c>
      <c r="E92" s="943" t="s">
        <v>2826</v>
      </c>
      <c r="F92" s="943" t="s">
        <v>2827</v>
      </c>
      <c r="G92" s="943" t="s">
        <v>2828</v>
      </c>
      <c r="H92" s="943" t="s">
        <v>2829</v>
      </c>
      <c r="I92" s="943" t="s">
        <v>2830</v>
      </c>
      <c r="J92" s="943" t="s">
        <v>2831</v>
      </c>
      <c r="K92" s="943" t="s">
        <v>2832</v>
      </c>
      <c r="L92" s="943" t="s">
        <v>2833</v>
      </c>
      <c r="M92" s="943" t="s">
        <v>2834</v>
      </c>
      <c r="N92" s="943" t="s">
        <v>2835</v>
      </c>
    </row>
    <row r="93" spans="1:37">
      <c r="A93" s="3257" t="s">
        <v>2961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8"/>
      <c r="B99" s="2893" t="s">
        <v>2840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7" t="s">
        <v>2962</v>
      </c>
      <c r="B101" s="2897" t="s">
        <v>2963</v>
      </c>
      <c r="C101" s="2898">
        <f>$G$3</f>
        <v>0.63</v>
      </c>
      <c r="D101" s="2898">
        <f t="shared" ref="D101:N101" si="31">$G$3</f>
        <v>0.63</v>
      </c>
      <c r="E101" s="2898">
        <f t="shared" si="31"/>
        <v>0.63</v>
      </c>
      <c r="F101" s="2898">
        <f t="shared" si="31"/>
        <v>0.63</v>
      </c>
      <c r="G101" s="2898">
        <f t="shared" si="31"/>
        <v>0.63</v>
      </c>
      <c r="H101" s="2898">
        <f t="shared" si="31"/>
        <v>0.63</v>
      </c>
      <c r="I101" s="2898">
        <f t="shared" si="31"/>
        <v>0.63</v>
      </c>
      <c r="J101" s="2898">
        <f t="shared" si="31"/>
        <v>0.63</v>
      </c>
      <c r="K101" s="2898">
        <f t="shared" si="31"/>
        <v>0.63</v>
      </c>
      <c r="L101" s="2898">
        <f t="shared" si="31"/>
        <v>0.63</v>
      </c>
      <c r="M101" s="2898">
        <f t="shared" si="31"/>
        <v>0.63</v>
      </c>
      <c r="N101" s="2898">
        <f t="shared" si="31"/>
        <v>0.63</v>
      </c>
    </row>
    <row r="102" spans="1:14">
      <c r="A102" s="3258"/>
      <c r="B102" s="2893">
        <v>1</v>
      </c>
      <c r="C102" s="2894">
        <f>1.9362/C101</f>
        <v>3.0733333333333333</v>
      </c>
      <c r="D102" s="2894">
        <f>1.9362/D101</f>
        <v>3.0733333333333333</v>
      </c>
      <c r="E102" s="2894">
        <f>1.8629/E101</f>
        <v>2.956984126984127</v>
      </c>
      <c r="F102" s="2894">
        <f>1.8629/F101</f>
        <v>2.956984126984127</v>
      </c>
      <c r="G102" s="2894">
        <f>1.8629/G101</f>
        <v>2.956984126984127</v>
      </c>
      <c r="H102" s="2894">
        <f>1.8629/H101</f>
        <v>2.956984126984127</v>
      </c>
      <c r="I102" s="2894">
        <f>1.8629/I101</f>
        <v>2.956984126984127</v>
      </c>
      <c r="J102" s="2894">
        <f>1.942/J101</f>
        <v>3.0825396825396822</v>
      </c>
      <c r="K102" s="2894">
        <f>1.942/K101</f>
        <v>3.0825396825396822</v>
      </c>
      <c r="L102" s="2894">
        <f>1.942/L101</f>
        <v>3.0825396825396822</v>
      </c>
      <c r="M102" s="2894">
        <f>1.942/M101</f>
        <v>3.0825396825396822</v>
      </c>
      <c r="N102" s="2894">
        <f>1.942/N101</f>
        <v>3.0825396825396822</v>
      </c>
    </row>
    <row r="103" spans="1:14">
      <c r="A103" s="3258"/>
      <c r="B103" s="2893">
        <v>2</v>
      </c>
      <c r="C103" s="2894">
        <f>1.4198/C101</f>
        <v>2.2536507936507935</v>
      </c>
      <c r="D103" s="2894">
        <f>1.4198/D101</f>
        <v>2.2536507936507935</v>
      </c>
      <c r="E103" s="2894">
        <f>1.3372/E101</f>
        <v>2.1225396825396823</v>
      </c>
      <c r="F103" s="2894">
        <f>1.3372/F101</f>
        <v>2.1225396825396823</v>
      </c>
      <c r="G103" s="2894">
        <f>1.3372/G101</f>
        <v>2.1225396825396823</v>
      </c>
      <c r="H103" s="2894">
        <f>1.3372/H101</f>
        <v>2.1225396825396823</v>
      </c>
      <c r="I103" s="2894">
        <f>1.3372/I101</f>
        <v>2.1225396825396823</v>
      </c>
      <c r="J103" s="2894">
        <f>1.2799/J101</f>
        <v>2.0315873015873018</v>
      </c>
      <c r="K103" s="2894">
        <f>1.2799/K101</f>
        <v>2.0315873015873018</v>
      </c>
      <c r="L103" s="2894">
        <f>1.2799/L101</f>
        <v>2.0315873015873018</v>
      </c>
      <c r="M103" s="2894">
        <f>1.2799/M101</f>
        <v>2.0315873015873018</v>
      </c>
      <c r="N103" s="2894">
        <f>1.2799/N101</f>
        <v>2.0315873015873018</v>
      </c>
    </row>
    <row r="104" spans="1:14">
      <c r="A104" s="3258"/>
      <c r="B104" s="2893">
        <v>3</v>
      </c>
      <c r="C104" s="2894">
        <f>1.1594/C101</f>
        <v>1.8403174603174604</v>
      </c>
      <c r="D104" s="2894">
        <f>1.1594/D101</f>
        <v>1.8403174603174604</v>
      </c>
      <c r="E104" s="2894">
        <f>1.0788/E101</f>
        <v>1.7123809523809523</v>
      </c>
      <c r="F104" s="2894">
        <f>1.0788/F101</f>
        <v>1.7123809523809523</v>
      </c>
      <c r="G104" s="2894">
        <f>1.0788/G101</f>
        <v>1.7123809523809523</v>
      </c>
      <c r="H104" s="2894">
        <f>1.0788/H101</f>
        <v>1.7123809523809523</v>
      </c>
      <c r="I104" s="2894">
        <f>1.0788/I101</f>
        <v>1.7123809523809523</v>
      </c>
      <c r="J104" s="2894">
        <f>1.0072/J101</f>
        <v>1.5987301587301588</v>
      </c>
      <c r="K104" s="2894">
        <f>1.0072/K101</f>
        <v>1.5987301587301588</v>
      </c>
      <c r="L104" s="2894">
        <f>1.0072/L101</f>
        <v>1.5987301587301588</v>
      </c>
      <c r="M104" s="2894">
        <f>1.0072/M101</f>
        <v>1.5987301587301588</v>
      </c>
      <c r="N104" s="2894">
        <f>1.0072/N101</f>
        <v>1.5987301587301588</v>
      </c>
    </row>
    <row r="105" spans="1:14">
      <c r="A105" s="3258"/>
      <c r="B105" s="2893">
        <v>4</v>
      </c>
      <c r="C105" s="2894">
        <f>0.9622/C101</f>
        <v>1.5273015873015874</v>
      </c>
      <c r="D105" s="2894">
        <f>0.9622/D101</f>
        <v>1.5273015873015874</v>
      </c>
      <c r="E105" s="2894">
        <f>0.8656/E101</f>
        <v>1.3739682539682541</v>
      </c>
      <c r="F105" s="2894">
        <f>0.8656/F101</f>
        <v>1.3739682539682541</v>
      </c>
      <c r="G105" s="2894">
        <f>0.8656/G101</f>
        <v>1.3739682539682541</v>
      </c>
      <c r="H105" s="2894">
        <f>0.8656/H101</f>
        <v>1.3739682539682541</v>
      </c>
      <c r="I105" s="2894">
        <f>0.8656/I101</f>
        <v>1.3739682539682541</v>
      </c>
      <c r="J105" s="2894">
        <f>0.7525/J101</f>
        <v>1.1944444444444444</v>
      </c>
      <c r="K105" s="2894">
        <f>0.7525/K101</f>
        <v>1.1944444444444444</v>
      </c>
      <c r="L105" s="2894">
        <f>0.7525/L101</f>
        <v>1.1944444444444444</v>
      </c>
      <c r="M105" s="2894">
        <f>0.7525/M101</f>
        <v>1.1944444444444444</v>
      </c>
      <c r="N105" s="2894">
        <f>0.7525/N101</f>
        <v>1.1944444444444444</v>
      </c>
    </row>
    <row r="106" spans="1:14">
      <c r="A106" s="3258"/>
      <c r="B106" s="2893">
        <v>5</v>
      </c>
      <c r="C106" s="2894">
        <f>0.8417/C101</f>
        <v>1.3360317460317461</v>
      </c>
      <c r="D106" s="2894">
        <f>0.8417/D101</f>
        <v>1.3360317460317461</v>
      </c>
      <c r="E106" s="2894">
        <f>0.7371/E101</f>
        <v>1.17</v>
      </c>
      <c r="F106" s="2894">
        <f>0.7371/F101</f>
        <v>1.17</v>
      </c>
      <c r="G106" s="2894">
        <f>0.7371/G101</f>
        <v>1.17</v>
      </c>
      <c r="H106" s="2894">
        <f>0.7371/H101</f>
        <v>1.17</v>
      </c>
      <c r="I106" s="2894">
        <f>0.7371/I101</f>
        <v>1.17</v>
      </c>
      <c r="J106" s="2894">
        <f>0.5659/J101</f>
        <v>0.89825396825396819</v>
      </c>
      <c r="K106" s="2894">
        <f>0.5659/K101</f>
        <v>0.89825396825396819</v>
      </c>
      <c r="L106" s="2894">
        <f>0.5659/L101</f>
        <v>0.89825396825396819</v>
      </c>
      <c r="M106" s="2894">
        <f>0.5659/M101</f>
        <v>0.89825396825396819</v>
      </c>
      <c r="N106" s="2894">
        <f>0.5659/N101</f>
        <v>0.89825396825396819</v>
      </c>
    </row>
    <row r="107" spans="1:14">
      <c r="A107" s="3258"/>
      <c r="B107" s="2893">
        <v>6</v>
      </c>
      <c r="C107" s="2894">
        <f>0.7608/C101</f>
        <v>1.2076190476190476</v>
      </c>
      <c r="D107" s="2894">
        <f>0.7608/D101</f>
        <v>1.2076190476190476</v>
      </c>
      <c r="E107" s="2894">
        <f>0.6482/E101</f>
        <v>1.028888888888889</v>
      </c>
      <c r="F107" s="2894">
        <f>0.6482/F101</f>
        <v>1.028888888888889</v>
      </c>
      <c r="G107" s="2894">
        <f>0.6482/G101</f>
        <v>1.028888888888889</v>
      </c>
      <c r="H107" s="2894">
        <f>0.6482/H101</f>
        <v>1.028888888888889</v>
      </c>
      <c r="I107" s="2894">
        <f>0.6482/I101</f>
        <v>1.028888888888889</v>
      </c>
      <c r="J107" s="2894">
        <f>0.4525/J101</f>
        <v>0.71825396825396826</v>
      </c>
      <c r="K107" s="2894">
        <f>0.4525/K101</f>
        <v>0.71825396825396826</v>
      </c>
      <c r="L107" s="2894">
        <f>0.4525/L101</f>
        <v>0.71825396825396826</v>
      </c>
      <c r="M107" s="2894">
        <f>0.4525/M101</f>
        <v>0.71825396825396826</v>
      </c>
      <c r="N107" s="2894">
        <f>0.4525/N101</f>
        <v>0.71825396825396826</v>
      </c>
    </row>
    <row r="108" spans="1:14">
      <c r="A108" s="3258"/>
      <c r="B108" s="3110" t="s">
        <v>2964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9"/>
      <c r="B109" s="3111"/>
      <c r="C109" s="2896">
        <f>(-0.163*(C108^2)-0.59*C108+7617)*(10^(-4))/C101</f>
        <v>1.2090476190476191</v>
      </c>
      <c r="D109" s="2896">
        <f>(-0.163*(D108^2)-0.59*D108+7617)*(10^(-4))/D101</f>
        <v>1.2090476190476191</v>
      </c>
      <c r="E109" s="2896">
        <f>(-0.161*(E108^2)-7.509*E108+6533)*(10^(-4))/E101</f>
        <v>1.0369841269841269</v>
      </c>
      <c r="F109" s="2896">
        <f>(-0.161*(F108^2)-7.509*F108+6533)*(10^(-4))/F101</f>
        <v>1.0369841269841269</v>
      </c>
      <c r="G109" s="2896">
        <f>(-0.161*(G108^2)-7.509*G108+6533)*(10^(-4))/G101</f>
        <v>1.0369841269841269</v>
      </c>
      <c r="H109" s="2896">
        <f>(-0.161*(H108^2)-7.509*H108+6533)*(10^(-4))/H101</f>
        <v>1.0369841269841269</v>
      </c>
      <c r="I109" s="2896">
        <f>(-0.161*(I108^2)-7.509*I108+6533)*(10^(-4))/I101</f>
        <v>1.0369841269841269</v>
      </c>
      <c r="J109" s="2896">
        <f>(-0.214*(J108^2)-21.991*J108+4665)*(10^(-4))/J101</f>
        <v>0.74047619047619051</v>
      </c>
      <c r="K109" s="2896">
        <f>(-0.214*(K108^2)-21.991*K108+4665)*(10^(-4))/K101</f>
        <v>0.74047619047619051</v>
      </c>
      <c r="L109" s="2896">
        <f>(-0.214*(L108^2)-21.991*L108+4665)*(10^(-4))/L101</f>
        <v>0.74047619047619051</v>
      </c>
      <c r="M109" s="2896">
        <f>(-0.214*(M108^2)-21.991*M108+4665)*(10^(-4))/M101</f>
        <v>0.74047619047619051</v>
      </c>
      <c r="N109" s="2896">
        <f>(-0.214*(N108^2)-21.991*N108+4665)*(10^(-4))/N101</f>
        <v>0.74047619047619051</v>
      </c>
    </row>
    <row r="110" spans="1:14">
      <c r="A110" s="3255" t="s">
        <v>2965</v>
      </c>
      <c r="B110" s="3255"/>
      <c r="C110" s="3255"/>
      <c r="D110" s="3255"/>
      <c r="E110" s="3255"/>
      <c r="F110" s="3255"/>
      <c r="G110" s="3255"/>
      <c r="H110" s="3255"/>
      <c r="I110" s="3255"/>
      <c r="J110" s="3255"/>
      <c r="K110" s="2899"/>
      <c r="L110" s="2899"/>
      <c r="M110" s="2899"/>
      <c r="N110" s="2899"/>
    </row>
    <row r="112" spans="1:14" ht="13.5" thickBot="1"/>
    <row r="113" spans="1:13" ht="25.5" thickBot="1">
      <c r="A113" s="901" t="s">
        <v>2966</v>
      </c>
      <c r="B113" s="1287">
        <f>G3</f>
        <v>0.63</v>
      </c>
      <c r="C113" s="902" t="s">
        <v>2967</v>
      </c>
      <c r="D113" s="903">
        <f>SUMPRODUCT((A115:A118=F113)*(B114:M114=H113)*B115:M118)</f>
        <v>0</v>
      </c>
      <c r="E113" s="2722" t="s">
        <v>2797</v>
      </c>
      <c r="F113" s="2901">
        <f>E2</f>
        <v>0</v>
      </c>
      <c r="G113" s="2722" t="s">
        <v>2798</v>
      </c>
      <c r="H113" s="2901">
        <f>G2</f>
        <v>0</v>
      </c>
      <c r="I113" s="2722"/>
      <c r="J113" s="2902"/>
      <c r="K113" s="2902"/>
      <c r="L113" s="2902"/>
      <c r="M113" s="2902"/>
    </row>
    <row r="114" spans="1:13">
      <c r="A114" s="906"/>
      <c r="B114" s="2903" t="s">
        <v>2968</v>
      </c>
      <c r="C114" s="2903" t="s">
        <v>2969</v>
      </c>
      <c r="D114" s="2903" t="s">
        <v>2970</v>
      </c>
      <c r="E114" s="2904" t="s">
        <v>2971</v>
      </c>
      <c r="F114" s="2904" t="s">
        <v>2972</v>
      </c>
      <c r="G114" s="2904" t="s">
        <v>2973</v>
      </c>
      <c r="H114" s="2905" t="s">
        <v>2974</v>
      </c>
      <c r="I114" s="2905" t="s">
        <v>2975</v>
      </c>
      <c r="J114" s="2906" t="s">
        <v>2976</v>
      </c>
      <c r="K114" s="2906" t="s">
        <v>2977</v>
      </c>
      <c r="L114" s="2906" t="s">
        <v>2978</v>
      </c>
      <c r="M114" s="2907" t="s">
        <v>2979</v>
      </c>
    </row>
    <row r="115" spans="1:13">
      <c r="A115" s="907" t="s">
        <v>2862</v>
      </c>
      <c r="B115" s="908">
        <f>ROUND(0.9335-0.0094*B113,4)</f>
        <v>0.92759999999999998</v>
      </c>
      <c r="C115" s="908">
        <f>B115</f>
        <v>0.92759999999999998</v>
      </c>
      <c r="D115" s="908">
        <f>ROUND(0.8331-0.0109*B113,4)</f>
        <v>0.82620000000000005</v>
      </c>
      <c r="E115" s="908">
        <f>D115</f>
        <v>0.82620000000000005</v>
      </c>
      <c r="F115" s="908">
        <f>E115</f>
        <v>0.82620000000000005</v>
      </c>
      <c r="G115" s="908">
        <f>F115</f>
        <v>0.82620000000000005</v>
      </c>
      <c r="H115" s="908">
        <f>G115</f>
        <v>0.82620000000000005</v>
      </c>
      <c r="I115" s="908">
        <f>ROUND(0.689-0.0155*B113,4)</f>
        <v>0.67920000000000003</v>
      </c>
      <c r="J115" s="908">
        <f t="shared" ref="J115:M118" si="33">I115</f>
        <v>0.67920000000000003</v>
      </c>
      <c r="K115" s="908">
        <f t="shared" si="33"/>
        <v>0.67920000000000003</v>
      </c>
      <c r="L115" s="908">
        <f t="shared" si="33"/>
        <v>0.67920000000000003</v>
      </c>
      <c r="M115" s="909">
        <f t="shared" si="33"/>
        <v>0.67920000000000003</v>
      </c>
    </row>
    <row r="116" spans="1:13">
      <c r="A116" s="907" t="s">
        <v>2863</v>
      </c>
      <c r="B116" s="908">
        <f>ROUND(0.949-0.012*B113,4)</f>
        <v>0.94140000000000001</v>
      </c>
      <c r="C116" s="908">
        <f>B116</f>
        <v>0.94140000000000001</v>
      </c>
      <c r="D116" s="908">
        <f>ROUND(0.8567-0.013*B113,4)</f>
        <v>0.84850000000000003</v>
      </c>
      <c r="E116" s="908">
        <f t="shared" ref="E116:H117" si="34">D116</f>
        <v>0.84850000000000003</v>
      </c>
      <c r="F116" s="908">
        <f t="shared" si="34"/>
        <v>0.84850000000000003</v>
      </c>
      <c r="G116" s="908">
        <f t="shared" si="34"/>
        <v>0.84850000000000003</v>
      </c>
      <c r="H116" s="908">
        <f t="shared" si="34"/>
        <v>0.84850000000000003</v>
      </c>
      <c r="I116" s="908">
        <f>ROUND(0.7694-0.014*B113,4)</f>
        <v>0.76060000000000005</v>
      </c>
      <c r="J116" s="908">
        <f t="shared" si="33"/>
        <v>0.76060000000000005</v>
      </c>
      <c r="K116" s="908">
        <f t="shared" si="33"/>
        <v>0.76060000000000005</v>
      </c>
      <c r="L116" s="908">
        <f t="shared" si="33"/>
        <v>0.76060000000000005</v>
      </c>
      <c r="M116" s="909">
        <f t="shared" si="33"/>
        <v>0.76060000000000005</v>
      </c>
    </row>
    <row r="117" spans="1:13">
      <c r="A117" s="907" t="s">
        <v>2864</v>
      </c>
      <c r="B117" s="908">
        <f>ROUND(0.8808-0.006*B113,4)</f>
        <v>0.877</v>
      </c>
      <c r="C117" s="908">
        <f>B117</f>
        <v>0.877</v>
      </c>
      <c r="D117" s="908">
        <f>ROUND(0.8748-0.008*B113,4)</f>
        <v>0.86980000000000002</v>
      </c>
      <c r="E117" s="908">
        <f t="shared" si="34"/>
        <v>0.86980000000000002</v>
      </c>
      <c r="F117" s="908">
        <f t="shared" si="34"/>
        <v>0.86980000000000002</v>
      </c>
      <c r="G117" s="908">
        <f t="shared" si="34"/>
        <v>0.86980000000000002</v>
      </c>
      <c r="H117" s="908">
        <f t="shared" si="34"/>
        <v>0.86980000000000002</v>
      </c>
      <c r="I117" s="908">
        <f>ROUND(0.7412-0.0095*B113,4)</f>
        <v>0.73519999999999996</v>
      </c>
      <c r="J117" s="908">
        <f t="shared" si="33"/>
        <v>0.73519999999999996</v>
      </c>
      <c r="K117" s="908">
        <f t="shared" si="33"/>
        <v>0.73519999999999996</v>
      </c>
      <c r="L117" s="908">
        <f t="shared" si="33"/>
        <v>0.73519999999999996</v>
      </c>
      <c r="M117" s="909">
        <f t="shared" si="33"/>
        <v>0.73519999999999996</v>
      </c>
    </row>
    <row r="118" spans="1:13" ht="13.5" thickBot="1">
      <c r="A118" s="712" t="s">
        <v>2865</v>
      </c>
      <c r="B118" s="910">
        <f>ROUND(0.7275-0.01*B113,4)</f>
        <v>0.72119999999999995</v>
      </c>
      <c r="C118" s="910">
        <f>B118</f>
        <v>0.72119999999999995</v>
      </c>
      <c r="D118" s="910">
        <f>ROUND(0.7043-0.012*B113,4)</f>
        <v>0.69669999999999999</v>
      </c>
      <c r="E118" s="910">
        <f>D118</f>
        <v>0.69669999999999999</v>
      </c>
      <c r="F118" s="910">
        <f>E118</f>
        <v>0.69669999999999999</v>
      </c>
      <c r="G118" s="910">
        <f>ROUND(0.6299-0.0122*B113,4)</f>
        <v>0.62219999999999998</v>
      </c>
      <c r="H118" s="910">
        <f>G118</f>
        <v>0.62219999999999998</v>
      </c>
      <c r="I118" s="910">
        <f>ROUND(0.5667-0.0136*B113,4)</f>
        <v>0.55810000000000004</v>
      </c>
      <c r="J118" s="910">
        <f t="shared" si="33"/>
        <v>0.55810000000000004</v>
      </c>
      <c r="K118" s="910">
        <f t="shared" si="33"/>
        <v>0.55810000000000004</v>
      </c>
      <c r="L118" s="910">
        <f t="shared" si="33"/>
        <v>0.55810000000000004</v>
      </c>
      <c r="M118" s="911">
        <f t="shared" si="33"/>
        <v>0.55810000000000004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3" t="s">
        <v>183</v>
      </c>
      <c r="B18" s="880" t="s">
        <v>560</v>
      </c>
      <c r="C18" s="881" t="s">
        <v>561</v>
      </c>
      <c r="D18" s="882"/>
      <c r="E18" s="880">
        <v>1</v>
      </c>
      <c r="F18" s="883" t="s">
        <v>562</v>
      </c>
      <c r="G18" s="884"/>
      <c r="H18" s="876"/>
      <c r="I18" s="876"/>
    </row>
    <row r="19" spans="1:9" s="885" customFormat="1" ht="19.5" customHeight="1">
      <c r="A19" s="3263"/>
      <c r="B19" s="3263" t="s">
        <v>563</v>
      </c>
      <c r="C19" s="881" t="s">
        <v>564</v>
      </c>
      <c r="D19" s="882"/>
      <c r="E19" s="880">
        <v>0.9</v>
      </c>
      <c r="F19" s="883" t="s">
        <v>565</v>
      </c>
      <c r="G19" s="884"/>
      <c r="H19" s="876"/>
      <c r="I19" s="876"/>
    </row>
    <row r="20" spans="1:9" s="885" customFormat="1" ht="19.5" customHeight="1">
      <c r="A20" s="3263"/>
      <c r="B20" s="3263"/>
      <c r="C20" s="881" t="s">
        <v>566</v>
      </c>
      <c r="D20" s="882"/>
      <c r="E20" s="880">
        <v>1.1000000000000001</v>
      </c>
      <c r="F20" s="883" t="s">
        <v>567</v>
      </c>
      <c r="G20" s="884"/>
      <c r="H20" s="876"/>
      <c r="I20" s="876"/>
    </row>
    <row r="21" spans="1:9" s="885" customFormat="1" ht="19.5" customHeight="1">
      <c r="A21" s="3263"/>
      <c r="B21" s="3263"/>
      <c r="C21" s="881" t="s">
        <v>568</v>
      </c>
      <c r="D21" s="882"/>
      <c r="E21" s="880">
        <v>0.8</v>
      </c>
      <c r="F21" s="883" t="s">
        <v>569</v>
      </c>
      <c r="G21" s="884"/>
      <c r="H21" s="876"/>
      <c r="I21" s="876"/>
    </row>
    <row r="22" spans="1:9" s="885" customFormat="1" ht="19.5" customHeight="1">
      <c r="A22" s="3263"/>
      <c r="B22" s="3263"/>
      <c r="C22" s="881" t="s">
        <v>570</v>
      </c>
      <c r="D22" s="882"/>
      <c r="E22" s="880">
        <v>0.5</v>
      </c>
      <c r="F22" s="883"/>
      <c r="G22" s="884"/>
      <c r="H22" s="876"/>
      <c r="I22" s="876"/>
    </row>
    <row r="23" spans="1:9" s="885" customFormat="1" ht="19.5" customHeight="1">
      <c r="A23" s="3263" t="s">
        <v>184</v>
      </c>
      <c r="B23" s="880" t="s">
        <v>560</v>
      </c>
      <c r="C23" s="881" t="s">
        <v>571</v>
      </c>
      <c r="D23" s="882"/>
      <c r="E23" s="880">
        <v>1</v>
      </c>
      <c r="F23" s="883" t="s">
        <v>572</v>
      </c>
      <c r="G23" s="884"/>
      <c r="H23" s="876"/>
      <c r="I23" s="876"/>
    </row>
    <row r="24" spans="1:9" s="885" customFormat="1" ht="19.5" customHeight="1">
      <c r="A24" s="3263"/>
      <c r="B24" s="3263" t="s">
        <v>563</v>
      </c>
      <c r="C24" s="881" t="s">
        <v>573</v>
      </c>
      <c r="D24" s="882"/>
      <c r="E24" s="880">
        <v>0.5</v>
      </c>
      <c r="F24" s="883"/>
      <c r="G24" s="884"/>
      <c r="H24" s="876"/>
      <c r="I24" s="876"/>
    </row>
    <row r="25" spans="1:9" s="885" customFormat="1" ht="19.5" customHeight="1">
      <c r="A25" s="3263"/>
      <c r="B25" s="3263"/>
      <c r="C25" s="881" t="s">
        <v>574</v>
      </c>
      <c r="D25" s="882"/>
      <c r="E25" s="880">
        <v>1.1000000000000001</v>
      </c>
      <c r="F25" s="883"/>
      <c r="G25" s="884"/>
      <c r="H25" s="876"/>
      <c r="I25" s="876"/>
    </row>
    <row r="26" spans="1:9" s="885" customFormat="1" ht="19.5" customHeight="1">
      <c r="A26" s="3263"/>
      <c r="B26" s="3263"/>
      <c r="C26" s="881" t="s">
        <v>575</v>
      </c>
      <c r="D26" s="882"/>
      <c r="E26" s="880">
        <v>1.1000000000000001</v>
      </c>
      <c r="F26" s="883"/>
      <c r="G26" s="884"/>
      <c r="H26" s="876"/>
      <c r="I26" s="876"/>
    </row>
    <row r="27" spans="1:9" s="885" customFormat="1" ht="19.5" customHeight="1">
      <c r="A27" s="3263"/>
      <c r="B27" s="3263"/>
      <c r="C27" s="881" t="s">
        <v>576</v>
      </c>
      <c r="D27" s="882"/>
      <c r="E27" s="880">
        <v>0.9</v>
      </c>
      <c r="F27" s="883" t="s">
        <v>577</v>
      </c>
      <c r="G27" s="884"/>
      <c r="H27" s="876"/>
      <c r="I27" s="876"/>
    </row>
    <row r="28" spans="1:9" s="885" customFormat="1" ht="19.5" customHeight="1">
      <c r="A28" s="3263"/>
      <c r="B28" s="3263"/>
      <c r="C28" s="881" t="s">
        <v>578</v>
      </c>
      <c r="D28" s="882"/>
      <c r="E28" s="880">
        <v>0.9</v>
      </c>
      <c r="F28" s="883" t="s">
        <v>579</v>
      </c>
      <c r="G28" s="884"/>
      <c r="H28" s="876"/>
      <c r="I28" s="876"/>
    </row>
    <row r="29" spans="1:9" s="885" customFormat="1" ht="19.5" customHeight="1">
      <c r="A29" s="3263"/>
      <c r="B29" s="3263"/>
      <c r="C29" s="881" t="s">
        <v>580</v>
      </c>
      <c r="D29" s="882"/>
      <c r="E29" s="880">
        <v>0.9</v>
      </c>
      <c r="F29" s="883" t="s">
        <v>581</v>
      </c>
      <c r="G29" s="884"/>
      <c r="H29" s="876"/>
      <c r="I29" s="876"/>
    </row>
    <row r="30" spans="1:9" s="885" customFormat="1" ht="19.5" customHeight="1">
      <c r="A30" s="3263"/>
      <c r="B30" s="3263"/>
      <c r="C30" s="881" t="s">
        <v>582</v>
      </c>
      <c r="D30" s="882"/>
      <c r="E30" s="880">
        <v>0.9</v>
      </c>
      <c r="F30" s="883" t="s">
        <v>583</v>
      </c>
      <c r="G30" s="884"/>
      <c r="H30" s="876"/>
      <c r="I30" s="876"/>
    </row>
    <row r="31" spans="1:9" s="885" customFormat="1" ht="19.5" customHeight="1">
      <c r="A31" s="3263"/>
      <c r="B31" s="3263"/>
      <c r="C31" s="881" t="s">
        <v>584</v>
      </c>
      <c r="D31" s="882"/>
      <c r="E31" s="880">
        <v>0.8</v>
      </c>
      <c r="F31" s="883" t="s">
        <v>585</v>
      </c>
      <c r="G31" s="884"/>
      <c r="H31" s="876"/>
      <c r="I31" s="876"/>
    </row>
    <row r="32" spans="1:9" s="885" customFormat="1" ht="19.5" customHeight="1">
      <c r="A32" s="3263"/>
      <c r="B32" s="3263"/>
      <c r="C32" s="881" t="s">
        <v>586</v>
      </c>
      <c r="D32" s="882"/>
      <c r="E32" s="880">
        <v>0.8</v>
      </c>
      <c r="F32" s="883" t="s">
        <v>587</v>
      </c>
      <c r="G32" s="884"/>
      <c r="H32" s="876"/>
      <c r="I32" s="876"/>
    </row>
    <row r="33" spans="1:9" s="885" customFormat="1" ht="19.5" customHeight="1">
      <c r="A33" s="3263" t="s">
        <v>185</v>
      </c>
      <c r="B33" s="880" t="s">
        <v>560</v>
      </c>
      <c r="C33" s="881" t="s">
        <v>588</v>
      </c>
      <c r="D33" s="882"/>
      <c r="E33" s="880">
        <v>1</v>
      </c>
      <c r="F33" s="883" t="s">
        <v>589</v>
      </c>
      <c r="G33" s="884"/>
      <c r="H33" s="876"/>
      <c r="I33" s="876"/>
    </row>
    <row r="34" spans="1:9" s="885" customFormat="1" ht="19.5" customHeight="1">
      <c r="A34" s="3263"/>
      <c r="B34" s="880" t="s">
        <v>563</v>
      </c>
      <c r="C34" s="881" t="s">
        <v>590</v>
      </c>
      <c r="D34" s="882"/>
      <c r="E34" s="880">
        <v>1.5</v>
      </c>
      <c r="F34" s="883" t="s">
        <v>591</v>
      </c>
      <c r="G34" s="884"/>
      <c r="H34" s="876"/>
      <c r="I34" s="876"/>
    </row>
    <row r="35" spans="1:9" s="885" customFormat="1" ht="19.5" customHeight="1">
      <c r="A35" s="3263" t="s">
        <v>186</v>
      </c>
      <c r="B35" s="880" t="s">
        <v>560</v>
      </c>
      <c r="C35" s="881" t="s">
        <v>592</v>
      </c>
      <c r="D35" s="882"/>
      <c r="E35" s="880">
        <v>1</v>
      </c>
      <c r="F35" s="883" t="s">
        <v>593</v>
      </c>
      <c r="G35" s="884"/>
      <c r="H35" s="876"/>
      <c r="I35" s="876"/>
    </row>
    <row r="36" spans="1:9" s="885" customFormat="1" ht="19.5" customHeight="1">
      <c r="A36" s="3263"/>
      <c r="B36" s="3263" t="s">
        <v>563</v>
      </c>
      <c r="C36" s="881" t="s">
        <v>594</v>
      </c>
      <c r="D36" s="882"/>
      <c r="E36" s="880">
        <v>1</v>
      </c>
      <c r="F36" s="883" t="s">
        <v>595</v>
      </c>
      <c r="G36" s="884"/>
      <c r="H36" s="876"/>
      <c r="I36" s="876"/>
    </row>
    <row r="37" spans="1:9" s="885" customFormat="1" ht="19.5" customHeight="1">
      <c r="A37" s="3263"/>
      <c r="B37" s="3263"/>
      <c r="C37" s="881" t="s">
        <v>596</v>
      </c>
      <c r="D37" s="882"/>
      <c r="E37" s="880">
        <v>1.5</v>
      </c>
      <c r="F37" s="883" t="s">
        <v>597</v>
      </c>
      <c r="G37" s="884"/>
      <c r="H37" s="876"/>
      <c r="I37" s="876"/>
    </row>
    <row r="38" spans="1:9" s="885" customFormat="1" ht="19.5" customHeight="1">
      <c r="A38" s="3263"/>
      <c r="B38" s="3263"/>
      <c r="C38" s="881" t="s">
        <v>598</v>
      </c>
      <c r="D38" s="882"/>
      <c r="E38" s="880">
        <v>1</v>
      </c>
      <c r="F38" s="883" t="s">
        <v>599</v>
      </c>
      <c r="G38" s="884"/>
      <c r="H38" s="876"/>
      <c r="I38" s="876"/>
    </row>
    <row r="39" spans="1:9" s="885" customFormat="1" ht="19.5" customHeight="1">
      <c r="A39" s="3263"/>
      <c r="B39" s="326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3" t="s">
        <v>614</v>
      </c>
      <c r="C61" s="816" t="s">
        <v>615</v>
      </c>
      <c r="D61" s="816" t="s">
        <v>616</v>
      </c>
      <c r="E61" s="893">
        <v>0.5</v>
      </c>
      <c r="F61" s="880">
        <v>80</v>
      </c>
    </row>
    <row r="62" spans="1:8" s="876" customFormat="1" ht="24">
      <c r="A62" s="880">
        <v>2</v>
      </c>
      <c r="B62" s="3263"/>
      <c r="C62" s="816" t="s">
        <v>617</v>
      </c>
      <c r="D62" s="816" t="s">
        <v>618</v>
      </c>
      <c r="E62" s="893">
        <v>0.5</v>
      </c>
      <c r="F62" s="880">
        <v>80</v>
      </c>
    </row>
    <row r="63" spans="1:8" s="876" customFormat="1" ht="36">
      <c r="A63" s="880">
        <v>3</v>
      </c>
      <c r="B63" s="3263"/>
      <c r="C63" s="816" t="s">
        <v>619</v>
      </c>
      <c r="D63" s="816" t="s">
        <v>620</v>
      </c>
      <c r="E63" s="893">
        <v>0.5</v>
      </c>
      <c r="F63" s="880">
        <v>80</v>
      </c>
    </row>
    <row r="64" spans="1:8" s="876" customFormat="1" ht="36">
      <c r="A64" s="880">
        <v>4</v>
      </c>
      <c r="B64" s="3263"/>
      <c r="C64" s="816" t="s">
        <v>621</v>
      </c>
      <c r="D64" s="816" t="s">
        <v>622</v>
      </c>
      <c r="E64" s="893">
        <v>0.4</v>
      </c>
      <c r="F64" s="880">
        <v>60</v>
      </c>
    </row>
    <row r="65" spans="1:6" s="876" customFormat="1" ht="36">
      <c r="A65" s="880">
        <v>5</v>
      </c>
      <c r="B65" s="3263"/>
      <c r="C65" s="816" t="s">
        <v>623</v>
      </c>
      <c r="D65" s="816" t="s">
        <v>624</v>
      </c>
      <c r="E65" s="893">
        <v>0.2</v>
      </c>
      <c r="F65" s="880">
        <v>30</v>
      </c>
    </row>
    <row r="66" spans="1:6" s="876" customFormat="1" ht="36">
      <c r="A66" s="880">
        <v>6</v>
      </c>
      <c r="B66" s="3263"/>
      <c r="C66" s="816" t="s">
        <v>625</v>
      </c>
      <c r="D66" s="816" t="s">
        <v>626</v>
      </c>
      <c r="E66" s="893">
        <v>0.3</v>
      </c>
      <c r="F66" s="880">
        <v>50</v>
      </c>
    </row>
    <row r="67" spans="1:6" s="876" customFormat="1" ht="36">
      <c r="A67" s="880">
        <v>7</v>
      </c>
      <c r="B67" s="3263"/>
      <c r="C67" s="816" t="s">
        <v>627</v>
      </c>
      <c r="D67" s="816" t="s">
        <v>628</v>
      </c>
      <c r="E67" s="893">
        <v>0.2</v>
      </c>
      <c r="F67" s="880">
        <v>30</v>
      </c>
    </row>
    <row r="68" spans="1:6" s="876" customFormat="1" ht="36">
      <c r="A68" s="880">
        <v>8</v>
      </c>
      <c r="B68" s="3263"/>
      <c r="C68" s="816" t="s">
        <v>629</v>
      </c>
      <c r="D68" s="816" t="s">
        <v>630</v>
      </c>
      <c r="E68" s="893">
        <v>0.2</v>
      </c>
      <c r="F68" s="880">
        <v>30</v>
      </c>
    </row>
    <row r="69" spans="1:6" s="876" customFormat="1" ht="36">
      <c r="A69" s="880">
        <v>9</v>
      </c>
      <c r="B69" s="3263"/>
      <c r="C69" s="816" t="s">
        <v>631</v>
      </c>
      <c r="D69" s="816" t="s">
        <v>632</v>
      </c>
      <c r="E69" s="893">
        <v>0.2</v>
      </c>
      <c r="F69" s="880">
        <v>30</v>
      </c>
    </row>
    <row r="70" spans="1:6" s="876" customFormat="1" ht="48">
      <c r="A70" s="880">
        <v>10</v>
      </c>
      <c r="B70" s="3263"/>
      <c r="C70" s="816" t="s">
        <v>633</v>
      </c>
      <c r="D70" s="816" t="s">
        <v>634</v>
      </c>
      <c r="E70" s="893">
        <v>0.2</v>
      </c>
      <c r="F70" s="880">
        <v>30</v>
      </c>
    </row>
    <row r="71" spans="1:6" s="876" customFormat="1" ht="48">
      <c r="A71" s="880">
        <v>11</v>
      </c>
      <c r="B71" s="3263"/>
      <c r="C71" s="816" t="s">
        <v>635</v>
      </c>
      <c r="D71" s="816" t="s">
        <v>636</v>
      </c>
      <c r="E71" s="893">
        <v>0.2</v>
      </c>
      <c r="F71" s="880">
        <v>30</v>
      </c>
    </row>
    <row r="72" spans="1:6" s="876" customFormat="1" ht="36">
      <c r="A72" s="880">
        <v>12</v>
      </c>
      <c r="B72" s="3263"/>
      <c r="C72" s="816" t="s">
        <v>637</v>
      </c>
      <c r="D72" s="816" t="s">
        <v>638</v>
      </c>
      <c r="E72" s="893">
        <v>0.5</v>
      </c>
      <c r="F72" s="880">
        <v>80</v>
      </c>
    </row>
    <row r="73" spans="1:6" s="876" customFormat="1" ht="24">
      <c r="A73" s="880">
        <v>13</v>
      </c>
      <c r="B73" s="3263"/>
      <c r="C73" s="816" t="s">
        <v>639</v>
      </c>
      <c r="D73" s="816" t="s">
        <v>640</v>
      </c>
      <c r="E73" s="893">
        <v>0.4</v>
      </c>
      <c r="F73" s="880">
        <v>60</v>
      </c>
    </row>
    <row r="74" spans="1:6" s="876" customFormat="1" ht="24">
      <c r="A74" s="880">
        <v>14</v>
      </c>
      <c r="B74" s="3263"/>
      <c r="C74" s="816" t="s">
        <v>641</v>
      </c>
      <c r="D74" s="816" t="s">
        <v>642</v>
      </c>
      <c r="E74" s="893">
        <v>0.2</v>
      </c>
      <c r="F74" s="880">
        <v>30</v>
      </c>
    </row>
    <row r="75" spans="1:6" s="876" customFormat="1" ht="24">
      <c r="A75" s="880">
        <v>15</v>
      </c>
      <c r="B75" s="3263"/>
      <c r="C75" s="816" t="s">
        <v>643</v>
      </c>
      <c r="D75" s="816" t="s">
        <v>644</v>
      </c>
      <c r="E75" s="893">
        <v>0.2</v>
      </c>
      <c r="F75" s="880">
        <v>30</v>
      </c>
    </row>
    <row r="76" spans="1:6" s="876" customFormat="1" ht="24">
      <c r="A76" s="880">
        <v>16</v>
      </c>
      <c r="B76" s="3263" t="s">
        <v>645</v>
      </c>
      <c r="C76" s="816" t="s">
        <v>646</v>
      </c>
      <c r="D76" s="816" t="s">
        <v>647</v>
      </c>
      <c r="E76" s="893">
        <v>0.5</v>
      </c>
      <c r="F76" s="880">
        <v>80</v>
      </c>
    </row>
    <row r="77" spans="1:6" s="876" customFormat="1" ht="24">
      <c r="A77" s="880">
        <v>17</v>
      </c>
      <c r="B77" s="3263"/>
      <c r="C77" s="816" t="s">
        <v>648</v>
      </c>
      <c r="D77" s="816" t="s">
        <v>649</v>
      </c>
      <c r="E77" s="893">
        <v>0.5</v>
      </c>
      <c r="F77" s="880">
        <v>80</v>
      </c>
    </row>
    <row r="78" spans="1:6" s="876" customFormat="1" ht="24">
      <c r="A78" s="880">
        <v>18</v>
      </c>
      <c r="B78" s="3263"/>
      <c r="C78" s="816" t="s">
        <v>650</v>
      </c>
      <c r="D78" s="816" t="s">
        <v>651</v>
      </c>
      <c r="E78" s="893">
        <v>0.2</v>
      </c>
      <c r="F78" s="880">
        <v>30</v>
      </c>
    </row>
    <row r="79" spans="1:6" s="876" customFormat="1" ht="24">
      <c r="A79" s="880">
        <v>19</v>
      </c>
      <c r="B79" s="3263"/>
      <c r="C79" s="816" t="s">
        <v>652</v>
      </c>
      <c r="D79" s="816" t="s">
        <v>653</v>
      </c>
      <c r="E79" s="893">
        <v>0.5</v>
      </c>
      <c r="F79" s="880">
        <v>80</v>
      </c>
    </row>
    <row r="80" spans="1:6" s="876" customFormat="1" ht="36">
      <c r="A80" s="880">
        <v>20</v>
      </c>
      <c r="B80" s="3263"/>
      <c r="C80" s="816" t="s">
        <v>654</v>
      </c>
      <c r="D80" s="816" t="s">
        <v>655</v>
      </c>
      <c r="E80" s="893">
        <v>0.2</v>
      </c>
      <c r="F80" s="880">
        <v>30</v>
      </c>
    </row>
    <row r="81" spans="1:6" s="876" customFormat="1" ht="36">
      <c r="A81" s="880">
        <v>21</v>
      </c>
      <c r="B81" s="3263"/>
      <c r="C81" s="816" t="s">
        <v>656</v>
      </c>
      <c r="D81" s="816" t="s">
        <v>657</v>
      </c>
      <c r="E81" s="893">
        <v>0.2</v>
      </c>
      <c r="F81" s="880">
        <v>30</v>
      </c>
    </row>
    <row r="82" spans="1:6" s="876" customFormat="1" ht="48">
      <c r="A82" s="880">
        <v>22</v>
      </c>
      <c r="B82" s="3263"/>
      <c r="C82" s="816" t="s">
        <v>658</v>
      </c>
      <c r="D82" s="816" t="s">
        <v>659</v>
      </c>
      <c r="E82" s="893">
        <v>0.2</v>
      </c>
      <c r="F82" s="880">
        <v>30</v>
      </c>
    </row>
    <row r="83" spans="1:6" s="876" customFormat="1" ht="48">
      <c r="A83" s="880">
        <v>23</v>
      </c>
      <c r="B83" s="3263"/>
      <c r="C83" s="816" t="s">
        <v>660</v>
      </c>
      <c r="D83" s="816" t="s">
        <v>661</v>
      </c>
      <c r="E83" s="893">
        <v>0.2</v>
      </c>
      <c r="F83" s="880">
        <v>30</v>
      </c>
    </row>
    <row r="84" spans="1:6" s="876" customFormat="1" ht="36">
      <c r="A84" s="880">
        <v>24</v>
      </c>
      <c r="B84" s="3263"/>
      <c r="C84" s="816" t="s">
        <v>662</v>
      </c>
      <c r="D84" s="816" t="s">
        <v>663</v>
      </c>
      <c r="E84" s="893">
        <v>0.2</v>
      </c>
      <c r="F84" s="880">
        <v>30</v>
      </c>
    </row>
    <row r="85" spans="1:6" s="876" customFormat="1" ht="36">
      <c r="A85" s="880">
        <v>25</v>
      </c>
      <c r="B85" s="3263"/>
      <c r="C85" s="816" t="s">
        <v>664</v>
      </c>
      <c r="D85" s="816" t="s">
        <v>665</v>
      </c>
      <c r="E85" s="893">
        <v>0.5</v>
      </c>
      <c r="F85" s="880">
        <v>80</v>
      </c>
    </row>
    <row r="86" spans="1:6" s="876" customFormat="1" ht="36">
      <c r="A86" s="880">
        <v>26</v>
      </c>
      <c r="B86" s="3263"/>
      <c r="C86" s="816" t="s">
        <v>666</v>
      </c>
      <c r="D86" s="816" t="s">
        <v>667</v>
      </c>
      <c r="E86" s="893">
        <v>0.2</v>
      </c>
      <c r="F86" s="880">
        <v>30</v>
      </c>
    </row>
    <row r="87" spans="1:6" s="876" customFormat="1" ht="36">
      <c r="A87" s="880">
        <v>27</v>
      </c>
      <c r="B87" s="3263"/>
      <c r="C87" s="816" t="s">
        <v>668</v>
      </c>
      <c r="D87" s="816" t="s">
        <v>669</v>
      </c>
      <c r="E87" s="893">
        <v>0.2</v>
      </c>
      <c r="F87" s="880">
        <v>30</v>
      </c>
    </row>
    <row r="88" spans="1:6" s="876" customFormat="1" ht="36">
      <c r="A88" s="880">
        <v>28</v>
      </c>
      <c r="B88" s="3263"/>
      <c r="C88" s="816" t="s">
        <v>670</v>
      </c>
      <c r="D88" s="816" t="s">
        <v>671</v>
      </c>
      <c r="E88" s="893">
        <v>0.2</v>
      </c>
      <c r="F88" s="880">
        <v>30</v>
      </c>
    </row>
    <row r="89" spans="1:6" s="876" customFormat="1" ht="24">
      <c r="A89" s="880">
        <v>29</v>
      </c>
      <c r="B89" s="3263"/>
      <c r="C89" s="816" t="s">
        <v>672</v>
      </c>
      <c r="D89" s="816" t="s">
        <v>673</v>
      </c>
      <c r="E89" s="893">
        <v>0.2</v>
      </c>
      <c r="F89" s="880">
        <v>30</v>
      </c>
    </row>
    <row r="90" spans="1:6" s="876" customFormat="1" ht="24">
      <c r="A90" s="880">
        <v>30</v>
      </c>
      <c r="B90" s="3263"/>
      <c r="C90" s="816" t="s">
        <v>674</v>
      </c>
      <c r="D90" s="816" t="s">
        <v>675</v>
      </c>
      <c r="E90" s="893">
        <v>0.2</v>
      </c>
      <c r="F90" s="880">
        <v>30</v>
      </c>
    </row>
    <row r="91" spans="1:6" s="876" customFormat="1" ht="36">
      <c r="A91" s="880">
        <v>31</v>
      </c>
      <c r="B91" s="3263"/>
      <c r="C91" s="816" t="s">
        <v>676</v>
      </c>
      <c r="D91" s="816" t="s">
        <v>677</v>
      </c>
      <c r="E91" s="893">
        <v>0.2</v>
      </c>
      <c r="F91" s="880">
        <v>30</v>
      </c>
    </row>
    <row r="92" spans="1:6" s="876" customFormat="1" ht="24">
      <c r="A92" s="880">
        <v>32</v>
      </c>
      <c r="B92" s="3263" t="s">
        <v>678</v>
      </c>
      <c r="C92" s="880" t="s">
        <v>679</v>
      </c>
      <c r="D92" s="816" t="s">
        <v>680</v>
      </c>
      <c r="E92" s="893">
        <v>0.2</v>
      </c>
      <c r="F92" s="880">
        <v>30</v>
      </c>
    </row>
    <row r="93" spans="1:6" s="876" customFormat="1" ht="36">
      <c r="A93" s="880">
        <v>33</v>
      </c>
      <c r="B93" s="3263"/>
      <c r="C93" s="880" t="s">
        <v>681</v>
      </c>
      <c r="D93" s="816" t="s">
        <v>682</v>
      </c>
      <c r="E93" s="893">
        <v>0.2</v>
      </c>
      <c r="F93" s="880">
        <v>30</v>
      </c>
    </row>
    <row r="94" spans="1:6" s="876" customFormat="1" ht="48">
      <c r="A94" s="880">
        <v>34</v>
      </c>
      <c r="B94" s="3263"/>
      <c r="C94" s="880" t="s">
        <v>683</v>
      </c>
      <c r="D94" s="816" t="s">
        <v>684</v>
      </c>
      <c r="E94" s="893">
        <v>0.2</v>
      </c>
      <c r="F94" s="880">
        <v>30</v>
      </c>
    </row>
    <row r="95" spans="1:6" s="876" customFormat="1" ht="36">
      <c r="A95" s="880">
        <v>35</v>
      </c>
      <c r="B95" s="3263"/>
      <c r="C95" s="880" t="s">
        <v>685</v>
      </c>
      <c r="D95" s="816" t="s">
        <v>686</v>
      </c>
      <c r="E95" s="893">
        <v>0.2</v>
      </c>
      <c r="F95" s="880">
        <v>30</v>
      </c>
    </row>
    <row r="96" spans="1:6" s="876" customFormat="1" ht="48">
      <c r="A96" s="880">
        <v>36</v>
      </c>
      <c r="B96" s="3263"/>
      <c r="C96" s="816" t="s">
        <v>687</v>
      </c>
      <c r="D96" s="816" t="s">
        <v>688</v>
      </c>
      <c r="E96" s="893">
        <v>0.2</v>
      </c>
      <c r="F96" s="880">
        <v>30</v>
      </c>
    </row>
    <row r="97" spans="1:6" s="876" customFormat="1" ht="36">
      <c r="A97" s="880">
        <v>37</v>
      </c>
      <c r="B97" s="3263"/>
      <c r="C97" s="880" t="s">
        <v>689</v>
      </c>
      <c r="D97" s="816" t="s">
        <v>690</v>
      </c>
      <c r="E97" s="893">
        <v>0.2</v>
      </c>
      <c r="F97" s="880">
        <v>30</v>
      </c>
    </row>
    <row r="98" spans="1:6" s="876" customFormat="1" ht="36">
      <c r="A98" s="880">
        <v>38</v>
      </c>
      <c r="B98" s="3263"/>
      <c r="C98" s="880" t="s">
        <v>691</v>
      </c>
      <c r="D98" s="816" t="s">
        <v>692</v>
      </c>
      <c r="E98" s="893">
        <v>0.2</v>
      </c>
      <c r="F98" s="880">
        <v>30</v>
      </c>
    </row>
    <row r="99" spans="1:6" s="876" customFormat="1" ht="36">
      <c r="A99" s="880">
        <v>39</v>
      </c>
      <c r="B99" s="3263" t="s">
        <v>693</v>
      </c>
      <c r="C99" s="880" t="s">
        <v>694</v>
      </c>
      <c r="D99" s="816" t="s">
        <v>695</v>
      </c>
      <c r="E99" s="893">
        <v>0.3</v>
      </c>
      <c r="F99" s="880">
        <v>50</v>
      </c>
    </row>
    <row r="100" spans="1:6" s="876" customFormat="1" ht="24">
      <c r="A100" s="880">
        <v>40</v>
      </c>
      <c r="B100" s="3263"/>
      <c r="C100" s="880" t="s">
        <v>696</v>
      </c>
      <c r="D100" s="816" t="s">
        <v>697</v>
      </c>
      <c r="E100" s="893">
        <v>0.2</v>
      </c>
      <c r="F100" s="880">
        <v>30</v>
      </c>
    </row>
    <row r="101" spans="1:6" s="876" customFormat="1" ht="36">
      <c r="A101" s="880">
        <v>41</v>
      </c>
      <c r="B101" s="326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3" t="s">
        <v>708</v>
      </c>
      <c r="C105" s="880" t="s">
        <v>709</v>
      </c>
      <c r="D105" s="816" t="s">
        <v>710</v>
      </c>
      <c r="E105" s="893">
        <v>0.2</v>
      </c>
      <c r="F105" s="880">
        <v>30</v>
      </c>
    </row>
    <row r="106" spans="1:6" s="876" customFormat="1" ht="36">
      <c r="A106" s="880">
        <v>46</v>
      </c>
      <c r="B106" s="3263"/>
      <c r="C106" s="880" t="s">
        <v>711</v>
      </c>
      <c r="D106" s="816" t="s">
        <v>712</v>
      </c>
      <c r="E106" s="893">
        <v>0.2</v>
      </c>
      <c r="F106" s="880">
        <v>30</v>
      </c>
    </row>
    <row r="107" spans="1:6" s="876" customFormat="1" ht="36">
      <c r="A107" s="880">
        <v>47</v>
      </c>
      <c r="B107" s="3263" t="s">
        <v>713</v>
      </c>
      <c r="C107" s="880" t="s">
        <v>714</v>
      </c>
      <c r="D107" s="816" t="s">
        <v>715</v>
      </c>
      <c r="E107" s="893">
        <v>0.3</v>
      </c>
      <c r="F107" s="880">
        <v>50</v>
      </c>
    </row>
    <row r="108" spans="1:6" s="876" customFormat="1" ht="36">
      <c r="A108" s="880">
        <v>48</v>
      </c>
      <c r="B108" s="326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3" t="s">
        <v>724</v>
      </c>
      <c r="C111" s="880" t="s">
        <v>725</v>
      </c>
      <c r="D111" s="816" t="s">
        <v>726</v>
      </c>
      <c r="E111" s="893">
        <v>0.2</v>
      </c>
      <c r="F111" s="880">
        <v>30</v>
      </c>
    </row>
    <row r="112" spans="1:6" s="876" customFormat="1" ht="24">
      <c r="A112" s="880">
        <v>52</v>
      </c>
      <c r="B112" s="3263"/>
      <c r="C112" s="880" t="s">
        <v>727</v>
      </c>
      <c r="D112" s="816" t="s">
        <v>728</v>
      </c>
      <c r="E112" s="893">
        <v>0.2</v>
      </c>
      <c r="F112" s="880">
        <v>30</v>
      </c>
    </row>
    <row r="113" spans="1:6" s="876" customFormat="1" ht="24">
      <c r="A113" s="880">
        <v>53</v>
      </c>
      <c r="B113" s="326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3" t="s">
        <v>737</v>
      </c>
      <c r="C116" s="880" t="s">
        <v>738</v>
      </c>
      <c r="D116" s="816" t="s">
        <v>739</v>
      </c>
      <c r="E116" s="893">
        <v>0.2</v>
      </c>
      <c r="F116" s="880">
        <v>30</v>
      </c>
    </row>
    <row r="117" spans="1:6" ht="36">
      <c r="A117" s="880">
        <v>57</v>
      </c>
      <c r="B117" s="326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2988</v>
      </c>
    </row>
    <row r="2" spans="1:5" ht="15.75">
      <c r="A2" s="2908" t="s">
        <v>2980</v>
      </c>
      <c r="B2" s="2909" t="e">
        <f ca="1">SUMIF(B6:B13,"&lt;&gt;#ref!",B6:B13)</f>
        <v>#DIV/0!</v>
      </c>
      <c r="C2" s="2908" t="s">
        <v>2981</v>
      </c>
      <c r="D2" s="2908" t="s">
        <v>2982</v>
      </c>
      <c r="E2" s="2909" t="e">
        <f ca="1">SUM(E6:E13)</f>
        <v>#REF!</v>
      </c>
    </row>
    <row r="3" spans="1:5" ht="15.75">
      <c r="A3" s="2908" t="s">
        <v>2983</v>
      </c>
      <c r="B3" s="2909" t="e">
        <f ca="1">ROUND(B2*10000/E2,0)</f>
        <v>#DIV/0!</v>
      </c>
      <c r="C3" s="2908" t="s">
        <v>2989</v>
      </c>
      <c r="D3" s="2910"/>
      <c r="E3" s="2910"/>
    </row>
    <row r="4" spans="1:5" ht="15.75">
      <c r="A4" s="2911"/>
      <c r="B4" s="2910"/>
      <c r="C4" s="2910"/>
      <c r="D4" s="2910"/>
      <c r="E4" s="2910"/>
    </row>
    <row r="5" spans="1:5" ht="28.5">
      <c r="A5" s="2912" t="s">
        <v>2984</v>
      </c>
      <c r="B5" s="2908" t="s">
        <v>2985</v>
      </c>
      <c r="C5" s="2909"/>
      <c r="D5" s="2910"/>
      <c r="E5" s="2908" t="s">
        <v>2986</v>
      </c>
    </row>
    <row r="6" spans="1:5" ht="15.75">
      <c r="A6" s="2913" t="s">
        <v>2987</v>
      </c>
      <c r="B6" s="2909" t="e">
        <f ca="1">SUMIF(INDIRECT("'"&amp;A6&amp;"'"&amp;"!A:A"),"总价",INDIRECT("'"&amp;A6&amp;"'"&amp;"!B:B"))</f>
        <v>#DIV/0!</v>
      </c>
      <c r="C6" s="2908" t="s">
        <v>2981</v>
      </c>
      <c r="D6" s="2910"/>
      <c r="E6" s="2576">
        <f ca="1">SUMIF(INDIRECT("'"&amp;A6&amp;"'"&amp;"!C:C"),"建筑面积",INDIRECT("'"&amp;A6&amp;"'"&amp;"!D:D"))</f>
        <v>0</v>
      </c>
    </row>
    <row r="7" spans="1:5" ht="15.75">
      <c r="A7" s="2913"/>
      <c r="B7" s="2909" t="e">
        <f ca="1">SUMIF(INDIRECT("'"&amp;A7&amp;"'"&amp;"!A:A"),"总价",INDIRECT("'"&amp;A7&amp;"'"&amp;"!B:B"))</f>
        <v>#REF!</v>
      </c>
      <c r="C7" s="2908" t="s">
        <v>2981</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2981</v>
      </c>
      <c r="D8" s="2910"/>
      <c r="E8" s="2576" t="e">
        <f t="shared" ca="1" si="0"/>
        <v>#REF!</v>
      </c>
    </row>
    <row r="9" spans="1:5" ht="15.75">
      <c r="A9" s="2913"/>
      <c r="B9" s="2909" t="e">
        <f t="shared" ca="1" si="1"/>
        <v>#REF!</v>
      </c>
      <c r="C9" s="2908" t="s">
        <v>2981</v>
      </c>
      <c r="D9" s="2910"/>
      <c r="E9" s="2576" t="e">
        <f t="shared" ca="1" si="0"/>
        <v>#REF!</v>
      </c>
    </row>
    <row r="10" spans="1:5" ht="15.75">
      <c r="A10" s="2913"/>
      <c r="B10" s="2909" t="e">
        <f t="shared" ca="1" si="1"/>
        <v>#REF!</v>
      </c>
      <c r="C10" s="2908" t="s">
        <v>2981</v>
      </c>
      <c r="D10" s="2910"/>
      <c r="E10" s="2576" t="e">
        <f t="shared" ca="1" si="0"/>
        <v>#REF!</v>
      </c>
    </row>
    <row r="11" spans="1:5" ht="15.75">
      <c r="A11" s="2913"/>
      <c r="B11" s="2909" t="e">
        <f t="shared" ca="1" si="1"/>
        <v>#REF!</v>
      </c>
      <c r="C11" s="2908" t="s">
        <v>2981</v>
      </c>
      <c r="D11" s="2910"/>
      <c r="E11" s="2576" t="e">
        <f t="shared" ca="1" si="0"/>
        <v>#REF!</v>
      </c>
    </row>
    <row r="12" spans="1:5" ht="15.75">
      <c r="A12" s="2913"/>
      <c r="B12" s="2909" t="e">
        <f t="shared" ca="1" si="1"/>
        <v>#REF!</v>
      </c>
      <c r="C12" s="2908" t="s">
        <v>2981</v>
      </c>
      <c r="D12" s="2910"/>
      <c r="E12" s="2576" t="e">
        <f t="shared" ca="1" si="0"/>
        <v>#REF!</v>
      </c>
    </row>
    <row r="13" spans="1:5" ht="15.75">
      <c r="A13" s="2913"/>
      <c r="B13" s="2909" t="e">
        <f t="shared" ca="1" si="1"/>
        <v>#REF!</v>
      </c>
      <c r="C13" s="2908" t="s">
        <v>2981</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69" t="s">
        <v>1150</v>
      </c>
      <c r="C1" s="3269"/>
      <c r="D1" s="3269"/>
      <c r="E1" s="3269"/>
      <c r="F1" s="3269"/>
      <c r="G1" s="3268" t="s">
        <v>1151</v>
      </c>
      <c r="H1" s="3268"/>
      <c r="I1" s="3268"/>
      <c r="J1" s="3268"/>
      <c r="K1" s="3268"/>
      <c r="L1" s="3268"/>
      <c r="N1" s="3268" t="s">
        <v>1152</v>
      </c>
      <c r="O1" s="3268"/>
      <c r="P1" s="3268"/>
      <c r="Q1" s="3268"/>
      <c r="R1" s="1446"/>
      <c r="S1" s="3268" t="s">
        <v>1153</v>
      </c>
      <c r="T1" s="3268"/>
      <c r="U1" s="3268"/>
      <c r="V1" s="3268"/>
      <c r="X1" s="3267" t="s">
        <v>1154</v>
      </c>
      <c r="Y1" s="3268"/>
      <c r="Z1" s="3268"/>
      <c r="AA1" s="3268"/>
      <c r="AB1" s="3268"/>
      <c r="AD1" s="3267" t="s">
        <v>1155</v>
      </c>
      <c r="AE1" s="3268"/>
      <c r="AF1" s="3268"/>
      <c r="AG1" s="3268"/>
      <c r="AH1" s="3268"/>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3019</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3017</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3018</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270">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65"/>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65"/>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66"/>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64">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65"/>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65"/>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66"/>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64">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65"/>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65"/>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66"/>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71">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72"/>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72"/>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73"/>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64">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65"/>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65"/>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66"/>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64">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65">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65">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66">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64">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65">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65">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66">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64">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65">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65">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66">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64">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65">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65">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66">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64">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65">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65">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66">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64">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65">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65">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66">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64">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65">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65">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66">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64">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65">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65">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66">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64">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65">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65">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66">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64">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65">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65">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66">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2"/>
      <c r="B4" s="2958" t="s">
        <v>1632</v>
      </c>
      <c r="C4" s="2958"/>
      <c r="D4" s="2958"/>
      <c r="E4" s="1962"/>
    </row>
    <row r="5" spans="1:5" ht="16.5" thickTop="1">
      <c r="A5" s="1960"/>
      <c r="B5" s="2956" t="s">
        <v>1624</v>
      </c>
      <c r="C5" s="1963" t="s">
        <v>1625</v>
      </c>
      <c r="D5" s="1041">
        <f ca="1">结果表!H101</f>
        <v>9531</v>
      </c>
      <c r="E5" s="1960"/>
    </row>
    <row r="6" spans="1:5" ht="15.75">
      <c r="A6" s="1960"/>
      <c r="B6" s="2956"/>
      <c r="C6" s="1963" t="s">
        <v>1626</v>
      </c>
      <c r="D6" s="1041" t="str">
        <f ca="1">NUMBERSTRING(INT(D5*10000),2)&amp;"元整"</f>
        <v>玖仟伍佰叁拾壹万元整</v>
      </c>
      <c r="E6" s="1960"/>
    </row>
    <row r="7" spans="1:5" ht="15.75">
      <c r="A7" s="1960"/>
      <c r="B7" s="2961"/>
      <c r="C7" s="1964" t="s">
        <v>1627</v>
      </c>
      <c r="D7" s="1042">
        <f ca="1">结果表!H102</f>
        <v>22991</v>
      </c>
      <c r="E7" s="1960"/>
    </row>
    <row r="8" spans="1:5" ht="15.75">
      <c r="A8" s="1960"/>
      <c r="B8" s="2962" t="str">
        <f>结果表!E103</f>
        <v>2.估价师知悉的除抵押担保权以外的法定优先受偿款</v>
      </c>
      <c r="C8" s="1965" t="s">
        <v>1628</v>
      </c>
      <c r="D8" s="1042">
        <f>结果表!H103</f>
        <v>0</v>
      </c>
      <c r="E8" s="1960"/>
    </row>
    <row r="9" spans="1:5" ht="15.75">
      <c r="A9" s="1960"/>
      <c r="B9" s="2964"/>
      <c r="C9" s="1963" t="s">
        <v>1626</v>
      </c>
      <c r="D9" s="1041" t="str">
        <f>NUMBERSTRING(INT(D8*10000),2)&amp;"元整"</f>
        <v>零元整</v>
      </c>
      <c r="E9" s="1960"/>
    </row>
    <row r="10" spans="1:5" ht="15">
      <c r="A10" s="1960"/>
      <c r="B10" s="1966" t="s">
        <v>1631</v>
      </c>
      <c r="C10" s="1967" t="s">
        <v>1629</v>
      </c>
      <c r="D10" s="1043">
        <f>结果表!H104</f>
        <v>8000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2955" t="str">
        <f>结果表!E107</f>
        <v>——</v>
      </c>
      <c r="C13" s="1968" t="s">
        <v>1625</v>
      </c>
      <c r="D13" s="1044" t="str">
        <f>结果表!H107</f>
        <v>——</v>
      </c>
      <c r="E13" s="1960"/>
    </row>
    <row r="14" spans="1:5" ht="15.75">
      <c r="A14" s="1960"/>
      <c r="B14" s="2956"/>
      <c r="C14" s="1963" t="s">
        <v>1626</v>
      </c>
      <c r="D14" s="1041" t="e">
        <f>NUMBERSTRING(INT(D13*10000),2)&amp;"元整"</f>
        <v>#VALUE!</v>
      </c>
      <c r="E14" s="1960"/>
    </row>
    <row r="15" spans="1:5" ht="15">
      <c r="A15" s="1960"/>
      <c r="B15" s="2961"/>
      <c r="C15" s="1964" t="s">
        <v>1636</v>
      </c>
      <c r="D15" s="1053" t="e">
        <f>结果表!H108</f>
        <v>#VALUE!</v>
      </c>
      <c r="E15" s="1960"/>
    </row>
    <row r="16" spans="1:5" ht="15">
      <c r="A16" s="1960"/>
      <c r="B16" s="2962" t="str">
        <f>结果表!E109</f>
        <v>3.抵押担保权已注销时的房地产抵押价值</v>
      </c>
      <c r="C16" s="1968" t="s">
        <v>1637</v>
      </c>
      <c r="D16" s="1969">
        <f ca="1">结果表!H109</f>
        <v>9531</v>
      </c>
      <c r="E16" s="1960"/>
    </row>
    <row r="17" spans="1:5" ht="15.75">
      <c r="A17" s="1960"/>
      <c r="B17" s="2963"/>
      <c r="C17" s="1963" t="s">
        <v>1638</v>
      </c>
      <c r="D17" s="1041" t="str">
        <f ca="1">NUMBERSTRING(INT(D16*10000),2)&amp;"元整"</f>
        <v>玖仟伍佰叁拾壹万元整</v>
      </c>
      <c r="E17" s="1960"/>
    </row>
    <row r="18" spans="1:5" ht="15">
      <c r="A18" s="1960"/>
      <c r="B18" s="2964"/>
      <c r="C18" s="1964" t="s">
        <v>1627</v>
      </c>
      <c r="D18" s="1053">
        <f ca="1">结果表!H110</f>
        <v>22991</v>
      </c>
      <c r="E18" s="1960"/>
    </row>
    <row r="19" spans="1:5" ht="15.75">
      <c r="A19" s="1960"/>
      <c r="B19" s="2955" t="str">
        <f>结果表!E111</f>
        <v>——</v>
      </c>
      <c r="C19" s="1968" t="s">
        <v>1625</v>
      </c>
      <c r="D19" s="1042" t="str">
        <f>结果表!H111</f>
        <v>——</v>
      </c>
      <c r="E19" s="1960"/>
    </row>
    <row r="20" spans="1:5" ht="15.75">
      <c r="A20" s="1960"/>
      <c r="B20" s="2956"/>
      <c r="C20" s="1963" t="s">
        <v>1638</v>
      </c>
      <c r="D20" s="1041" t="e">
        <f>NUMBERSTRING(INT(D19*10000),2)&amp;"元整"</f>
        <v>#VALUE!</v>
      </c>
      <c r="E20" s="1960"/>
    </row>
    <row r="21" spans="1:5" ht="15.75" thickBot="1">
      <c r="A21" s="1960"/>
      <c r="B21" s="2957"/>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29943</v>
      </c>
      <c r="C2" s="2" t="s">
        <v>133</v>
      </c>
      <c r="D2" s="243"/>
      <c r="E2" s="243"/>
      <c r="F2" s="243"/>
      <c r="G2" s="243"/>
    </row>
    <row r="3" spans="1:7" s="244" customFormat="1" ht="18" customHeight="1" thickBot="1">
      <c r="A3" s="247" t="s">
        <v>85</v>
      </c>
      <c r="B3" s="248">
        <f ca="1">ROUND(B2*10000/'数据-汇总表'!E3,0)</f>
        <v>72230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4145.53</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83</v>
      </c>
      <c r="D19" s="1037">
        <f>'数据-汇总表'!E3</f>
        <v>4145.53</v>
      </c>
      <c r="E19" s="255">
        <f>'数据-取费表'!B31</f>
        <v>200</v>
      </c>
      <c r="F19" s="275"/>
      <c r="G19" s="1" t="s">
        <v>1074</v>
      </c>
    </row>
    <row r="20" spans="1:7" s="258" customFormat="1" ht="13.5" customHeight="1">
      <c r="A20" s="949" t="s">
        <v>1057</v>
      </c>
      <c r="B20" s="254" t="s">
        <v>104</v>
      </c>
      <c r="C20" s="276">
        <f>ROUND((C5+C19)*F20,0)</f>
        <v>418</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918</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2" t="s">
        <v>794</v>
      </c>
      <c r="B23" s="259" t="s">
        <v>1061</v>
      </c>
      <c r="C23" s="1355">
        <f ca="1">ROUND(IF('数据-取费表'!B22&lt;=1,C5*F22*'数据-取费表'!B23,C5*(POWER((1+F22),'数据-取费表'!B23)-1)),0)</f>
        <v>905</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4</v>
      </c>
      <c r="D24" s="282"/>
      <c r="E24" s="282"/>
      <c r="F24" s="283"/>
      <c r="G24" s="284" t="s">
        <v>109</v>
      </c>
    </row>
    <row r="25" spans="1:7" s="258" customFormat="1" ht="24">
      <c r="A25" s="952" t="s">
        <v>793</v>
      </c>
      <c r="B25" s="259" t="s">
        <v>1058</v>
      </c>
      <c r="C25" s="1355">
        <f ca="1">ROUND(IF('数据-取费表'!B22&lt;=1,C20*F22*'数据-取费表'!B23/2,C20*(POWER((1+F22),'数据-取费表'!B23/2)-1)),0)</f>
        <v>9</v>
      </c>
      <c r="D25" s="282"/>
      <c r="E25" s="285"/>
      <c r="F25" s="283"/>
      <c r="G25" s="286" t="s">
        <v>110</v>
      </c>
    </row>
    <row r="26" spans="1:7" s="258" customFormat="1">
      <c r="A26" s="952" t="s">
        <v>795</v>
      </c>
      <c r="B26" s="259" t="s">
        <v>1060</v>
      </c>
      <c r="C26" s="282">
        <f ca="1">ROUND(IF('数据-取费表'!B22&lt;=1,F21*F22*'数据-取费表'!B23/2,F21*(POWER((1+F22),'数据-取费表'!B23/2)-1)),4)</f>
        <v>4.0000000000000002E-4</v>
      </c>
      <c r="D26" s="282"/>
      <c r="E26" s="285"/>
      <c r="F26" s="283"/>
      <c r="G26" s="287"/>
    </row>
    <row r="27" spans="1:7" s="258" customFormat="1" ht="24.75">
      <c r="A27" s="949" t="s">
        <v>787</v>
      </c>
      <c r="B27" s="288" t="s">
        <v>112</v>
      </c>
      <c r="C27" s="289">
        <f>C28</f>
        <v>4262</v>
      </c>
      <c r="D27" s="279">
        <f>C29</f>
        <v>4.0000000000000001E-3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4262</v>
      </c>
      <c r="D28" s="279"/>
      <c r="E28" s="280"/>
      <c r="F28" s="290"/>
      <c r="G28" s="291"/>
    </row>
    <row r="29" spans="1:7" s="258" customFormat="1" ht="13.5" customHeight="1">
      <c r="A29" s="952" t="s">
        <v>792</v>
      </c>
      <c r="B29" s="292" t="s">
        <v>1063</v>
      </c>
      <c r="C29" s="282">
        <f>ROUND(C21*F27*'数据-取费表'!B21/'数据-取费表'!B20,4)</f>
        <v>4.0000000000000001E-3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28724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949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829</v>
      </c>
      <c r="D34" s="261"/>
      <c r="E34" s="264"/>
      <c r="F34" s="301">
        <f>IF('数据-取费表'!B24=0,1,'数据-取费表'!N16)</f>
        <v>1</v>
      </c>
      <c r="G34" s="263" t="s">
        <v>116</v>
      </c>
    </row>
    <row r="35" spans="1:7" ht="13.5" customHeight="1">
      <c r="A35" s="952" t="s">
        <v>796</v>
      </c>
      <c r="B35" s="259" t="s">
        <v>60</v>
      </c>
      <c r="C35" s="264">
        <f>ROUND(C34*F35,0)</f>
        <v>25</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83</v>
      </c>
      <c r="D37" s="261">
        <f>'数据-汇总表'!E3</f>
        <v>4145.53</v>
      </c>
      <c r="E37" s="293">
        <f>'数据-取费表'!B35</f>
        <v>200</v>
      </c>
      <c r="F37" s="303"/>
      <c r="G37" s="305" t="s">
        <v>119</v>
      </c>
    </row>
    <row r="38" spans="1:7" ht="13.5" customHeight="1">
      <c r="A38" s="952" t="s">
        <v>799</v>
      </c>
      <c r="B38" s="259" t="s">
        <v>63</v>
      </c>
      <c r="C38" s="264">
        <f>ROUND(C34*F38,0)</f>
        <v>12</v>
      </c>
      <c r="D38" s="264"/>
      <c r="E38" s="264"/>
      <c r="F38" s="303">
        <f>'数据-取费表'!B36</f>
        <v>1.4999999999999999E-2</v>
      </c>
      <c r="G38" s="263" t="s">
        <v>117</v>
      </c>
    </row>
    <row r="39" spans="1:7" s="258" customFormat="1" ht="13.5" customHeight="1">
      <c r="A39" s="949" t="s">
        <v>783</v>
      </c>
      <c r="B39" s="254" t="s">
        <v>104</v>
      </c>
      <c r="C39" s="276">
        <f>ROUND(C33*F20,0)</f>
        <v>19</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21</v>
      </c>
      <c r="D41" s="279">
        <f ca="1">C44</f>
        <v>4.0000000000000002E-4</v>
      </c>
      <c r="E41" s="280" t="s">
        <v>129</v>
      </c>
      <c r="F41" s="281"/>
      <c r="G41" s="1289" t="str">
        <f>IF('数据-取费表'!B22&lt;=1,"单利计息","复利计息")</f>
        <v>单利计息</v>
      </c>
    </row>
    <row r="42" spans="1:7" ht="13.5" customHeight="1">
      <c r="A42" s="952" t="s">
        <v>794</v>
      </c>
      <c r="B42" s="259" t="s">
        <v>1061</v>
      </c>
      <c r="C42" s="282">
        <f ca="1">ROUND(IF('数据-取费表'!B22&lt;=1,C33*F22*'数据-取费表'!B21/2,C33*(POWER((1+F22),'数据-取费表'!B21/2)-1)),0)</f>
        <v>21</v>
      </c>
      <c r="D42" s="282"/>
      <c r="E42" s="282"/>
      <c r="F42" s="283"/>
      <c r="G42" s="3137" t="s">
        <v>121</v>
      </c>
    </row>
    <row r="43" spans="1:7" ht="13.5" customHeight="1">
      <c r="A43" s="952" t="s">
        <v>792</v>
      </c>
      <c r="B43" s="259" t="s">
        <v>1064</v>
      </c>
      <c r="C43" s="282">
        <f ca="1">ROUND(IF('数据-取费表'!B22&lt;=1,C39*F22*'数据-取费表'!B21/2,C39*(POWER((1+F22),'数据-取费表'!B21/2)-1)),0)</f>
        <v>0</v>
      </c>
      <c r="D43" s="282"/>
      <c r="E43" s="282"/>
      <c r="F43" s="283"/>
      <c r="G43" s="3138"/>
    </row>
    <row r="44" spans="1:7" ht="13.5" customHeight="1">
      <c r="A44" s="952" t="s">
        <v>793</v>
      </c>
      <c r="B44" s="259" t="s">
        <v>1066</v>
      </c>
      <c r="C44" s="282">
        <f ca="1">ROUND(IF('数据-取费表'!B22&lt;=1,C40*F22*'数据-取费表'!B21/2,C40*(POWER((1+F22),'数据-取费表'!B21/2)-1)),4)</f>
        <v>4.0000000000000002E-4</v>
      </c>
      <c r="D44" s="282"/>
      <c r="E44" s="282"/>
      <c r="F44" s="283"/>
      <c r="G44" s="3139"/>
    </row>
    <row r="45" spans="1:7" s="258" customFormat="1" ht="13.5" customHeight="1">
      <c r="A45" s="949" t="s">
        <v>786</v>
      </c>
      <c r="B45" s="288" t="s">
        <v>112</v>
      </c>
      <c r="C45" s="289">
        <f>C46</f>
        <v>194</v>
      </c>
      <c r="D45" s="279">
        <f>C47</f>
        <v>4.0000000000000001E-3</v>
      </c>
      <c r="E45" s="280" t="s">
        <v>129</v>
      </c>
      <c r="F45" s="290"/>
      <c r="G45" s="291" t="s">
        <v>1072</v>
      </c>
    </row>
    <row r="46" spans="1:7" s="258" customFormat="1" ht="13.5" customHeight="1">
      <c r="A46" s="952" t="s">
        <v>794</v>
      </c>
      <c r="B46" s="292" t="s">
        <v>1065</v>
      </c>
      <c r="C46" s="293">
        <f>ROUND((C33+C39)*F27,0)</f>
        <v>194</v>
      </c>
      <c r="D46" s="307"/>
      <c r="E46" s="280"/>
      <c r="F46" s="290"/>
      <c r="G46" s="291"/>
    </row>
    <row r="47" spans="1:7" s="258" customFormat="1" ht="13.5" customHeight="1">
      <c r="A47" s="952" t="s">
        <v>792</v>
      </c>
      <c r="B47" s="292" t="s">
        <v>1067</v>
      </c>
      <c r="C47" s="282">
        <f>ROUND(C40*F27,4)</f>
        <v>4.0000000000000001E-3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1283</v>
      </c>
      <c r="D49" s="276"/>
      <c r="E49" s="276"/>
      <c r="F49" s="308"/>
      <c r="G49" s="278" t="s">
        <v>1073</v>
      </c>
    </row>
    <row r="50" spans="1:7" s="302" customFormat="1" ht="24">
      <c r="A50" s="949" t="s">
        <v>789</v>
      </c>
      <c r="B50" s="254" t="s">
        <v>124</v>
      </c>
      <c r="C50" s="276"/>
      <c r="D50" s="276"/>
      <c r="E50" s="276"/>
      <c r="F50" s="308">
        <f>IF('数据-取费表'!B24=0,'数据-取费表'!N16,1)</f>
        <v>0.95</v>
      </c>
      <c r="G50" s="291" t="s">
        <v>125</v>
      </c>
    </row>
    <row r="51" spans="1:7" ht="16.5" customHeight="1">
      <c r="A51" s="949" t="s">
        <v>790</v>
      </c>
      <c r="B51" s="254" t="s">
        <v>132</v>
      </c>
      <c r="C51" s="276">
        <f ca="1">ROUND(C49*F50,0)</f>
        <v>1219</v>
      </c>
      <c r="D51" s="276"/>
      <c r="E51" s="276"/>
      <c r="F51" s="308"/>
      <c r="G51" s="278" t="s">
        <v>64</v>
      </c>
    </row>
    <row r="52" spans="1:7" s="252" customFormat="1" ht="16.5" thickBot="1">
      <c r="A52" s="309" t="s">
        <v>65</v>
      </c>
      <c r="B52" s="310"/>
      <c r="C52" s="311">
        <f ca="1">C31+C51</f>
        <v>29943</v>
      </c>
      <c r="D52" s="310"/>
      <c r="E52" s="310"/>
      <c r="F52" s="310"/>
      <c r="G52" s="312"/>
    </row>
    <row r="55" spans="1:7" ht="15">
      <c r="B55" s="314" t="s">
        <v>66</v>
      </c>
      <c r="C55" s="315"/>
    </row>
    <row r="56" spans="1:7">
      <c r="B56" s="317" t="s">
        <v>67</v>
      </c>
      <c r="C56" s="318">
        <f ca="1">ROUND(C51/C52,3)</f>
        <v>4.1000000000000002E-2</v>
      </c>
    </row>
    <row r="57" spans="1:7">
      <c r="B57" s="317" t="s">
        <v>68</v>
      </c>
      <c r="C57" s="319">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74" t="s">
        <v>156</v>
      </c>
      <c r="B1" s="3274"/>
      <c r="C1" s="3274"/>
      <c r="D1" s="3274"/>
      <c r="E1" s="3274"/>
      <c r="F1" s="327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75" t="s">
        <v>169</v>
      </c>
      <c r="B2" s="3275"/>
      <c r="C2" s="3275"/>
      <c r="D2" s="3275"/>
      <c r="E2" s="3275"/>
      <c r="F2" s="327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7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7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74" t="s">
        <v>871</v>
      </c>
      <c r="B1" s="327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1</v>
      </c>
      <c r="F1" s="1701" t="s">
        <v>1303</v>
      </c>
      <c r="G1" s="1697">
        <f ca="1">INDIRECT("d"&amp;$K$1)/100</f>
        <v>4.3499999999999997E-2</v>
      </c>
      <c r="H1" s="1701" t="s">
        <v>1333</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46" workbookViewId="0">
      <selection activeCell="L77" sqref="L77"/>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1643</v>
      </c>
      <c r="B2" s="2975" t="s">
        <v>1644</v>
      </c>
      <c r="C2" s="2975" t="s">
        <v>1645</v>
      </c>
      <c r="D2" s="2975" t="str">
        <f>结果表!D116</f>
        <v>出让国有建设用地使用权价值</v>
      </c>
      <c r="E2" s="2975"/>
      <c r="F2" s="2975" t="str">
        <f>结果表!F116</f>
        <v>建筑物价值</v>
      </c>
      <c r="G2" s="2975"/>
      <c r="H2" s="2975" t="str">
        <f>IF(项目基本情况!B9="房地产市场价值","房地产市场价值","房地产价值")</f>
        <v>房地产价值</v>
      </c>
      <c r="I2" s="2975"/>
    </row>
    <row r="3" spans="1:9" ht="15">
      <c r="A3" s="2969"/>
      <c r="B3" s="2969"/>
      <c r="C3" s="2969"/>
      <c r="D3" s="1045" t="s">
        <v>1640</v>
      </c>
      <c r="E3" s="1045" t="s">
        <v>1646</v>
      </c>
      <c r="F3" s="1045" t="s">
        <v>1640</v>
      </c>
      <c r="G3" s="1045" t="s">
        <v>1641</v>
      </c>
      <c r="H3" s="1045" t="s">
        <v>1640</v>
      </c>
      <c r="I3" s="1045" t="s">
        <v>1641</v>
      </c>
    </row>
    <row r="4" spans="1:9" ht="60">
      <c r="A4" s="1974" t="str">
        <f>项目基本情况!S2</f>
        <v>河北省廊坊市三河市燕郊开发区迎宾南路东侧、南城大街南侧天洋城4代商业·荷塘月色时尚街区S9号楼房地产</v>
      </c>
      <c r="B4" s="1045">
        <f>项目基本情况!C17</f>
        <v>4145.53</v>
      </c>
      <c r="C4" s="1045">
        <f>项目基本情况!C18</f>
        <v>6541.77</v>
      </c>
      <c r="D4" s="1045">
        <f ca="1">结果表!D118</f>
        <v>8312</v>
      </c>
      <c r="E4" s="1045">
        <f ca="1">结果表!E118</f>
        <v>20051</v>
      </c>
      <c r="F4" s="1045">
        <f ca="1">结果表!F118</f>
        <v>1219</v>
      </c>
      <c r="G4" s="1045">
        <f ca="1">结果表!G118</f>
        <v>2941</v>
      </c>
      <c r="H4" s="1045">
        <f ca="1">结果表!H118</f>
        <v>9531</v>
      </c>
      <c r="I4" s="1045">
        <f ca="1">结果表!I118</f>
        <v>22991</v>
      </c>
    </row>
    <row r="5" spans="1:9" ht="30" customHeight="1">
      <c r="A5" s="2969" t="s">
        <v>1642</v>
      </c>
      <c r="B5" s="2969"/>
      <c r="C5" s="2969"/>
      <c r="D5" s="2970" t="str">
        <f ca="1">结果表!D119</f>
        <v>捌仟叁佰壹拾贰万元整</v>
      </c>
      <c r="E5" s="2970"/>
      <c r="F5" s="2970" t="str">
        <f ca="1">结果表!F119</f>
        <v>壹仟贰佰壹拾玖万元整</v>
      </c>
      <c r="G5" s="2970"/>
      <c r="H5" s="2970" t="str">
        <f ca="1">结果表!H119</f>
        <v>玖仟伍佰叁拾壹万元整</v>
      </c>
      <c r="I5" s="2970"/>
    </row>
    <row r="6" spans="1:9" ht="15.75">
      <c r="A6" s="2968" t="str">
        <f>结果表!A120</f>
        <v>估价师知悉的除抵押担保权以外的法定优先受偿款</v>
      </c>
      <c r="B6" s="2968"/>
      <c r="C6" s="2968"/>
      <c r="D6" s="2968">
        <f>结果表!D120</f>
        <v>0</v>
      </c>
      <c r="E6" s="2968"/>
      <c r="F6" s="2968"/>
      <c r="G6" s="2968"/>
      <c r="H6" s="2968"/>
      <c r="I6" s="2968"/>
    </row>
    <row r="7" spans="1:9" ht="15">
      <c r="A7" s="2969" t="s">
        <v>1642</v>
      </c>
      <c r="B7" s="2969"/>
      <c r="C7" s="2969"/>
      <c r="D7" s="2971" t="str">
        <f>结果表!D121</f>
        <v>零元整</v>
      </c>
      <c r="E7" s="2972"/>
      <c r="F7" s="2972"/>
      <c r="G7" s="2972"/>
      <c r="H7" s="2972"/>
      <c r="I7" s="2973"/>
    </row>
    <row r="8" spans="1:9" ht="15.75">
      <c r="A8" s="2968" t="str">
        <f>结果表!A122</f>
        <v/>
      </c>
      <c r="B8" s="2968"/>
      <c r="C8" s="2968"/>
      <c r="D8" s="2968" t="str">
        <f>结果表!D122</f>
        <v>——</v>
      </c>
      <c r="E8" s="2968"/>
      <c r="F8" s="2968"/>
      <c r="G8" s="2968"/>
      <c r="H8" s="2968"/>
      <c r="I8" s="2968"/>
    </row>
    <row r="9" spans="1:9" ht="15">
      <c r="A9" s="2969" t="s">
        <v>1642</v>
      </c>
      <c r="B9" s="2969"/>
      <c r="C9" s="2969"/>
      <c r="D9" s="2970" t="e">
        <f>结果表!D123</f>
        <v>#VALUE!</v>
      </c>
      <c r="E9" s="2970"/>
      <c r="F9" s="2970"/>
      <c r="G9" s="2970"/>
      <c r="H9" s="2970"/>
      <c r="I9" s="2970"/>
    </row>
    <row r="10" spans="1:9" ht="15.75">
      <c r="A10" s="2968" t="str">
        <f>结果表!A124</f>
        <v>抵押担保权已注销时的房地产抵押价值</v>
      </c>
      <c r="B10" s="2968"/>
      <c r="C10" s="2968"/>
      <c r="D10" s="2968">
        <f ca="1">结果表!D124</f>
        <v>9531</v>
      </c>
      <c r="E10" s="2968"/>
      <c r="F10" s="2968"/>
      <c r="G10" s="2968"/>
      <c r="H10" s="2968"/>
      <c r="I10" s="2968"/>
    </row>
    <row r="11" spans="1:9" ht="15">
      <c r="A11" s="2969" t="s">
        <v>1642</v>
      </c>
      <c r="B11" s="2969"/>
      <c r="C11" s="2969"/>
      <c r="D11" s="2970" t="str">
        <f ca="1">结果表!D125</f>
        <v>玖仟伍佰叁拾壹万元整</v>
      </c>
      <c r="E11" s="2970"/>
      <c r="F11" s="2970"/>
      <c r="G11" s="2970"/>
      <c r="H11" s="2970"/>
      <c r="I11" s="2970"/>
    </row>
    <row r="12" spans="1:9" ht="15.75">
      <c r="A12" s="2968" t="str">
        <f>结果表!A126</f>
        <v/>
      </c>
      <c r="B12" s="2968"/>
      <c r="C12" s="2968"/>
      <c r="D12" s="2968" t="str">
        <f>结果表!D126</f>
        <v>——</v>
      </c>
      <c r="E12" s="2968"/>
      <c r="F12" s="2968"/>
      <c r="G12" s="2968"/>
      <c r="H12" s="2968"/>
      <c r="I12" s="2968"/>
    </row>
    <row r="13" spans="1:9" ht="15.75" thickBot="1">
      <c r="A13" s="2965" t="s">
        <v>1642</v>
      </c>
      <c r="B13" s="2965"/>
      <c r="C13" s="2965"/>
      <c r="D13" s="2966" t="e">
        <f>结果表!D127</f>
        <v>#VALUE!</v>
      </c>
      <c r="E13" s="2966"/>
      <c r="F13" s="2966"/>
      <c r="G13" s="2966"/>
      <c r="H13" s="2966"/>
      <c r="I13" s="2966"/>
    </row>
    <row r="14" spans="1:9" ht="15" thickTop="1">
      <c r="A14" s="2967" t="s">
        <v>1647</v>
      </c>
      <c r="B14" s="2967"/>
      <c r="C14" s="2967"/>
      <c r="D14" s="2967"/>
      <c r="E14" s="2967"/>
      <c r="F14" s="2967"/>
      <c r="G14" s="2967"/>
      <c r="H14" s="2967"/>
      <c r="I14" s="2967"/>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2" t="s">
        <v>1664</v>
      </c>
      <c r="B1" s="2982"/>
      <c r="C1" s="2982"/>
      <c r="D1" s="2982"/>
    </row>
    <row r="2" spans="1:4" ht="18">
      <c r="A2" s="2983" t="s">
        <v>1648</v>
      </c>
      <c r="B2" s="2983"/>
      <c r="C2" s="2983"/>
      <c r="D2" s="2983"/>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2983" t="s">
        <v>1654</v>
      </c>
      <c r="B6" s="2983"/>
      <c r="C6" s="2983"/>
      <c r="D6" s="2983"/>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2984" t="s">
        <v>1657</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6" t="str">
        <f>IF(项目基本情况!B8="抵押","4.本次评估估价师所知悉的法定优先受偿款情况说明如下：","——")</f>
        <v>4.本次评估估价师所知悉的法定优先受偿款情况说明如下：</v>
      </c>
      <c r="B14" s="2981"/>
      <c r="C14" s="2981"/>
      <c r="D14" s="2981"/>
    </row>
    <row r="15" spans="1:4" ht="42" customHeight="1">
      <c r="A15" s="2976" t="str">
        <f>IF(项目基本情况!B8="抵押","（1）"&amp;CONCATENATE(项目基本情况!L20,项目基本情况!L21,项目基本情况!L22),"——")</f>
        <v>（1）根据估价对象《房屋所有权证》复印件、《国有土地使用权》原件，截至价值时点，估价对象抵押权未见登记。</v>
      </c>
      <c r="B15" s="2976"/>
      <c r="C15" s="2976"/>
      <c r="D15" s="2976"/>
    </row>
    <row r="16" spans="1:4" ht="30" customHeight="1">
      <c r="A16" s="2978" t="s">
        <v>1658</v>
      </c>
      <c r="B16" s="2978"/>
      <c r="C16" s="2978"/>
      <c r="D16" s="2978"/>
    </row>
    <row r="17" spans="1:4" ht="144" customHeight="1">
      <c r="A17" s="2978" t="s">
        <v>1659</v>
      </c>
      <c r="B17" s="2978"/>
      <c r="C17" s="2978"/>
      <c r="D17" s="2978"/>
    </row>
    <row r="18" spans="1:4" ht="15.75" customHeight="1">
      <c r="A18" s="2976" t="str">
        <f>IF(项目基本情况!B8="抵押",结果表!K120,"——")</f>
        <v>故，本次评估不存在估价师知悉的除抵押担保权以外的法定优先受偿款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1660</v>
      </c>
      <c r="B22" s="2980"/>
      <c r="C22" s="2980"/>
      <c r="D22" s="2980"/>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2990" t="s">
        <v>1671</v>
      </c>
      <c r="B15" s="2985" t="s">
        <v>136</v>
      </c>
      <c r="C15" s="2986"/>
    </row>
    <row r="16" spans="1:7" ht="13.5">
      <c r="A16" s="2991"/>
      <c r="B16" s="2985" t="s">
        <v>69</v>
      </c>
      <c r="C16" s="2986"/>
    </row>
    <row r="17" spans="1:3" ht="13.5">
      <c r="A17" s="2991"/>
      <c r="B17" s="2988" t="s">
        <v>1672</v>
      </c>
      <c r="C17" s="2001" t="s">
        <v>1671</v>
      </c>
    </row>
    <row r="18" spans="1:3" ht="13.5">
      <c r="A18" s="2991"/>
      <c r="B18" s="2988"/>
      <c r="C18" s="2001" t="s">
        <v>1673</v>
      </c>
    </row>
    <row r="19" spans="1:3" ht="13.5">
      <c r="A19" s="2991"/>
      <c r="B19" s="2988"/>
      <c r="C19" s="2001" t="s">
        <v>1674</v>
      </c>
    </row>
    <row r="20" spans="1:3" ht="13.5">
      <c r="A20" s="2992"/>
      <c r="B20" s="2987" t="s">
        <v>1675</v>
      </c>
      <c r="C20" s="2986"/>
    </row>
    <row r="21" spans="1:3" ht="13.5">
      <c r="A21" s="2002" t="s">
        <v>1676</v>
      </c>
      <c r="B21" s="2003"/>
      <c r="C21" s="2004"/>
    </row>
    <row r="22" spans="1:3" ht="13.5">
      <c r="A22" s="2989" t="s">
        <v>1677</v>
      </c>
      <c r="B22" s="2987" t="s">
        <v>1678</v>
      </c>
      <c r="C22" s="2986"/>
    </row>
    <row r="23" spans="1:3" ht="13.5">
      <c r="A23" s="2989"/>
      <c r="B23" s="2987" t="s">
        <v>1679</v>
      </c>
      <c r="C23" s="2986"/>
    </row>
    <row r="24" spans="1:3" ht="13.5">
      <c r="A24" s="2989"/>
      <c r="B24" s="2987" t="s">
        <v>1680</v>
      </c>
      <c r="C24" s="2986"/>
    </row>
    <row r="25" spans="1:3" ht="13.5">
      <c r="A25" s="2989"/>
      <c r="B25" s="2988" t="s">
        <v>1681</v>
      </c>
      <c r="C25" s="2001" t="s">
        <v>1682</v>
      </c>
    </row>
    <row r="26" spans="1:3" ht="13.5">
      <c r="A26" s="2989"/>
      <c r="B26" s="2988"/>
      <c r="C26" s="2001" t="s">
        <v>1683</v>
      </c>
    </row>
    <row r="27" spans="1:3" ht="13.5">
      <c r="A27" s="2989"/>
      <c r="B27" s="2988"/>
      <c r="C27" s="2001" t="s">
        <v>1684</v>
      </c>
    </row>
    <row r="28" spans="1:3" ht="13.5">
      <c r="A28" s="2989"/>
      <c r="B28" s="2988"/>
      <c r="C28" s="2001" t="s">
        <v>1685</v>
      </c>
    </row>
    <row r="29" spans="1:3" ht="13.5">
      <c r="A29" s="2989"/>
      <c r="B29" s="2988"/>
      <c r="C29" s="2001" t="s">
        <v>1686</v>
      </c>
    </row>
    <row r="30" spans="1:3" ht="13.5">
      <c r="A30" s="2989"/>
      <c r="B30" s="2988"/>
      <c r="C30" s="2001" t="s">
        <v>1687</v>
      </c>
    </row>
    <row r="31" spans="1:3" ht="13.5">
      <c r="A31" s="2989"/>
      <c r="B31" s="2988"/>
      <c r="C31" s="2001" t="s">
        <v>1688</v>
      </c>
    </row>
    <row r="32" spans="1:3" ht="13.5">
      <c r="A32" s="2989"/>
      <c r="B32" s="2988"/>
      <c r="C32" s="2001" t="s">
        <v>1689</v>
      </c>
    </row>
    <row r="33" spans="1:3" ht="13.5">
      <c r="A33" s="2989"/>
      <c r="B33" s="2988"/>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43054</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2993" t="s">
        <v>846</v>
      </c>
      <c r="B25" s="2993"/>
      <c r="C25" s="2993"/>
      <c r="D25" s="2993"/>
      <c r="E25" s="2993"/>
      <c r="F25" s="2993"/>
      <c r="G25" s="2993"/>
    </row>
    <row r="26" spans="1:7" s="1026" customFormat="1" ht="24" customHeight="1">
      <c r="A26" s="2994" t="s">
        <v>847</v>
      </c>
      <c r="B26" s="2994"/>
      <c r="C26" s="2995"/>
      <c r="D26" s="2996" t="s">
        <v>848</v>
      </c>
      <c r="E26" s="2994"/>
      <c r="F26" s="2994"/>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2017-11-15T08:33:29Z</cp:lastPrinted>
  <dcterms:created xsi:type="dcterms:W3CDTF">2015-07-13T07:17:23Z</dcterms:created>
  <dcterms:modified xsi:type="dcterms:W3CDTF">2017-11-15T11:47:29Z</dcterms:modified>
</cp:coreProperties>
</file>