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
    </mc:Choice>
  </mc:AlternateContent>
  <xr:revisionPtr revIDLastSave="0" documentId="13_ncr:1_{AEDB4BB7-0FCD-46E1-8DF4-E2605499D637}" xr6:coauthVersionLast="45" xr6:coauthVersionMax="45"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滑石道"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G10" i="74"/>
  <c r="M32" i="81" l="1"/>
  <c r="M33" i="81" l="1"/>
  <c r="E48" i="34" l="1"/>
  <c r="G48" i="34"/>
  <c r="I48" i="34"/>
  <c r="I5" i="34"/>
  <c r="G5" i="34"/>
  <c r="E5" i="34"/>
  <c r="I34" i="34"/>
  <c r="G34" i="34"/>
  <c r="E34" i="34"/>
  <c r="I8" i="81"/>
  <c r="I5" i="8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U9" i="79"/>
  <c r="V9" i="79"/>
  <c r="W9" i="79"/>
  <c r="S10" i="79"/>
  <c r="T10" i="79"/>
  <c r="W10" i="79" s="1"/>
  <c r="U10" i="79"/>
  <c r="V10" i="79"/>
  <c r="S11" i="79"/>
  <c r="T11" i="79"/>
  <c r="U11" i="79"/>
  <c r="V11" i="79"/>
  <c r="W11" i="79"/>
  <c r="S12" i="79"/>
  <c r="T12" i="79"/>
  <c r="W12" i="79" s="1"/>
  <c r="U12" i="79"/>
  <c r="V12" i="79"/>
  <c r="S13" i="79"/>
  <c r="T13" i="79"/>
  <c r="U13" i="79"/>
  <c r="V13" i="79"/>
  <c r="W13" i="79"/>
  <c r="S14" i="79"/>
  <c r="T14" i="79"/>
  <c r="W14" i="79" s="1"/>
  <c r="U14" i="79"/>
  <c r="V14" i="79"/>
  <c r="S15" i="79"/>
  <c r="T15" i="79"/>
  <c r="U15" i="79"/>
  <c r="V15" i="79"/>
  <c r="W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C21" i="81"/>
  <c r="E19" i="81" s="1"/>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H9" i="81"/>
  <c r="H10" i="81"/>
  <c r="H12" i="81"/>
  <c r="C18" i="81"/>
  <c r="C22" i="81"/>
  <c r="E24" i="81"/>
  <c r="E28" i="81"/>
  <c r="E25" i="81"/>
  <c r="O19" i="81"/>
  <c r="O20" i="81"/>
  <c r="F19" i="81"/>
  <c r="F16" i="81"/>
  <c r="E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s="1"/>
  <c r="C21" i="20"/>
  <c r="B99" i="43" s="1"/>
  <c r="C24" i="20"/>
  <c r="B97" i="43" s="1"/>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E93" i="43"/>
  <c r="B91" i="43"/>
  <c r="N1" i="43"/>
  <c r="N5" i="43"/>
  <c r="F93" i="43"/>
  <c r="H97" i="43" s="1"/>
  <c r="N10" i="43"/>
  <c r="M9" i="43"/>
  <c r="G18" i="43"/>
  <c r="E17" i="43" s="1"/>
  <c r="P25" i="79"/>
  <c r="P30" i="79"/>
  <c r="P32" i="79"/>
  <c r="P34" i="79"/>
  <c r="P29" i="79"/>
  <c r="P31" i="79"/>
  <c r="P33" i="79"/>
  <c r="P35" i="79"/>
  <c r="E25" i="78"/>
  <c r="E24" i="78"/>
  <c r="F23" i="78"/>
  <c r="F24" i="78"/>
  <c r="F25" i="78"/>
  <c r="E23" i="78"/>
  <c r="E22" i="78"/>
  <c r="G22" i="78"/>
  <c r="F12" i="78"/>
  <c r="F11" i="78"/>
  <c r="C15" i="78"/>
  <c r="C18" i="78"/>
  <c r="D6" i="78"/>
  <c r="D5" i="78"/>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B12" i="76"/>
  <c r="AO7" i="1"/>
  <c r="D5" i="73"/>
  <c r="J15" i="15"/>
  <c r="D2" i="82"/>
  <c r="F43" i="15"/>
  <c r="D2" i="36"/>
  <c r="M21" i="15"/>
  <c r="E8" i="76"/>
  <c r="AO13" i="1"/>
  <c r="F13" i="67"/>
  <c r="E9" i="76"/>
  <c r="B10" i="76"/>
  <c r="F37" i="67"/>
  <c r="F43" i="67"/>
  <c r="F42" i="15"/>
  <c r="F26" i="15"/>
  <c r="F20" i="31"/>
  <c r="M22" i="67"/>
  <c r="F16" i="67"/>
  <c r="M24" i="15"/>
  <c r="L48" i="67"/>
  <c r="F38" i="15"/>
  <c r="E2" i="69"/>
  <c r="B8" i="76"/>
  <c r="E12" i="76"/>
  <c r="M8" i="67"/>
  <c r="M28" i="67"/>
  <c r="F42" i="67"/>
  <c r="F3" i="73"/>
  <c r="D2" i="34"/>
  <c r="F36" i="67"/>
  <c r="D2" i="21"/>
  <c r="D7" i="73"/>
  <c r="F37" i="15"/>
  <c r="AO6" i="1"/>
  <c r="E10" i="76"/>
  <c r="M22" i="15"/>
  <c r="L48" i="15"/>
  <c r="L47" i="67"/>
  <c r="F7" i="15"/>
  <c r="M23" i="15"/>
  <c r="B7" i="76"/>
  <c r="C76" i="15"/>
  <c r="M8" i="15"/>
  <c r="B13" i="76"/>
  <c r="F41" i="67"/>
  <c r="AO12" i="1"/>
  <c r="F6" i="73"/>
  <c r="D19" i="9"/>
  <c r="F8" i="67"/>
  <c r="F40" i="67"/>
  <c r="M6" i="15"/>
  <c r="M24" i="67"/>
  <c r="F7" i="67"/>
  <c r="D4" i="73"/>
  <c r="M21" i="67"/>
  <c r="F35" i="15"/>
  <c r="E13" i="76"/>
  <c r="D34" i="9"/>
  <c r="F9" i="15"/>
  <c r="E11" i="76"/>
  <c r="M9" i="15"/>
  <c r="J15" i="67"/>
  <c r="D2" i="35"/>
  <c r="F36" i="15"/>
  <c r="M9" i="67"/>
  <c r="F6" i="15"/>
  <c r="F4" i="73"/>
  <c r="AO11" i="1"/>
  <c r="D35" i="9"/>
  <c r="L47" i="15"/>
  <c r="F8" i="15"/>
  <c r="M23" i="67"/>
  <c r="F6" i="67"/>
  <c r="M29" i="67"/>
  <c r="F16" i="15"/>
  <c r="D3" i="73"/>
  <c r="F5" i="73"/>
  <c r="C19" i="9"/>
  <c r="B11" i="76"/>
  <c r="E7" i="76"/>
  <c r="AO8" i="1"/>
  <c r="D20" i="9"/>
  <c r="F7" i="73"/>
  <c r="F38" i="67"/>
  <c r="M29" i="15"/>
  <c r="M28" i="15"/>
  <c r="M26" i="15"/>
  <c r="D2" i="33"/>
  <c r="E2" i="68"/>
  <c r="F9" i="67"/>
  <c r="F35" i="67"/>
  <c r="D2" i="37"/>
  <c r="M27" i="67"/>
  <c r="AO9" i="1"/>
  <c r="F40" i="15"/>
  <c r="M6" i="67"/>
  <c r="M26" i="67"/>
  <c r="M27" i="15"/>
  <c r="F13" i="15"/>
  <c r="B9" i="76"/>
  <c r="D6" i="73"/>
  <c r="C76" i="67"/>
  <c r="F41" i="15"/>
  <c r="F26" i="67"/>
  <c r="AO10" i="1"/>
  <c r="C20" i="9"/>
  <c r="C23" i="43" l="1"/>
  <c r="AC35" i="34"/>
  <c r="S35" i="34"/>
  <c r="H101" i="43"/>
  <c r="E21" i="43"/>
  <c r="F37" i="43"/>
  <c r="H95" i="43"/>
  <c r="L21" i="43"/>
  <c r="C27" i="43"/>
  <c r="I3" i="81"/>
  <c r="C8" i="81" s="1"/>
  <c r="C12" i="81" s="1"/>
  <c r="D33" i="43"/>
  <c r="D1" i="43" s="1"/>
  <c r="C34" i="34"/>
  <c r="F19" i="34"/>
  <c r="AA19" i="34" s="1"/>
  <c r="J19" i="34"/>
  <c r="G82" i="34"/>
  <c r="H19" i="34"/>
  <c r="AB19" i="34" s="1"/>
  <c r="F126" i="34"/>
  <c r="G126" i="34" s="1"/>
  <c r="F44" i="34"/>
  <c r="AA44" i="34" s="1"/>
  <c r="J44" i="34"/>
  <c r="H44" i="34"/>
  <c r="S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H62" i="43" s="1"/>
  <c r="N6" i="43"/>
  <c r="N11" i="43"/>
  <c r="M5" i="43"/>
  <c r="M4" i="43"/>
  <c r="M3" i="43"/>
  <c r="M2" i="43"/>
  <c r="F42" i="43"/>
  <c r="F40" i="43"/>
  <c r="F38" i="43"/>
  <c r="H116" i="43"/>
  <c r="N21" i="43"/>
  <c r="S4" i="43"/>
  <c r="N12" i="43"/>
  <c r="C5" i="43"/>
  <c r="H99" i="43"/>
  <c r="H93" i="43"/>
  <c r="H94" i="43"/>
  <c r="H65"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K20" i="6"/>
  <c r="M20" i="6" s="1"/>
  <c r="I20" i="6" s="1"/>
  <c r="S20" i="6" s="1"/>
  <c r="K23" i="6"/>
  <c r="M23" i="6" s="1"/>
  <c r="I23" i="6" s="1"/>
  <c r="S23"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4" i="15"/>
  <c r="G1" i="73"/>
  <c r="C16" i="15"/>
  <c r="C17" i="15"/>
  <c r="C16" i="67"/>
  <c r="C14" i="67"/>
  <c r="C17" i="67"/>
  <c r="U19" i="34" l="1"/>
  <c r="H69" i="43"/>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AZ14" i="3"/>
  <c r="K14" i="1"/>
  <c r="E30" i="6"/>
  <c r="C38" i="43"/>
  <c r="G38" i="43" s="1"/>
  <c r="I38" i="43" s="1"/>
  <c r="T13" i="43"/>
  <c r="V13" i="43" s="1"/>
  <c r="T5" i="43"/>
  <c r="V5" i="43" s="1"/>
  <c r="C41" i="43"/>
  <c r="E41" i="43" s="1"/>
  <c r="C42" i="43"/>
  <c r="E42" i="43" s="1"/>
  <c r="G41" i="43"/>
  <c r="I41"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C20" i="81" s="1"/>
  <c r="C19" i="81" s="1"/>
  <c r="AC10" i="40"/>
  <c r="S10" i="40"/>
  <c r="S6" i="1"/>
  <c r="M19" i="6"/>
  <c r="K27" i="6"/>
  <c r="E14" i="6"/>
  <c r="E13" i="6"/>
  <c r="E8" i="6"/>
  <c r="E12" i="6"/>
  <c r="E15" i="6"/>
  <c r="E11" i="6"/>
  <c r="E10" i="6"/>
  <c r="F27" i="69"/>
  <c r="F27" i="11"/>
  <c r="F27" i="68"/>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E38" i="43" l="1"/>
  <c r="G42" i="43"/>
  <c r="I42" i="43" s="1"/>
  <c r="AA34" i="34"/>
  <c r="S34" i="34"/>
  <c r="AB34" i="34"/>
  <c r="U34" i="34"/>
  <c r="AC34" i="34"/>
  <c r="W34" i="34"/>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F50" i="11" s="1"/>
  <c r="K16" i="1"/>
  <c r="C34" i="69"/>
  <c r="AB10" i="40"/>
  <c r="C7" i="69"/>
  <c r="E33" i="43"/>
  <c r="R49" i="82"/>
  <c r="C19" i="15"/>
  <c r="C20" i="15" s="1"/>
  <c r="D116" i="43"/>
  <c r="F50" i="69"/>
  <c r="F50" i="68"/>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G39" i="43" l="1"/>
  <c r="I39" i="43" s="1"/>
  <c r="E37" i="43"/>
  <c r="G37" i="43"/>
  <c r="I37" i="43" s="1"/>
  <c r="C30" i="43"/>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B2" i="43"/>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B6" i="76"/>
  <c r="C31" i="43" l="1"/>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E6" i="76"/>
  <c r="E2" i="76" l="1"/>
  <c r="B3" i="76" s="1"/>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67"/>
  <c r="L51" i="15"/>
  <c r="U7" i="40" l="1"/>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6" i="15" s="1"/>
  <c r="Q68" i="15"/>
  <c r="C80" i="15"/>
  <c r="C79" i="15" s="1"/>
  <c r="C40" i="67"/>
  <c r="C45" i="67" s="1"/>
  <c r="C46" i="67" s="1"/>
  <c r="C80" i="67"/>
  <c r="C79" i="67" s="1"/>
  <c r="Q67" i="15"/>
  <c r="L57" i="15"/>
  <c r="L60" i="15" s="1"/>
  <c r="Q67" i="67"/>
  <c r="L57" i="67"/>
  <c r="L60" i="67" s="1"/>
  <c r="F7" i="39" l="1"/>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Q66"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J9" i="81"/>
  <c r="E10" i="74" l="1"/>
  <c r="B10" i="74" s="1"/>
  <c r="D14" i="74" s="1"/>
  <c r="B5" i="74" s="1"/>
  <c r="D5" i="74" s="1"/>
  <c r="M31" i="81"/>
  <c r="G37" i="81"/>
  <c r="J10" i="81"/>
  <c r="E38" i="81"/>
  <c r="E39" i="81" s="1"/>
  <c r="C38" i="81"/>
  <c r="C39" i="81" s="1"/>
  <c r="E14" i="74" l="1"/>
  <c r="F14" i="74"/>
  <c r="C86" i="9" l="1"/>
  <c r="C93" i="9"/>
  <c r="B51" i="72"/>
  <c r="F4" i="52"/>
  <c r="M55" i="9"/>
  <c r="D59" i="9"/>
  <c r="B47" i="72"/>
  <c r="D4" i="52"/>
  <c r="B49" i="72"/>
  <c r="D5" i="52"/>
  <c r="D118" i="9"/>
  <c r="D119" i="9"/>
  <c r="B32" i="72"/>
  <c r="D14" i="53"/>
  <c r="B21" i="72"/>
  <c r="D7" i="53"/>
  <c r="M48" i="9"/>
  <c r="E81" i="9"/>
  <c r="E80" i="9"/>
  <c r="C80" i="9"/>
  <c r="D54" i="9"/>
  <c r="C64" i="9"/>
  <c r="C63" i="9"/>
  <c r="C67" i="9"/>
  <c r="C68" i="9"/>
  <c r="C73" i="9"/>
  <c r="C78" i="9"/>
  <c r="B52" i="72"/>
  <c r="G4" i="52"/>
  <c r="B22" i="72"/>
  <c r="D6" i="53"/>
  <c r="H4" i="52"/>
  <c r="C104" i="9"/>
  <c r="M54" i="9"/>
  <c r="C97" i="9"/>
  <c r="D58" i="9"/>
  <c r="D56" i="9"/>
  <c r="B31" i="72"/>
  <c r="D15" i="53"/>
  <c r="B48" i="72"/>
  <c r="E118" i="9"/>
  <c r="E4" i="52"/>
  <c r="E97" i="9"/>
  <c r="E96" i="9"/>
  <c r="C85" i="9"/>
  <c r="C95" i="9"/>
  <c r="C96" i="9"/>
  <c r="D9" i="52"/>
  <c r="D123" i="9"/>
  <c r="C72" i="9"/>
  <c r="C79" i="9"/>
  <c r="C81" i="9"/>
  <c r="I4" i="52"/>
  <c r="C105" i="9"/>
  <c r="N60" i="9"/>
  <c r="N59" i="9"/>
  <c r="N61" i="9"/>
  <c r="H102" i="9"/>
  <c r="C5" i="74"/>
  <c r="D5" i="53"/>
  <c r="B20" i="72"/>
  <c r="H119" i="9"/>
  <c r="H5" i="52"/>
  <c r="D13" i="53"/>
  <c r="B30" i="72"/>
  <c r="D52" i="9"/>
  <c r="D53" i="9"/>
  <c r="H108" i="9"/>
  <c r="C6" i="74"/>
  <c r="N58" i="9"/>
  <c r="D45" i="9"/>
  <c r="D55" i="9"/>
  <c r="M53" i="9"/>
  <c r="N57" i="9"/>
  <c r="P57" i="9"/>
  <c r="I118" i="9"/>
  <c r="H118" i="9"/>
  <c r="H101" i="9"/>
  <c r="H107" i="9"/>
  <c r="D122" i="9"/>
  <c r="D8" i="5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<sst xmlns="http://schemas.openxmlformats.org/spreadsheetml/2006/main" count="9024" uniqueCount="3632">
  <si>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</si>
  <si>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</si>
  <si>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</si>
  <si>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</si>
  <si>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</si>
  <si>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</si>
  <si>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</si>
  <si>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</si>
  <si>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</si>
  <si>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</si>
  <si>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</si>
  <si>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</si>
  <si>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</si>
  <si>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</si>
  <si>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</si>
  <si>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</si>
  <si>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</si>
  <si>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</si>
  <si>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</si>
  <si>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</si>
  <si>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</si>
  <si>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</si>
  <si>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</si>
  <si>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</si>
  <si>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</si>
  <si>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</si>
  <si>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</si>
  <si>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</si>
  <si>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</si>
  <si>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</si>
  <si>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</si>
  <si>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</si>
  <si>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</si>
  <si>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</si>
  <si>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</si>
  <si>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</si>
  <si>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</si>
  <si>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</si>
  <si>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</si>
  <si>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</si>
  <si>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</si>
  <si>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</si>
  <si>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</si>
  <si>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</si>
  <si>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</si>
  <si>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</si>
  <si>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</si>
  <si>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</si>
  <si>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</si>
  <si>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</si>
  <si>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</si>
  <si>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</si>
  <si>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</si>
  <si>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</si>
  <si>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</si>
  <si>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</si>
  <si>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</si>
  <si>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</si>
  <si>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</si>
  <si>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</si>
  <si>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</si>
  <si>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</si>
  <si>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</si>
  <si>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</si>
  <si>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</si>
  <si>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</si>
  <si>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</si>
  <si>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</si>
  <si>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</si>
  <si>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</si>
  <si>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</si>
  <si>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</si>
  <si>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</si>
  <si>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</si>
  <si>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</si>
  <si>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</si>
  <si>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</si>
  <si>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</si>
  <si>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</si>
  <si>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</si>
  <si>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</si>
  <si>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</si>
  <si>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</si>
  <si>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</si>
  <si>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</si>
  <si>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</si>
  <si>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</si>
  <si>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</si>
  <si>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</si>
  <si>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</si>
  <si>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</si>
  <si>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</si>
  <si>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</si>
  <si>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</si>
  <si>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</si>
  <si>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</si>
  <si>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</si>
  <si>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</si>
  <si>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</si>
  <si>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</si>
  <si>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</si>
  <si>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</si>
  <si>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</si>
  <si>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</si>
  <si>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</si>
  <si>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</si>
  <si>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</si>
  <si>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</si>
  <si>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</si>
  <si>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</si>
  <si>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</si>
  <si>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</si>
  <si>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</si>
  <si>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</si>
  <si>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</si>
  <si>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</si>
  <si>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</si>
  <si>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</si>
  <si>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</si>
  <si>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</si>
  <si>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</si>
  <si>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</si>
  <si>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</si>
  <si>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</si>
  <si>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</si>
  <si>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</si>
  <si>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</si>
  <si>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</si>
  <si>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</si>
  <si>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</si>
  <si>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</si>
  <si>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</si>
  <si>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</si>
  <si>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</si>
  <si>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</si>
  <si>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</si>
  <si>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</si>
  <si>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</si>
  <si>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</si>
  <si>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</si>
  <si>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</si>
  <si>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</si>
  <si>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</si>
  <si>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</si>
  <si>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</si>
  <si>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</si>
  <si>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</si>
  <si>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</si>
  <si>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</si>
  <si>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</si>
  <si>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</si>
  <si>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</si>
  <si>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</si>
  <si>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</si>
  <si>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</si>
  <si>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</si>
  <si>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</si>
  <si>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</si>
  <si>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</si>
  <si>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</si>
  <si>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</si>
  <si>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</si>
  <si>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</si>
  <si>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</si>
  <si>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</si>
  <si>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</si>
  <si>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</si>
  <si>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</si>
  <si>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</si>
  <si>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</si>
  <si>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</si>
  <si>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</si>
  <si>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</si>
  <si>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</si>
  <si>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</si>
  <si>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</si>
  <si>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</si>
  <si>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</si>
  <si>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</si>
  <si>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</si>
  <si>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</si>
  <si>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</si>
  <si>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</si>
  <si>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</si>
  <si>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</si>
  <si>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</si>
  <si>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</si>
  <si>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</si>
  <si>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</si>
  <si>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</si>
  <si>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</si>
  <si>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</si>
  <si>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</si>
  <si>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</si>
  <si>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</si>
  <si>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</si>
  <si>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</si>
  <si>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</si>
  <si>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</si>
  <si>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</si>
  <si>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</si>
  <si>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</si>
  <si>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</si>
  <si>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</si>
  <si>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</si>
  <si>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</si>
  <si>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</si>
  <si>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</si>
  <si>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</si>
  <si>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</si>
  <si>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</si>
  <si>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</si>
  <si>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</si>
  <si>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</si>
  <si>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</si>
  <si>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</si>
  <si>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</si>
  <si>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</si>
  <si>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</si>
  <si>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</si>
  <si>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</si>
  <si>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</si>
  <si>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</si>
  <si>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</si>
  <si>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</si>
  <si>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</si>
  <si>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</si>
  <si>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</si>
  <si>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</si>
  <si>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</si>
  <si>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</si>
  <si>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</si>
  <si>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</si>
  <si>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</si>
  <si>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</si>
  <si>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</si>
  <si>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</si>
  <si>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</si>
  <si>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</si>
  <si>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</si>
  <si>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</si>
  <si>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</si>
  <si>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</si>
  <si>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</si>
  <si>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</si>
  <si>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</si>
  <si>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</si>
  <si>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</si>
  <si>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</si>
  <si>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</si>
  <si>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</si>
  <si>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</si>
  <si>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</si>
  <si>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</si>
  <si>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</si>
  <si>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</si>
  <si>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</si>
  <si>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</si>
  <si>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</si>
  <si>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</si>
  <si>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</si>
  <si>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</si>
  <si>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</si>
  <si>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</si>
  <si>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</si>
  <si>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</si>
  <si>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</si>
  <si>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</si>
  <si>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</si>
  <si>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</si>
  <si>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</si>
  <si>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</si>
  <si>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</si>
  <si>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</si>
  <si>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</si>
  <si>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</si>
  <si>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</si>
  <si>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</si>
  <si>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</si>
  <si>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</si>
  <si>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</si>
  <si>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</si>
  <si>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</si>
  <si>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</si>
  <si>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</si>
  <si>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</si>
  <si>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</si>
  <si>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</si>
  <si>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</si>
  <si>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</si>
  <si>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</si>
  <si>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</si>
  <si>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</si>
  <si>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</si>
  <si>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</si>
  <si>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</si>
  <si>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</si>
  <si>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</si>
  <si>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</si>
  <si>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</si>
  <si>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</si>
  <si>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</si>
  <si>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</si>
  <si>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</si>
  <si>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</si>
  <si>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</si>
  <si>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</si>
  <si>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</si>
  <si>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</si>
  <si>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</si>
  <si>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</si>
  <si>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</si>
  <si>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</si>
  <si>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</si>
  <si>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</si>
  <si>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</si>
  <si>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</si>
  <si>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</si>
  <si>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</si>
  <si>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</si>
  <si>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</si>
  <si>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</si>
  <si>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</si>
  <si>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</si>
  <si>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</si>
  <si>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</si>
  <si>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</si>
  <si>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</si>
  <si>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</si>
  <si>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</si>
  <si>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</si>
  <si>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</si>
  <si>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</si>
  <si>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</si>
  <si>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</si>
  <si>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</si>
  <si>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</si>
  <si>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</si>
  <si>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</si>
  <si>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</si>
  <si>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</si>
  <si>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</si>
  <si>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</si>
  <si>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</si>
  <si>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</si>
  <si>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</si>
  <si>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</si>
  <si>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</si>
  <si>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</si>
  <si>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</si>
  <si>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</si>
  <si>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</si>
  <si>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</si>
  <si>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</si>
  <si>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</si>
  <si>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</si>
  <si>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</si>
  <si>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</si>
  <si>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</si>
  <si>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</si>
  <si>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</si>
  <si>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</si>
  <si>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</si>
  <si>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</si>
  <si>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</si>
  <si>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</si>
  <si>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</si>
  <si>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</si>
  <si>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</si>
  <si>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</si>
  <si>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</si>
  <si>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</si>
  <si>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</si>
  <si>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</si>
  <si>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</si>
  <si>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</si>
  <si>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</si>
  <si>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</si>
  <si>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</si>
  <si>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</si>
  <si>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</si>
  <si>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</si>
  <si>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</si>
  <si>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</si>
  <si>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</si>
  <si>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</si>
  <si>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</si>
  <si>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</si>
  <si>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</si>
  <si>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</si>
  <si>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</si>
  <si>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</si>
  <si>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</si>
  <si>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</si>
  <si>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</si>
  <si>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</si>
  <si>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</si>
  <si>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</si>
  <si>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</si>
  <si>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</si>
  <si>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</si>
  <si>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</si>
  <si>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</si>
  <si>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</si>
  <si>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</si>
  <si>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</si>
  <si>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</si>
  <si>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</si>
  <si>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</si>
  <si>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</si>
  <si>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</si>
  <si>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</si>
  <si>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</si>
  <si>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</si>
  <si>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</si>
  <si>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</si>
  <si>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</si>
  <si>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</si>
  <si>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</si>
  <si>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</si>
  <si>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</si>
  <si>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</si>
  <si>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</si>
  <si>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</si>
  <si>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</si>
  <si>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</si>
  <si>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</si>
  <si>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</si>
  <si>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</si>
  <si>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</si>
  <si>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</si>
  <si>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</si>
  <si>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</si>
  <si>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</si>
  <si>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</si>
  <si>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</si>
  <si>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</si>
  <si>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</si>
  <si>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</si>
  <si>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</si>
  <si>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</si>
  <si>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</si>
  <si>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</si>
  <si>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</si>
  <si>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</si>
  <si>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</si>
  <si>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</si>
  <si>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</si>
  <si>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</si>
  <si>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</si>
  <si>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</si>
  <si>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</si>
  <si>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</si>
  <si>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</si>
  <si>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</si>
  <si>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</si>
  <si>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</si>
  <si>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</si>
  <si>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</si>
  <si>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</si>
  <si>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</si>
  <si>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</si>
  <si>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</si>
  <si>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</si>
  <si>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</si>
  <si>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</si>
  <si>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</si>
  <si>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</si>
  <si>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</si>
  <si>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</si>
  <si>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</si>
  <si>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</si>
  <si>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</si>
  <si>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</si>
  <si>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</si>
  <si>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</si>
  <si>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</si>
  <si>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</si>
  <si>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</si>
  <si>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</si>
  <si>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</si>
  <si>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</si>
  <si>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</si>
  <si>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</si>
  <si>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</si>
  <si>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</si>
  <si>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</si>
  <si>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</si>
  <si>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</si>
  <si>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</si>
  <si>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</si>
  <si>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</si>
  <si>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</si>
  <si>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</si>
  <si>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</si>
  <si>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</si>
  <si>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</si>
  <si>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</si>
  <si>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</si>
  <si>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</si>
  <si>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</si>
  <si>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</si>
  <si>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</si>
  <si>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</si>
  <si>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</si>
  <si>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</si>
  <si>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</si>
  <si>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</si>
  <si>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</si>
  <si>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</si>
  <si>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</si>
  <si>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</si>
  <si>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</si>
  <si>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</si>
  <si>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</si>
  <si>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</si>
  <si>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</si>
  <si>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</si>
  <si>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</si>
  <si>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</si>
  <si>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</si>
  <si>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</si>
  <si>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</si>
  <si>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</si>
  <si>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</si>
  <si>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</si>
  <si>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</si>
  <si>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</si>
  <si>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</si>
  <si>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</si>
  <si>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</si>
  <si>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</si>
  <si>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</si>
  <si>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</si>
  <si>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</si>
  <si>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</si>
  <si>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</si>
  <si>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</si>
  <si>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</si>
  <si>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</si>
  <si>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</si>
  <si>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</si>
  <si>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</si>
  <si>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</si>
  <si>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</si>
  <si>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</si>
  <si>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</si>
  <si>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</si>
  <si>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</si>
  <si>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</si>
  <si>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</si>
  <si>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</si>
  <si>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</si>
  <si>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</si>
  <si>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</si>
  <si>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</si>
  <si>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</si>
  <si>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</si>
  <si>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</si>
  <si>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</si>
  <si>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</si>
  <si>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</si>
  <si>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</si>
  <si>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</si>
  <si>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</si>
  <si>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</si>
  <si>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</si>
  <si>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</si>
  <si>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</si>
  <si>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</si>
  <si>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</si>
  <si>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</si>
  <si>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</si>
  <si>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</si>
  <si>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</si>
  <si>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</si>
  <si>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</si>
  <si>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</si>
  <si>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</si>
  <si>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</si>
  <si>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</si>
  <si>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</si>
  <si>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</si>
  <si>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</si>
  <si>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</si>
  <si>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</si>
  <si>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</si>
  <si>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</si>
  <si>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</si>
  <si>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</si>
  <si>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</si>
  <si>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</si>
  <si>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</si>
  <si>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</si>
  <si>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</si>
  <si>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</si>
  <si>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</si>
  <si>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</si>
  <si>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</si>
  <si>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</si>
  <si>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</si>
  <si>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</si>
  <si>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</si>
  <si>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</si>
  <si>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</si>
  <si>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</si>
  <si>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</si>
  <si>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</si>
  <si>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</si>
  <si>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</si>
  <si>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</si>
  <si>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</si>
  <si>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</si>
  <si>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</si>
  <si>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</si>
  <si>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</si>
  <si>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</si>
  <si>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</si>
  <si>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</si>
  <si>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</si>
  <si>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</si>
  <si>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</si>
  <si>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</si>
  <si>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</si>
  <si>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</si>
  <si>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</si>
  <si>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</si>
  <si>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</si>
  <si>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</si>
  <si>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</si>
  <si>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</si>
  <si>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</si>
  <si>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</si>
  <si>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</si>
  <si>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</si>
  <si>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</si>
  <si>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</si>
  <si>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</si>
  <si>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</si>
  <si>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</si>
  <si>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</si>
  <si>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</si>
  <si>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</si>
  <si>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</si>
  <si>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</si>
  <si>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</si>
  <si>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</si>
  <si>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</si>
  <si>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</si>
  <si>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</si>
  <si>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</si>
  <si>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</si>
  <si>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</si>
  <si>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</si>
  <si>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</si>
  <si>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</si>
  <si>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</si>
  <si>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</si>
  <si>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</si>
  <si>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</si>
  <si>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</si>
  <si>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</si>
  <si>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</si>
  <si>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</si>
  <si>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</si>
  <si>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</si>
  <si>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</si>
  <si>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</si>
  <si>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</si>
  <si>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</si>
  <si>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</si>
  <si>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</si>
  <si>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</si>
  <si>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</si>
  <si>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</si>
  <si>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</si>
  <si>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</si>
  <si>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</si>
  <si>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</si>
  <si>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</si>
  <si>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</si>
  <si>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</si>
  <si>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</si>
  <si>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</si>
  <si>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</si>
  <si>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</si>
  <si>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</si>
  <si>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</si>
  <si>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</si>
  <si>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</si>
  <si>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</si>
  <si>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</si>
  <si>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</si>
  <si>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</si>
  <si>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</si>
  <si>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</si>
  <si>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</si>
  <si>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</si>
  <si>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</si>
  <si>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</si>
  <si>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</si>
  <si>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</si>
  <si>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</si>
  <si>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</si>
  <si>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</si>
  <si>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</si>
  <si>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</si>
  <si>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</si>
  <si>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</si>
  <si>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</si>
  <si>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</si>
  <si>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</si>
  <si>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</si>
  <si>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</si>
  <si>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</si>
  <si>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</si>
  <si>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</si>
  <si>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</si>
  <si>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</si>
  <si>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</si>
  <si>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</si>
  <si>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</si>
  <si>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</si>
  <si>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</si>
  <si>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</si>
  <si>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</si>
  <si>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</si>
  <si>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</si>
  <si>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</si>
  <si>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</si>
  <si>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</si>
  <si>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</si>
  <si>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</si>
  <si>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</si>
  <si>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</si>
  <si>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</si>
  <si>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</si>
  <si>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</si>
  <si>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</si>
  <si>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</si>
  <si>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</si>
  <si>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</si>
  <si>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</si>
  <si>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</si>
  <si>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</si>
  <si>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</si>
  <si>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</si>
  <si>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</si>
  <si>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</si>
  <si>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</si>
  <si>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</si>
  <si>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</si>
  <si>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</si>
  <si>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</si>
  <si>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</si>
  <si>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</si>
  <si>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</si>
  <si>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</si>
  <si>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</si>
  <si>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</si>
  <si>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</si>
  <si>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</si>
  <si>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</si>
  <si>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</si>
  <si>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</si>
  <si>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</si>
  <si>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</si>
  <si>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</si>
  <si>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</si>
  <si>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</si>
  <si>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</si>
  <si>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</si>
  <si>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</si>
  <si>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</si>
  <si>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</si>
  <si>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</si>
  <si>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</si>
  <si>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</si>
  <si>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</si>
  <si>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</si>
  <si>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</si>
  <si>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</si>
  <si>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</si>
  <si>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</si>
  <si>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</si>
  <si>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</si>
  <si>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</si>
  <si>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</si>
  <si>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</si>
  <si>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</si>
  <si>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</si>
  <si>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</si>
  <si>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</si>
  <si>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</si>
  <si>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</si>
  <si>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</si>
  <si>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</si>
  <si>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</si>
  <si>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</si>
  <si>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</si>
  <si>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</si>
  <si>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</si>
  <si>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</si>
  <si>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</si>
  <si>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</si>
  <si>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</si>
  <si>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</si>
  <si>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</si>
  <si>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</si>
  <si>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</si>
  <si>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</si>
  <si>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</si>
  <si>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</si>
  <si>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</si>
  <si>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</si>
  <si>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</si>
  <si>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</si>
  <si>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</si>
  <si>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</si>
  <si>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</si>
  <si>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</si>
  <si>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</si>
  <si>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</si>
  <si>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</si>
  <si>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</si>
  <si>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</si>
  <si>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</si>
  <si>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</si>
  <si>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</si>
  <si>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</si>
  <si>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</si>
  <si>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</si>
  <si>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</si>
  <si>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</si>
  <si>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</si>
  <si>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</si>
  <si>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</si>
  <si>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</si>
  <si>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</si>
  <si>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</si>
  <si>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</si>
  <si>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</si>
  <si>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</si>
  <si>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</si>
  <si>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</si>
  <si>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</si>
  <si>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</si>
  <si>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</si>
  <si>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</si>
  <si>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</si>
  <si>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</si>
  <si>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</si>
  <si>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</si>
  <si>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</si>
  <si>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</si>
  <si>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</si>
  <si>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</si>
  <si>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</si>
  <si>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</si>
  <si>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</si>
  <si>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</si>
  <si>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</si>
  <si>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</si>
  <si>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</si>
  <si>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</si>
  <si>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</si>
  <si>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</si>
  <si>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</si>
  <si>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</si>
  <si>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</si>
  <si>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</si>
  <si>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</si>
  <si>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</si>
  <si>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</si>
  <si>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</si>
  <si>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</si>
  <si>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</si>
  <si>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</si>
  <si>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</si>
  <si>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</si>
  <si>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</si>
  <si>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</si>
  <si>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</si>
  <si>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</si>
  <si>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</si>
  <si>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</si>
  <si>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</si>
  <si>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</si>
  <si>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</si>
  <si>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</si>
  <si>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</si>
  <si>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</si>
  <si>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</si>
  <si>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</si>
  <si>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</si>
  <si>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</si>
  <si>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</si>
  <si>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</si>
  <si>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</si>
  <si>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</si>
  <si>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</si>
  <si>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</si>
  <si>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</si>
  <si>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</si>
  <si>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</si>
  <si>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</si>
  <si>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</si>
  <si>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</si>
  <si>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</si>
  <si>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</si>
  <si>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</si>
  <si>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</si>
  <si>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</si>
  <si>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</si>
  <si>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</si>
  <si>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</si>
  <si>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</si>
  <si>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</si>
  <si>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</si>
  <si>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</si>
  <si>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</si>
  <si>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</si>
  <si>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</si>
  <si>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</si>
  <si>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</si>
  <si>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</si>
  <si>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</si>
  <si>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</si>
  <si>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</si>
  <si>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</si>
  <si>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</si>
  <si>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</si>
  <si>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</si>
  <si>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</si>
  <si>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</si>
  <si>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</si>
  <si>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</si>
  <si>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</si>
  <si>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</si>
  <si>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</si>
  <si>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</si>
  <si>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</si>
  <si>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</si>
  <si>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</si>
  <si>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</si>
  <si>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</si>
  <si>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</si>
  <si>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</si>
  <si>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</si>
  <si>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</si>
  <si>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</si>
  <si>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</si>
  <si>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</si>
  <si>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</si>
  <si>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</si>
  <si>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</si>
  <si>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</si>
  <si>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</si>
  <si>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</si>
  <si>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</si>
  <si>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</si>
  <si>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</si>
  <si>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</si>
  <si>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</si>
  <si>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</si>
  <si>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</si>
  <si>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</si>
  <si>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</si>
  <si>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</si>
  <si>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</si>
  <si>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</si>
  <si>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</si>
  <si>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</si>
  <si>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</si>
  <si>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</si>
  <si>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</si>
  <si>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</si>
  <si>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</si>
  <si>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</si>
  <si>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</si>
  <si>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</si>
  <si>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</si>
  <si>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</si>
  <si>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</si>
  <si>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</si>
  <si>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</si>
  <si>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</si>
  <si>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</si>
  <si>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</si>
  <si>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</si>
  <si>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</si>
  <si>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</si>
  <si>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</si>
  <si>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</si>
  <si>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</si>
  <si>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</si>
  <si>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</si>
  <si>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</si>
  <si>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</si>
  <si>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</si>
  <si>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</si>
  <si>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</si>
  <si>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</si>
  <si>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</si>
  <si>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</si>
  <si>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</si>
  <si>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</si>
  <si>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</si>
  <si>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</si>
  <si>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</si>
  <si>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</si>
  <si>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</si>
  <si>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</si>
  <si>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</si>
  <si>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</si>
  <si>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</si>
  <si>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</si>
  <si>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</si>
  <si>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</si>
  <si>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</si>
  <si>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</si>
  <si>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</si>
  <si>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</si>
  <si>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</si>
  <si>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</si>
  <si>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</si>
  <si>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</si>
  <si>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</si>
  <si>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</si>
  <si>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</si>
  <si>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</si>
  <si>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</si>
  <si>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</si>
  <si>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</si>
  <si>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</si>
  <si>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</si>
  <si>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</si>
  <si>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</si>
  <si>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</si>
  <si>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</si>
  <si>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</si>
  <si>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</si>
  <si>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</si>
  <si>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</si>
  <si>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</si>
  <si>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</si>
  <si>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</si>
  <si>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</si>
  <si>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</si>
  <si>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</si>
  <si>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</si>
  <si>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</si>
  <si>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</si>
  <si>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</si>
  <si>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</si>
  <si>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</si>
  <si>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</si>
  <si>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</si>
  <si>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</si>
  <si>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</si>
  <si>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</si>
  <si>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</si>
  <si>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</si>
  <si>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</si>
  <si>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</si>
  <si>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</si>
  <si>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</si>
  <si>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</si>
  <si>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</si>
  <si>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</si>
  <si>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</si>
  <si>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</si>
  <si>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</si>
  <si>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</si>
  <si>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</si>
  <si>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</si>
  <si>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</si>
  <si>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</si>
  <si>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</si>
  <si>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</si>
  <si>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</si>
  <si>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</si>
  <si>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</si>
  <si>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</si>
  <si>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</si>
  <si>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</si>
  <si>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</si>
  <si>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</si>
  <si>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</si>
  <si>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</si>
  <si>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</si>
  <si>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</si>
  <si>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</si>
  <si>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</si>
  <si>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</si>
  <si>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</si>
  <si>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</si>
  <si>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</si>
  <si>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</si>
  <si>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</si>
  <si>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</si>
  <si>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</si>
  <si>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</si>
  <si>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</si>
  <si>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</si>
  <si>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</si>
  <si>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</si>
  <si>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</si>
  <si>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</si>
  <si>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</si>
  <si>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</si>
  <si>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</si>
  <si>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</si>
  <si>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</si>
  <si>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</si>
  <si>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</si>
  <si>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</si>
  <si>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</si>
  <si>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</si>
  <si>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</si>
  <si>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</si>
  <si>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</si>
  <si>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</si>
  <si>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</si>
  <si>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</si>
  <si>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</si>
  <si>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</si>
  <si>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</si>
  <si>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</si>
  <si>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</si>
  <si>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</si>
  <si>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</si>
  <si>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</si>
  <si>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</si>
  <si>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</si>
  <si>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</si>
  <si>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</si>
  <si>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</si>
  <si>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</si>
  <si>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</si>
  <si>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</si>
  <si>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</si>
  <si>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</si>
  <si>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</si>
  <si>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</si>
  <si>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</si>
  <si>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</si>
  <si>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</si>
  <si>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</si>
  <si>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</si>
  <si>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</si>
  <si>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</si>
  <si>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</si>
  <si>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</si>
  <si>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</si>
  <si>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</si>
  <si>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</si>
  <si>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</si>
  <si>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</si>
  <si>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</si>
  <si>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</si>
  <si>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</si>
  <si>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</si>
  <si>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</si>
  <si>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</si>
  <si>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</si>
  <si>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</si>
  <si>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</si>
  <si>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</si>
  <si>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</si>
  <si>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</si>
  <si>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</si>
  <si>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</si>
  <si>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</si>
  <si>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</si>
  <si>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</si>
  <si>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</si>
  <si>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</si>
  <si>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</si>
  <si>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</si>
  <si>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</si>
  <si>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</si>
  <si>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</si>
  <si>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</si>
  <si>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</si>
  <si>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</si>
  <si>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</si>
  <si>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</si>
  <si>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</si>
  <si>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</si>
  <si>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</si>
  <si>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</si>
  <si>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</si>
  <si>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</si>
  <si>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</si>
  <si>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</si>
  <si>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</si>
  <si>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</si>
  <si>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</si>
  <si>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</si>
  <si>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</si>
  <si>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</si>
  <si>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</si>
  <si>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</si>
  <si>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</si>
  <si>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</si>
  <si>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</si>
  <si>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</si>
  <si>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</si>
  <si>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</si>
  <si>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</si>
  <si>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</si>
  <si>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</si>
  <si>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</si>
  <si>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</si>
  <si>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</si>
  <si>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</si>
  <si>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</si>
  <si>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</si>
  <si>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</si>
  <si>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</si>
  <si>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</si>
  <si>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</si>
  <si>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</si>
  <si>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</si>
  <si>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</si>
  <si>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</si>
  <si>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</si>
  <si>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</si>
  <si>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</si>
  <si>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</si>
  <si>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</si>
  <si>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</si>
  <si>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</si>
  <si>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</si>
  <si>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</si>
  <si>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</si>
  <si>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</si>
  <si>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</si>
  <si>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</si>
  <si>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</si>
  <si>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</si>
  <si>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</si>
  <si>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</si>
  <si>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</si>
  <si>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</si>
  <si>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</si>
  <si>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</si>
  <si>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</si>
  <si>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</si>
  <si>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</si>
  <si>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</si>
  <si>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</si>
  <si>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</si>
  <si>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</si>
  <si>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</si>
  <si>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</si>
  <si>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</si>
  <si>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</si>
  <si>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</si>
  <si>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</si>
  <si>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</si>
  <si>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</si>
  <si>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</si>
  <si>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</si>
  <si>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</si>
  <si>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</si>
  <si>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</si>
  <si>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</si>
  <si>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</si>
  <si>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</si>
  <si>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</si>
  <si>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</si>
  <si>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</si>
  <si>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</si>
  <si>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</si>
  <si>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</si>
  <si>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</si>
  <si>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</si>
  <si>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</si>
  <si>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</si>
  <si>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</si>
  <si>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</si>
  <si>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</si>
  <si>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</si>
  <si>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</si>
  <si>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</si>
  <si>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</si>
  <si>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</si>
  <si>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</si>
  <si>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</si>
  <si>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</si>
  <si>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</si>
  <si>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</si>
  <si>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</si>
  <si>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</si>
  <si>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</si>
  <si>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</si>
  <si>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</si>
  <si>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</si>
  <si>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</si>
  <si>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</si>
  <si>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</si>
  <si>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</si>
  <si>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</si>
  <si>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</si>
  <si>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</si>
  <si>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</si>
  <si>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</si>
  <si>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</si>
  <si>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</si>
  <si>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</si>
  <si>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</si>
  <si>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</si>
  <si>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</si>
  <si>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</si>
  <si>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</si>
  <si>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</si>
  <si>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</si>
  <si>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</si>
  <si>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</si>
  <si>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</si>
  <si>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</si>
  <si>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</si>
  <si>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</si>
  <si>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</si>
  <si>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</si>
  <si>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</si>
  <si>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</si>
  <si>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</si>
  <si>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</si>
  <si>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</si>
  <si>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</si>
  <si>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</si>
  <si>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</si>
  <si>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</si>
  <si>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</si>
  <si>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</si>
  <si>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</si>
  <si>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</si>
  <si>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</si>
  <si>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</si>
  <si>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</si>
  <si>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</si>
  <si>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</si>
  <si>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</si>
  <si>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</si>
  <si>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</si>
  <si>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</si>
  <si>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</si>
  <si>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</si>
  <si>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</si>
  <si>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</si>
  <si>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</si>
  <si>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</si>
  <si>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</si>
  <si>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</si>
  <si>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</si>
  <si>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</si>
  <si>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</si>
  <si>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</si>
  <si>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</si>
  <si>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</si>
  <si>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</si>
  <si>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</si>
  <si>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</si>
  <si>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</si>
  <si>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</si>
  <si>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</si>
  <si>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</si>
  <si>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</si>
  <si>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</si>
  <si>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</si>
  <si>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</si>
  <si>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</si>
  <si>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</si>
  <si>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</si>
  <si>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</si>
  <si>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</si>
  <si>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</si>
  <si>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</si>
  <si>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</si>
  <si>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</si>
  <si>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</si>
  <si>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</si>
  <si>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</si>
  <si>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</si>
  <si>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</si>
  <si>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</si>
  <si>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</si>
  <si>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</si>
  <si>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</si>
  <si>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</si>
  <si>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</si>
  <si>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</si>
  <si>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</si>
  <si>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</si>
  <si>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</si>
  <si>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</si>
  <si>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</si>
  <si>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</si>
  <si>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</si>
  <si>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</si>
  <si>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</si>
  <si>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</si>
  <si>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</si>
  <si>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</si>
  <si>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</si>
  <si>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</si>
  <si>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</si>
  <si>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</si>
  <si>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</si>
  <si>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</si>
  <si>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</si>
  <si>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</si>
  <si>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</si>
  <si>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</si>
  <si>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</si>
  <si>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</si>
  <si>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</si>
  <si>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</si>
  <si>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</si>
  <si>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</si>
  <si>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</si>
  <si>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</si>
  <si>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</si>
  <si>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</si>
  <si>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</si>
  <si>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</si>
  <si>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</si>
  <si>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</si>
  <si>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</si>
  <si>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</si>
  <si>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</si>
  <si>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</si>
  <si>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</si>
  <si>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</si>
  <si>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</si>
  <si>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</si>
  <si>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</si>
  <si>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</si>
  <si>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</si>
  <si>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</si>
  <si>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</si>
  <si>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</si>
  <si>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</si>
  <si>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</si>
  <si>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</si>
  <si>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</si>
  <si>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</si>
  <si>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</si>
  <si>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</si>
  <si>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</si>
  <si>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</si>
  <si>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</si>
  <si>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</si>
  <si>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</si>
  <si>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</si>
  <si>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</si>
  <si>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</si>
  <si>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</si>
  <si>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</si>
  <si>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</si>
  <si>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</si>
  <si>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</si>
  <si>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</si>
  <si>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</si>
  <si>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</si>
  <si>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</si>
  <si>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</si>
  <si>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</si>
  <si>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</si>
  <si>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</si>
  <si>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</si>
  <si>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</si>
  <si>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</si>
  <si>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</si>
  <si>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</si>
  <si>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</si>
  <si>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</si>
  <si>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</si>
  <si>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</si>
  <si>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</si>
  <si>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</si>
  <si>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</si>
  <si>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</si>
  <si>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</si>
  <si>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</si>
  <si>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</si>
  <si>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</si>
  <si>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</si>
  <si>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</si>
  <si>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</si>
  <si>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</si>
  <si>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</si>
  <si>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</si>
  <si>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</si>
  <si>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</si>
  <si>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</si>
  <si>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</si>
  <si>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</si>
  <si>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</si>
  <si>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</si>
  <si>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</si>
  <si>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</si>
  <si>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</si>
  <si>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</si>
  <si>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</si>
  <si>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</si>
  <si>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</si>
  <si>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</si>
  <si>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</si>
  <si>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</si>
  <si>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</si>
  <si>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</si>
  <si>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</si>
  <si>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</si>
  <si>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</si>
  <si>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</si>
  <si>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</si>
  <si>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</si>
  <si>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</si>
  <si>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</si>
  <si>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</si>
  <si>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</si>
  <si>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</si>
  <si>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</si>
  <si>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</si>
  <si>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</si>
  <si>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</si>
  <si>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</si>
  <si>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</si>
  <si>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</si>
  <si>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</si>
  <si>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</si>
  <si>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</si>
  <si>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</si>
  <si>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</si>
  <si>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</si>
  <si>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</si>
  <si>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</si>
  <si>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</si>
  <si>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</si>
  <si>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</si>
  <si>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</si>
  <si>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</si>
  <si>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</si>
  <si>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</si>
  <si>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</si>
  <si>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</si>
  <si>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</si>
  <si>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</si>
  <si>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</si>
  <si>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</si>
  <si>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</si>
  <si>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</si>
  <si>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</si>
  <si>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</si>
  <si>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</si>
  <si>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</si>
  <si>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</si>
  <si>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</si>
  <si>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</si>
  <si>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</si>
  <si>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</si>
  <si>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</si>
  <si>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</si>
  <si>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</si>
  <si>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</si>
  <si>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</si>
  <si>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</si>
  <si>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</si>
  <si>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</si>
  <si>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</si>
  <si>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</si>
  <si>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</si>
  <si>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</si>
  <si>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</si>
  <si>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</si>
  <si>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</si>
  <si>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</si>
  <si>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</si>
  <si>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</si>
  <si>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</si>
  <si>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</si>
  <si>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</si>
  <si>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</si>
  <si>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</si>
  <si>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</si>
  <si>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</si>
  <si>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</si>
  <si>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</si>
  <si>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</si>
  <si>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</si>
  <si>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</si>
  <si>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</si>
  <si>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</si>
  <si>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</si>
  <si>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</si>
  <si>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</si>
  <si>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</si>
  <si>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</si>
  <si>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</si>
  <si>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</si>
  <si>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</si>
  <si>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</si>
  <si>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</si>
  <si>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</si>
  <si>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</si>
  <si>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</si>
  <si>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</si>
  <si>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</si>
  <si>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</si>
  <si>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</si>
  <si>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</si>
  <si>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</si>
  <si>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</si>
  <si>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</si>
  <si>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</si>
  <si>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</si>
  <si>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</si>
  <si>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</si>
  <si>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</si>
  <si>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</si>
  <si>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</si>
  <si>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</si>
  <si>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</si>
  <si>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</si>
  <si>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</si>
  <si>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</si>
  <si>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</si>
  <si>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</si>
  <si>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</si>
  <si>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</si>
  <si>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</si>
  <si>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</si>
  <si>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</si>
  <si>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</si>
  <si>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</si>
  <si>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</si>
  <si>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</si>
  <si>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</si>
  <si>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</si>
  <si>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</si>
  <si>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</si>
  <si>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</si>
  <si>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</si>
  <si>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</si>
  <si>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</si>
  <si>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</si>
  <si>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</si>
  <si>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</si>
  <si>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</si>
  <si>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</si>
  <si>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</si>
  <si>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</si>
  <si>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</si>
  <si>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</si>
  <si>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</si>
  <si>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</si>
  <si>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</si>
  <si>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</si>
  <si>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</si>
  <si>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</si>
  <si>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</si>
  <si>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</si>
  <si>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</si>
  <si>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</si>
  <si>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</si>
  <si>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</si>
  <si>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</si>
  <si>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</si>
  <si>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</si>
  <si>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</si>
  <si>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</si>
  <si>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</si>
  <si>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</si>
  <si>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</si>
  <si>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</si>
  <si>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</si>
  <si>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</si>
  <si>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</si>
  <si>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</si>
  <si>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</si>
  <si>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</si>
  <si>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</si>
  <si>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</si>
  <si>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</si>
  <si>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</si>
  <si>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</si>
  <si>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</si>
  <si>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</si>
  <si>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</si>
  <si>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</si>
  <si>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</si>
  <si>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</si>
  <si>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</si>
  <si>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</si>
  <si>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</si>
  <si>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</si>
  <si>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</si>
  <si>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</si>
  <si>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</si>
  <si>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</si>
  <si>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</si>
  <si>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</si>
  <si>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</si>
  <si>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</si>
  <si>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</si>
  <si>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</si>
  <si>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</si>
  <si>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</si>
  <si>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</si>
  <si>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</si>
  <si>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</si>
  <si>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</si>
  <si>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</si>
  <si>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</si>
  <si>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</si>
  <si>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</si>
  <si>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</si>
  <si>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</si>
  <si>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</si>
  <si>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</si>
  <si>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</si>
  <si>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</si>
  <si>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</si>
  <si>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</si>
  <si>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</si>
  <si>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</si>
  <si>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</si>
  <si>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</si>
  <si>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</si>
  <si>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</si>
  <si>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</si>
  <si>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</si>
  <si>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</si>
  <si>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</si>
  <si>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</si>
  <si>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</si>
  <si>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</si>
  <si>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</si>
  <si>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</si>
  <si>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</si>
  <si>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</si>
  <si>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</si>
  <si>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</si>
  <si>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</si>
  <si>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</si>
  <si>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</si>
  <si>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</si>
  <si>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</si>
  <si>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</si>
  <si>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</si>
  <si>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</si>
  <si>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</si>
  <si>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</si>
  <si>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</si>
  <si>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</si>
  <si>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</si>
  <si>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</si>
  <si>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</si>
  <si>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</si>
  <si>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</si>
  <si>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</si>
  <si>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</si>
  <si>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</si>
  <si>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</si>
  <si>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</si>
  <si>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</si>
  <si>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</si>
  <si>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</si>
  <si>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</si>
  <si>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</si>
  <si>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</si>
  <si>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</si>
  <si>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</si>
  <si>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</si>
  <si>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</si>
  <si>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</si>
  <si>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</si>
  <si>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</si>
  <si>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</si>
  <si>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</si>
  <si>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</si>
  <si>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</si>
  <si>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</si>
  <si>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</si>
  <si>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</si>
  <si>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</si>
  <si>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</si>
  <si>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</si>
  <si>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</si>
  <si>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</si>
  <si>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</si>
  <si>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</si>
  <si>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</si>
  <si>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</si>
  <si>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</si>
  <si>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</si>
  <si>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</si>
  <si>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</si>
  <si>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</si>
  <si>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</si>
  <si>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</si>
  <si>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</si>
  <si>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</si>
  <si>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</si>
  <si>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</si>
  <si>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</si>
  <si>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</si>
  <si>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</si>
  <si>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</si>
  <si>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</si>
  <si>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</si>
  <si>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</si>
  <si>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</si>
  <si>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</si>
  <si>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</si>
  <si>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</si>
  <si>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</si>
  <si>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</si>
  <si>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</si>
  <si>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</si>
  <si>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</si>
  <si>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</si>
  <si>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</si>
  <si>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</si>
  <si>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</si>
  <si>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</si>
  <si>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</si>
  <si>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</si>
  <si>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</si>
  <si>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</si>
  <si>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</si>
  <si>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</si>
  <si>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</si>
  <si>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</si>
  <si>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</si>
  <si>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</si>
  <si>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</si>
  <si>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</si>
  <si>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</si>
  <si>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</si>
  <si>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</si>
  <si>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</si>
  <si>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</si>
  <si>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</si>
  <si>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</si>
  <si>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</si>
  <si>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</si>
  <si>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</si>
  <si>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</si>
  <si>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</si>
  <si>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</si>
  <si>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</si>
  <si>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</si>
  <si>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</si>
  <si>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</si>
  <si>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</si>
  <si>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</si>
  <si>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</si>
  <si>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</si>
  <si>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</si>
  <si>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</si>
  <si>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</si>
  <si>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</si>
  <si>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</si>
  <si>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</si>
  <si>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</si>
  <si>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</si>
  <si>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</si>
  <si>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</si>
  <si>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</si>
  <si>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</si>
  <si>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</si>
  <si>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</si>
  <si>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</si>
  <si>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</si>
  <si>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</si>
  <si>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</si>
  <si>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</si>
  <si>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</si>
  <si>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</si>
  <si>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</si>
  <si>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</si>
  <si>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</si>
  <si>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</si>
  <si>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</si>
  <si>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</si>
  <si>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</si>
  <si>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</si>
  <si>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</si>
  <si>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</si>
  <si>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</si>
  <si>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</si>
  <si>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</si>
  <si>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</si>
  <si>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</si>
  <si>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</si>
  <si>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</si>
  <si>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</si>
  <si>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</si>
  <si>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</si>
  <si>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</si>
  <si>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</si>
  <si>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</si>
  <si>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</si>
  <si>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</si>
  <si>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</si>
  <si>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</si>
  <si>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</si>
  <si>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</si>
  <si>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</si>
  <si>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</si>
  <si>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</si>
  <si>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</si>
  <si>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</si>
  <si>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</si>
  <si>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</si>
  <si>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</si>
  <si>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</si>
  <si>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</si>
  <si>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</si>
  <si>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</si>
  <si>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</si>
  <si>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</si>
  <si>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</si>
  <si>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</si>
  <si>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</si>
  <si>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</si>
  <si>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</si>
  <si>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</si>
  <si>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</si>
  <si>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</si>
  <si>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</si>
  <si>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</si>
  <si>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</si>
  <si>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</si>
  <si>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</si>
  <si>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</si>
  <si>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</si>
  <si>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</si>
  <si>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</si>
  <si>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</si>
  <si>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</si>
  <si>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</si>
  <si>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</si>
  <si>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</si>
  <si>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</si>
  <si>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</si>
  <si>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</si>
  <si>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</si>
  <si>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</si>
  <si>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</si>
  <si>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</si>
  <si>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</si>
  <si>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</si>
  <si>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</si>
  <si>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</si>
  <si>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</si>
  <si>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</si>
  <si>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</si>
  <si>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</si>
  <si>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</si>
  <si>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</si>
  <si>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</si>
  <si>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</si>
  <si>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</si>
  <si>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</si>
  <si>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</si>
  <si>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</si>
  <si>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</si>
  <si>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</si>
  <si>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</si>
  <si>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</si>
  <si>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</si>
  <si>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</si>
  <si>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</si>
  <si>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</si>
  <si>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</si>
  <si>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</si>
  <si>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</si>
  <si>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</si>
  <si>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</si>
  <si>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</si>
  <si>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</si>
  <si>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</si>
  <si>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</si>
  <si>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</si>
  <si>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</si>
  <si>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</si>
  <si>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</si>
  <si>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</si>
  <si>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</si>
  <si>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</si>
  <si>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</si>
  <si>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</si>
  <si>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</si>
  <si>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</si>
  <si>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</si>
  <si>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</si>
  <si>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</si>
  <si>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</si>
  <si>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</si>
  <si>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</si>
  <si>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</si>
  <si>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</si>
  <si>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</si>
  <si>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</si>
  <si>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</si>
  <si>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</si>
  <si>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</si>
  <si>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</si>
  <si>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</si>
  <si>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</si>
  <si>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</si>
  <si>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</si>
  <si>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</si>
  <si>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</si>
  <si>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</si>
  <si>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</si>
  <si>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</si>
  <si>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</si>
  <si>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</si>
  <si>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</si>
  <si>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</si>
  <si>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</si>
  <si>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</si>
  <si>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</si>
  <si>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</si>
  <si>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</si>
  <si>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</si>
  <si>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</si>
  <si>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</si>
  <si>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</si>
  <si>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</si>
  <si>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</si>
  <si>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</si>
  <si>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</si>
  <si>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</si>
  <si>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</si>
  <si>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</si>
  <si>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</si>
  <si>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</si>
  <si>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</si>
  <si>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</si>
  <si>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</si>
  <si>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</si>
  <si>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</si>
  <si>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</si>
  <si>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</si>
  <si>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</si>
  <si>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</si>
  <si>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</si>
  <si>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</si>
  <si>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</si>
  <si>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</si>
  <si>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</si>
  <si>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</si>
  <si>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</si>
  <si>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</si>
  <si>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</si>
  <si>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</si>
  <si>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</si>
  <si>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</si>
  <si>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</si>
  <si>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</si>
  <si>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</si>
  <si>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</si>
  <si>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</si>
  <si>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</si>
  <si>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</si>
  <si>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</si>
  <si>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</si>
  <si>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</si>
  <si>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</si>
  <si>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</si>
  <si>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</si>
  <si>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</si>
  <si>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</si>
  <si>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</si>
  <si>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</si>
  <si>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</si>
  <si>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</si>
  <si>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</si>
  <si>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</si>
  <si>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</si>
  <si>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</si>
  <si>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</si>
  <si>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</si>
  <si>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</si>
  <si>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</si>
  <si>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</si>
  <si>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</si>
  <si>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</si>
  <si>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</si>
  <si>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</si>
  <si>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</si>
  <si>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</si>
  <si>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</si>
  <si>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</si>
  <si>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</si>
  <si>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</si>
  <si>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</si>
  <si>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</si>
  <si>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</si>
  <si>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</si>
  <si>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</si>
  <si>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</si>
  <si>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</si>
  <si>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</si>
  <si>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</si>
  <si>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</si>
  <si>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</si>
  <si>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</si>
  <si>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</si>
  <si>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</si>
  <si>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</si>
  <si>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</si>
  <si>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</si>
  <si>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</si>
  <si>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</si>
  <si>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</si>
  <si>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</si>
  <si>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</si>
  <si>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</si>
  <si>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</si>
  <si>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</si>
  <si>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</si>
  <si>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</si>
  <si>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</si>
  <si>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</si>
  <si>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</si>
  <si>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</si>
  <si>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</si>
  <si>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</si>
  <si>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</si>
  <si>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</si>
  <si>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</si>
  <si>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</si>
  <si>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</si>
  <si>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</si>
  <si>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</si>
  <si>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</si>
  <si>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</si>
  <si>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</si>
  <si>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</si>
  <si>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</si>
  <si>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</si>
  <si>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</si>
  <si>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</si>
  <si>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</si>
  <si>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</si>
  <si>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</si>
  <si>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</si>
  <si>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</si>
  <si>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</si>
  <si>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</si>
  <si>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</si>
  <si>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</si>
  <si>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</si>
  <si>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</si>
  <si>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</si>
  <si>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</si>
  <si>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</si>
  <si>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</si>
  <si>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</si>
  <si>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</si>
  <si>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</si>
  <si>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</si>
  <si>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</si>
  <si>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</si>
  <si>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</si>
  <si>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</si>
  <si>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</si>
  <si>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</si>
  <si>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</si>
  <si>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</si>
  <si>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</si>
  <si>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</si>
  <si>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</si>
  <si>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</si>
  <si>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</si>
  <si>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</si>
  <si>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</si>
  <si>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</si>
  <si>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</si>
  <si>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</si>
  <si>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</si>
  <si>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</si>
  <si>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</si>
  <si>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</si>
  <si>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</si>
  <si>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</si>
  <si>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</si>
  <si>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</si>
  <si>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</si>
  <si>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</si>
  <si>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</si>
  <si>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</si>
  <si>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</si>
  <si>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</si>
  <si>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</si>
  <si>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</si>
  <si>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</si>
  <si>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</si>
  <si>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</si>
  <si>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</si>
  <si>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</si>
  <si>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</si>
  <si>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</si>
  <si>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</si>
  <si>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</si>
  <si>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</si>
  <si>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</si>
  <si>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</si>
  <si>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</si>
  <si>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</si>
  <si>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</si>
  <si>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</si>
  <si>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</si>
  <si>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</si>
  <si>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</si>
  <si>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</si>
  <si>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</si>
  <si>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</si>
  <si>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</si>
  <si>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</si>
  <si>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</si>
  <si>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</si>
  <si>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</si>
  <si>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</si>
  <si>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</si>
  <si>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</si>
  <si>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</si>
  <si>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</si>
  <si>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</si>
  <si>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</si>
  <si>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</si>
  <si>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</si>
  <si>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</si>
  <si>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</si>
  <si>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</si>
  <si>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</si>
  <si>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</si>
  <si>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</si>
  <si>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</si>
  <si>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</si>
  <si>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</si>
  <si>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</si>
  <si>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</si>
  <si>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</si>
  <si>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</si>
  <si>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</si>
  <si>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</si>
  <si>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</si>
  <si>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</si>
  <si>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</si>
  <si>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</si>
  <si>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</si>
  <si>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</si>
  <si>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</si>
  <si>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</si>
  <si>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</si>
  <si>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</si>
  <si>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</si>
  <si>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</si>
  <si>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</si>
  <si>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</si>
  <si>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</si>
  <si>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</si>
  <si>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</si>
  <si>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</si>
  <si>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</si>
  <si>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</si>
  <si>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</si>
  <si>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</si>
  <si>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</si>
  <si>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</si>
  <si>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</si>
  <si>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</si>
  <si>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</si>
  <si>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</si>
  <si>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</si>
  <si>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</si>
  <si>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</si>
  <si>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</si>
  <si>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</si>
  <si>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</si>
  <si>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</si>
  <si>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</si>
  <si>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</si>
  <si>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</si>
  <si>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</si>
  <si>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</si>
  <si>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</si>
  <si>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</si>
  <si>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</si>
  <si>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</si>
  <si>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</si>
  <si>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</si>
  <si>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</si>
  <si>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</si>
  <si>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</si>
  <si>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</si>
  <si>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</si>
  <si>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</si>
  <si>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</si>
  <si>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</si>
  <si>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</si>
  <si>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</si>
  <si>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</si>
  <si>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</si>
  <si>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</si>
  <si>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</si>
  <si>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</si>
  <si>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</si>
  <si>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</si>
  <si>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</si>
  <si>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</si>
  <si>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</si>
  <si>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</si>
  <si>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</si>
  <si>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</si>
  <si>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</si>
  <si>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</si>
  <si>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</si>
  <si>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</si>
  <si>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</si>
  <si>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</si>
  <si>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</si>
  <si>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</si>
  <si>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</si>
  <si>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</si>
  <si>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</si>
  <si>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</si>
  <si>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</si>
  <si>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</si>
  <si>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</si>
  <si>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</si>
  <si>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</si>
  <si>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</si>
  <si>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</si>
  <si>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</si>
  <si>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</si>
  <si>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</si>
  <si>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</si>
  <si>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</si>
  <si>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</si>
  <si>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</si>
  <si>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</si>
  <si>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</si>
  <si>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</si>
  <si>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</si>
  <si>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</si>
  <si>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</si>
  <si>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</si>
  <si>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</si>
  <si>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</si>
  <si>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</si>
  <si>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</si>
  <si>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</si>
  <si>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</si>
  <si>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</si>
  <si>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</si>
  <si>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</si>
  <si>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</si>
  <si>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</si>
  <si>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</si>
  <si>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</si>
  <si>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</si>
  <si>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</si>
  <si>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</si>
  <si>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</si>
  <si>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</si>
  <si>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</si>
  <si>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</si>
  <si>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</si>
  <si>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</si>
  <si>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</si>
  <si>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</si>
  <si>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</si>
  <si>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</si>
  <si>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</si>
  <si>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</si>
  <si>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</si>
  <si>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</si>
  <si>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</si>
  <si>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</si>
  <si>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</si>
  <si>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</si>
  <si>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</si>
  <si>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</si>
  <si>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</si>
  <si>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</si>
  <si>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</si>
  <si>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</si>
  <si>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</si>
  <si>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</si>
  <si>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</si>
  <si>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</si>
  <si>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</si>
  <si>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</si>
  <si>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</si>
  <si>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</si>
  <si>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</si>
  <si>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</si>
  <si>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</si>
  <si>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</si>
  <si>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</si>
  <si>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</si>
  <si>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</si>
  <si>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</si>
  <si>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</si>
  <si>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</si>
  <si>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</si>
  <si>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</si>
  <si>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</si>
  <si>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</si>
  <si>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</si>
  <si>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</si>
  <si>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</si>
  <si>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</si>
  <si>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</si>
  <si>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</si>
  <si>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</si>
  <si>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</si>
  <si>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</si>
  <si>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</si>
  <si>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</si>
  <si>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</si>
  <si>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</si>
  <si>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</si>
  <si>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</si>
  <si>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</si>
  <si>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</si>
  <si>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</si>
  <si>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</si>
  <si>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</si>
  <si>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</si>
  <si>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</si>
  <si>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</si>
  <si>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</si>
  <si>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</si>
  <si>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</si>
  <si>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</si>
  <si>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</si>
  <si>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</si>
  <si>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</si>
  <si>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</si>
  <si>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</si>
  <si>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</si>
  <si>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</si>
  <si>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</si>
  <si>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</si>
  <si>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</si>
  <si>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</si>
  <si>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</si>
  <si>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</si>
  <si>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</si>
  <si>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</si>
  <si>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</si>
  <si>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</si>
  <si>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</si>
  <si>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</si>
  <si>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</si>
  <si>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</si>
  <si>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</si>
  <si>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</si>
  <si>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</si>
  <si>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</si>
  <si>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</si>
  <si>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</si>
  <si>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</si>
  <si>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</si>
  <si>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</si>
  <si>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</si>
  <si>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</si>
  <si>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</si>
  <si>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</si>
  <si>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</si>
  <si>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</si>
  <si>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</si>
  <si>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</si>
  <si>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</si>
  <si>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</si>
  <si>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</si>
  <si>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</si>
  <si>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</si>
  <si>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</si>
  <si>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</si>
  <si>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</si>
  <si>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</si>
  <si>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</si>
  <si>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</si>
  <si>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</si>
  <si>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</si>
  <si>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</si>
  <si>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</si>
  <si>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</si>
  <si>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</si>
  <si>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</si>
  <si>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</si>
  <si>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</si>
  <si>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</si>
  <si>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</si>
  <si>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</si>
  <si>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</si>
  <si>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</si>
  <si>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</si>
  <si>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</si>
  <si>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</si>
  <si>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</si>
  <si>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</si>
  <si>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</si>
  <si>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</si>
  <si>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</si>
  <si>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</si>
  <si>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</si>
  <si>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</si>
  <si>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</si>
  <si>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</si>
  <si>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</si>
  <si>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</si>
  <si>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</si>
  <si>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</si>
  <si>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</si>
  <si>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</si>
  <si>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</si>
  <si>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</si>
  <si>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</si>
  <si>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</si>
  <si>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</si>
  <si>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</si>
  <si>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</si>
  <si>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</si>
  <si>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</si>
  <si>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</si>
  <si>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</si>
  <si>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</si>
  <si>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</si>
  <si>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</si>
  <si>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</si>
  <si>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</si>
  <si>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</si>
  <si>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</si>
  <si>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</si>
  <si>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</si>
  <si>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</si>
  <si>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</si>
  <si>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</si>
  <si>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</si>
  <si>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</si>
  <si>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</si>
  <si>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</si>
  <si>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</si>
  <si>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</si>
  <si>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</si>
  <si>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</si>
  <si>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</si>
  <si>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</si>
  <si>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</si>
  <si>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</si>
  <si>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</si>
  <si>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</si>
  <si>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</si>
  <si>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</si>
  <si>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</si>
  <si>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</si>
  <si>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</si>
  <si>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</si>
  <si>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</si>
  <si>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</si>
  <si>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</si>
  <si>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</si>
  <si>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</si>
  <si>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</si>
  <si>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</si>
  <si>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</si>
  <si>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</si>
  <si>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</si>
  <si>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</si>
  <si>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</si>
  <si>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</si>
  <si>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</si>
  <si>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</si>
  <si>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</si>
  <si>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</si>
  <si>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</si>
  <si>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</si>
  <si>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</si>
  <si>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</si>
  <si>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</si>
  <si>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</si>
  <si>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</si>
  <si>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</si>
  <si>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</si>
  <si>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</si>
  <si>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</si>
  <si>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</si>
  <si>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</si>
  <si>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</si>
  <si>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</si>
  <si>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</si>
  <si>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</si>
  <si>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</si>
  <si>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</si>
  <si>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</si>
  <si>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</si>
  <si>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</si>
  <si>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</si>
  <si>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</si>
  <si>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</si>
  <si>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</si>
  <si>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</si>
  <si>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</si>
  <si>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</si>
  <si>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</si>
  <si>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</si>
  <si>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</si>
  <si>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</si>
  <si>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</si>
  <si>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</si>
  <si>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</si>
  <si>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</si>
  <si>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</si>
  <si>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</si>
  <si>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</si>
  <si>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</si>
  <si>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</si>
  <si>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</si>
  <si>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</si>
  <si>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</si>
  <si>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</si>
  <si>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</si>
  <si>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</si>
  <si>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</si>
  <si>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</si>
  <si>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</si>
  <si>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</si>
  <si>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</si>
  <si>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</si>
  <si>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</si>
  <si>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</si>
  <si>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</si>
  <si>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</si>
  <si>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</si>
  <si>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</si>
  <si>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</si>
  <si>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</si>
  <si>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</si>
  <si>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</si>
  <si>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</si>
  <si>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</si>
  <si>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</si>
  <si>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</si>
  <si>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</si>
  <si>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</si>
  <si>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</si>
  <si>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</si>
  <si>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</si>
  <si>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</si>
  <si>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</si>
  <si>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</si>
  <si>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</si>
  <si>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</si>
  <si>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</si>
  <si>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</si>
  <si>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</si>
  <si>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</si>
  <si>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</si>
  <si>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</si>
  <si>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</si>
  <si>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</si>
  <si>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</si>
  <si>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</si>
  <si>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</si>
  <si>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</si>
  <si>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</si>
  <si>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</si>
  <si>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</si>
  <si>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</si>
  <si>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</si>
  <si>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</si>
  <si>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</si>
  <si>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</si>
  <si>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</si>
  <si>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</si>
  <si>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</si>
  <si>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</si>
  <si>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</si>
  <si>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</si>
  <si>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</si>
  <si>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</si>
  <si>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</si>
  <si>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</si>
  <si>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</si>
  <si>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</si>
  <si>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</si>
  <si>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</si>
  <si>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</si>
  <si>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</si>
  <si>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</si>
  <si>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</si>
  <si>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</si>
  <si>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</si>
  <si>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</si>
  <si>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</si>
  <si>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</si>
  <si>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</si>
  <si>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</si>
  <si>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</si>
  <si>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</si>
  <si>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</si>
  <si>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</si>
  <si>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</si>
  <si>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</si>
  <si>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</si>
  <si>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</si>
  <si>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</si>
  <si>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</si>
  <si>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</si>
  <si>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</si>
  <si>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</si>
  <si>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</si>
  <si>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</si>
  <si>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</si>
  <si>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</si>
  <si>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</si>
  <si>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</si>
  <si>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</si>
  <si>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</si>
  <si>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</si>
  <si>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</si>
  <si>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</si>
  <si>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</si>
  <si>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</si>
  <si>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</si>
  <si>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</si>
  <si>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</si>
  <si>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</si>
  <si>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</si>
  <si>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</si>
  <si>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</si>
  <si>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</si>
  <si>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</si>
  <si>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</si>
  <si>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</si>
  <si>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</si>
  <si>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</si>
  <si>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</si>
  <si>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</si>
  <si>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</si>
  <si>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</si>
  <si>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</si>
  <si>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</si>
  <si>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</si>
  <si>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</si>
  <si>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</si>
  <si>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</si>
  <si>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</si>
  <si>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</si>
  <si>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</si>
  <si>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</si>
  <si>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</si>
  <si>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</si>
  <si>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</si>
  <si>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</si>
  <si>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</si>
  <si>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</si>
  <si>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</si>
  <si>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</si>
  <si>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</si>
  <si>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</si>
  <si>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</si>
  <si>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</si>
  <si>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</si>
  <si>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</si>
  <si>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</si>
  <si>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</si>
  <si>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</si>
  <si>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</si>
  <si>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</si>
  <si>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</si>
  <si>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</si>
  <si>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</si>
  <si>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</si>
  <si>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</si>
  <si>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</si>
  <si>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</si>
  <si>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</si>
  <si>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</si>
  <si>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</si>
  <si>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</si>
  <si>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</si>
  <si>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</si>
  <si>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</si>
  <si>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</si>
  <si>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</si>
  <si>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</si>
  <si>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</si>
  <si>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</si>
  <si>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</si>
  <si>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</si>
  <si>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</si>
  <si>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</si>
  <si>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</si>
  <si>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</si>
  <si>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</si>
  <si>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</si>
  <si>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</si>
  <si>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</si>
  <si>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</si>
  <si>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</si>
  <si>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</si>
  <si>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</si>
  <si>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</si>
  <si>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</si>
  <si>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</si>
  <si>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</si>
  <si>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</si>
  <si>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</si>
  <si>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</si>
  <si>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</si>
  <si>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</si>
  <si>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</si>
  <si>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</si>
  <si>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</si>
  <si>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</si>
  <si>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</si>
  <si>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</si>
  <si>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</si>
  <si>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</si>
  <si>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</si>
  <si>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</si>
  <si>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</si>
  <si>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</si>
  <si>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</si>
  <si>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</si>
  <si>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</si>
  <si>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</si>
  <si>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</si>
  <si>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</si>
  <si>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</si>
  <si>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</si>
  <si>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</si>
  <si>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</si>
  <si>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</si>
  <si>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</si>
  <si>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</si>
  <si>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</si>
  <si>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</si>
  <si>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</si>
  <si>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</si>
  <si>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</si>
  <si>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</si>
  <si>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</si>
  <si>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</si>
  <si>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</si>
  <si>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</si>
  <si>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</si>
  <si>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</si>
  <si>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</si>
  <si>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</si>
  <si>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</si>
  <si>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</si>
  <si>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</si>
  <si>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</si>
  <si>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</si>
  <si>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</si>
  <si>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</si>
  <si>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</si>
  <si>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</si>
  <si>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</si>
  <si>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</si>
  <si>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</si>
  <si>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</si>
  <si>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</si>
  <si>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</si>
  <si>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</si>
  <si>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</si>
  <si>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</si>
  <si>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</si>
  <si>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</si>
  <si>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</si>
  <si>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</si>
  <si>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</si>
  <si>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</si>
  <si>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</si>
  <si>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</si>
  <si>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</si>
  <si>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</si>
  <si>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</si>
  <si>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</si>
  <si>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</si>
  <si>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</si>
  <si>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</si>
  <si>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</si>
  <si>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</si>
  <si>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</si>
  <si>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</si>
  <si>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</si>
  <si>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</si>
  <si>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</si>
  <si>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</si>
  <si>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</si>
  <si>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</si>
  <si>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</si>
  <si>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</si>
  <si>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</si>
  <si>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</si>
  <si>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</si>
  <si>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</si>
  <si>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</si>
  <si>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</si>
  <si>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</si>
  <si>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</si>
  <si>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</si>
  <si>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</si>
  <si>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</si>
  <si>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</si>
  <si>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</si>
  <si>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</si>
  <si>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</si>
  <si>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</si>
  <si>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</si>
  <si>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</si>
  <si>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</si>
  <si>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</si>
  <si>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</si>
  <si>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</si>
  <si>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</si>
  <si>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</si>
  <si>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</si>
  <si>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</si>
  <si>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</si>
  <si>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</si>
  <si>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</si>
  <si>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</si>
  <si>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</si>
  <si>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</si>
  <si>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</si>
  <si>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</si>
  <si>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</si>
  <si>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</si>
  <si>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</si>
  <si>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</si>
  <si>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</si>
  <si>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</si>
  <si>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</si>
  <si>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</si>
  <si>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</si>
  <si>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</si>
  <si>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</si>
  <si>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</si>
  <si>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</si>
  <si>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</si>
  <si>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</si>
  <si>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</si>
  <si>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</si>
  <si>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</si>
  <si>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</si>
  <si>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</si>
  <si>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</si>
  <si>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</si>
  <si>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</si>
  <si>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</si>
  <si>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</si>
  <si>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</si>
  <si>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</si>
  <si>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</si>
  <si>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</si>
  <si>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</si>
  <si>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</si>
  <si>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</si>
  <si>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</si>
  <si>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</si>
  <si>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</si>
  <si>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</si>
  <si>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</si>
  <si>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</si>
  <si>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</si>
  <si>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</si>
  <si>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</si>
  <si>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</si>
  <si>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</si>
  <si>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</si>
  <si>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</si>
  <si>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</si>
  <si>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</si>
  <si>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</si>
  <si>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</si>
  <si>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</si>
  <si>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</si>
  <si>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</si>
  <si>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</si>
  <si>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</si>
  <si>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</si>
  <si>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</si>
  <si>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</si>
  <si>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</si>
  <si>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</si>
  <si>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</si>
  <si>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</si>
  <si>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</si>
  <si>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</si>
  <si>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</si>
  <si>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</si>
  <si>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</si>
  <si>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</si>
  <si>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</si>
  <si>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</si>
  <si>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</si>
  <si>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</si>
  <si>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</si>
  <si>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</si>
  <si>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</si>
  <si>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</si>
  <si>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</si>
  <si>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</si>
  <si>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</si>
  <si>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</si>
  <si>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</si>
  <si>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</si>
  <si>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</si>
  <si>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</si>
  <si>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</si>
  <si>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</si>
  <si>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</si>
  <si>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</si>
  <si>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</si>
  <si>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</si>
  <si>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</si>
  <si>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</si>
  <si>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</si>
  <si>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</si>
  <si>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</si>
  <si>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</si>
  <si>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</si>
  <si>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</si>
  <si>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</si>
  <si>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</si>
  <si>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</si>
  <si>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</si>
  <si>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</si>
  <si>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</si>
  <si>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</si>
  <si>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</si>
  <si>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</si>
  <si>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</si>
  <si>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</si>
  <si>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</si>
  <si>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</si>
  <si>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</si>
  <si>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</si>
  <si>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</si>
  <si>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</si>
  <si>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</si>
  <si>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</si>
  <si>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</si>
  <si>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</si>
  <si>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</si>
  <si>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</si>
  <si>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</si>
  <si>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</si>
  <si>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</si>
  <si>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</si>
  <si>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</si>
  <si>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</si>
  <si>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</si>
  <si>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</si>
  <si>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</si>
  <si>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</si>
  <si>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</si>
  <si>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</si>
  <si>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</si>
  <si>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</si>
  <si>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</si>
  <si>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</si>
  <si>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</si>
  <si>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</si>
  <si>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</si>
  <si>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</si>
  <si>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</si>
  <si>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</si>
  <si>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</si>
  <si>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</si>
  <si>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</si>
  <si>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</si>
  <si>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</si>
  <si>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</si>
  <si>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</si>
  <si>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</si>
  <si>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</si>
  <si>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</si>
  <si>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</si>
  <si>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</si>
  <si>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</si>
  <si>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</si>
  <si>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</si>
  <si>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</si>
  <si>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</si>
  <si>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</si>
  <si>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</si>
  <si>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</si>
  <si>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</si>
  <si>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</si>
  <si>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</si>
  <si>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</si>
  <si>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</si>
  <si>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</si>
  <si>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</si>
  <si>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</si>
  <si>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</si>
  <si>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</si>
  <si>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</si>
  <si>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</si>
  <si>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</si>
  <si>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</si>
  <si>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</si>
  <si>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</si>
  <si>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</si>
  <si>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</si>
  <si>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</si>
  <si>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</si>
  <si>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</si>
  <si>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</si>
  <si>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</si>
  <si>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</si>
  <si>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</si>
  <si>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</si>
  <si>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</si>
  <si>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</si>
  <si>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</si>
  <si>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</si>
  <si>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</si>
  <si>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</si>
  <si>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</si>
  <si>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</si>
  <si>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</si>
  <si>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</si>
  <si>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</si>
  <si>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</si>
  <si>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</si>
  <si>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</si>
  <si>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</si>
  <si>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</si>
  <si>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</si>
  <si>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</si>
  <si>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</si>
  <si>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</si>
  <si>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</si>
  <si>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</si>
  <si>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</si>
  <si>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</si>
  <si>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</si>
  <si>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</si>
  <si>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</si>
  <si>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</si>
  <si>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</si>
  <si>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</si>
  <si>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</si>
  <si>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</si>
  <si>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</si>
  <si>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</si>
  <si>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</si>
  <si>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</si>
  <si>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</si>
  <si>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</si>
  <si>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</si>
  <si>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</si>
  <si>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</si>
  <si>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</si>
  <si>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</si>
  <si>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</si>
  <si>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</si>
  <si>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</si>
  <si>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</si>
  <si>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</si>
  <si>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</si>
  <si>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</si>
  <si>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</si>
  <si>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</si>
  <si>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</si>
  <si>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</si>
  <si>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</si>
  <si>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</si>
  <si>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</si>
  <si>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</si>
  <si>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</si>
  <si>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</si>
  <si>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</si>
  <si>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</si>
  <si>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</si>
  <si>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</si>
  <si>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</si>
  <si>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</si>
  <si>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</si>
  <si>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</si>
  <si>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</si>
  <si>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</si>
  <si>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</si>
  <si>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</si>
  <si>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</si>
  <si>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</si>
  <si>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</si>
  <si>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</si>
  <si>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</si>
  <si>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</si>
  <si>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</si>
  <si>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</si>
  <si>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</si>
  <si>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</si>
  <si>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</si>
  <si>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</si>
  <si>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</si>
  <si>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</si>
  <si>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</si>
  <si>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</si>
  <si>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</si>
  <si>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</si>
  <si>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</si>
  <si>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</si>
  <si>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</si>
  <si>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</si>
  <si>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</si>
  <si>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</si>
  <si>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</si>
  <si>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</si>
  <si>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</si>
  <si>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</si>
  <si>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</si>
  <si>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</si>
  <si>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</si>
  <si>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</si>
  <si>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</si>
  <si>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</si>
  <si>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</si>
  <si>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</si>
  <si>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</si>
  <si>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</si>
  <si>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</si>
  <si>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</si>
  <si>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</si>
  <si>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</si>
  <si>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</si>
  <si>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</si>
  <si>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</si>
  <si>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</si>
  <si>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</si>
  <si>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</si>
  <si>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</si>
  <si>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</si>
  <si>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</si>
  <si>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</si>
  <si>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</si>
  <si>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</si>
  <si>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</si>
  <si>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</si>
  <si>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</si>
  <si>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</si>
  <si>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</si>
  <si>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</si>
  <si>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</si>
  <si>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</si>
  <si>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</si>
  <si>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</si>
  <si>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</si>
  <si>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</si>
  <si>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</si>
  <si>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</si>
  <si>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</si>
  <si>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</si>
  <si>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</si>
  <si>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</si>
  <si>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</si>
  <si>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</si>
  <si>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</si>
  <si>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</si>
  <si>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</si>
  <si>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</si>
  <si>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</si>
  <si>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</si>
  <si>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</si>
  <si>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</si>
  <si>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</si>
  <si>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</si>
  <si>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</si>
  <si>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</si>
  <si>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</si>
  <si>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</si>
  <si>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</si>
  <si>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</si>
  <si>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</si>
  <si>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</si>
  <si>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</si>
  <si>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</si>
  <si>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</si>
  <si>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</si>
  <si>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</si>
  <si>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</si>
  <si>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</si>
  <si>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</si>
  <si>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</si>
  <si>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</si>
  <si>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</si>
  <si>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</si>
  <si>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</si>
  <si>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</si>
  <si>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</si>
  <si>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</si>
  <si>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</si>
  <si>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</si>
  <si>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</si>
  <si>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</si>
  <si>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</si>
  <si>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</si>
  <si>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</si>
  <si>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</si>
  <si>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</si>
  <si>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</si>
  <si>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</si>
  <si>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</si>
  <si>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</si>
  <si>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</si>
  <si>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</si>
  <si>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</si>
  <si>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</si>
  <si>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</si>
  <si>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</si>
  <si>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</si>
  <si>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</si>
  <si>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</si>
  <si>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</si>
  <si>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</si>
  <si>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</si>
  <si>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</si>
  <si>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</si>
  <si>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</si>
  <si>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</si>
  <si>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</si>
  <si>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</si>
  <si>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</si>
  <si>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</si>
  <si>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</si>
  <si>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</si>
  <si>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</si>
  <si>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</si>
  <si>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</si>
  <si>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</si>
  <si>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</si>
  <si>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</si>
  <si>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</si>
  <si>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</si>
  <si>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</si>
  <si>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</si>
  <si>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</si>
  <si>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</si>
  <si>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</si>
  <si>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</si>
  <si>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</si>
  <si>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</si>
  <si>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</si>
  <si>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</si>
  <si>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</si>
  <si>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</si>
  <si>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</si>
  <si>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</si>
  <si>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</si>
  <si>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</si>
  <si>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</si>
  <si>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</si>
  <si>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</si>
  <si>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</si>
  <si>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</si>
  <si>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</si>
  <si>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</si>
  <si>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</si>
  <si>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</si>
  <si>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</si>
  <si>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</si>
  <si>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</si>
  <si>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</si>
  <si>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</si>
  <si>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</si>
  <si>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</si>
  <si>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</si>
  <si>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</si>
  <si>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</si>
  <si>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</si>
  <si>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</si>
  <si>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</si>
  <si>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</si>
  <si>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</si>
  <si>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</si>
  <si>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</si>
  <si>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</si>
  <si>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</si>
  <si>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</si>
  <si>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</si>
  <si>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</si>
  <si>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</si>
  <si>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</si>
  <si>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</si>
  <si>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</si>
  <si>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</si>
  <si>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</si>
  <si>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</si>
  <si>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</si>
  <si>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</si>
  <si>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</si>
  <si>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</si>
  <si>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</si>
  <si>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</si>
  <si>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</si>
  <si>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</si>
  <si>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</si>
  <si>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</si>
  <si>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</si>
  <si>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</si>
  <si>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</si>
  <si>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</si>
  <si>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</si>
  <si>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</si>
  <si>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</si>
  <si>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</si>
  <si>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</si>
  <si>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</si>
  <si>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</si>
  <si>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</si>
  <si>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</si>
  <si>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</si>
  <si>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</si>
  <si>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</si>
  <si>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</si>
  <si>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</si>
  <si>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</si>
  <si>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</si>
  <si>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</si>
  <si>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</si>
  <si>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</si>
  <si>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</si>
  <si>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</si>
  <si>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</si>
  <si>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</si>
  <si>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</si>
  <si>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</si>
  <si>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</si>
  <si>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</si>
  <si>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</si>
  <si>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</si>
  <si>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</si>
  <si>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</si>
  <si>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</si>
  <si>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</si>
  <si>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</si>
  <si>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</si>
  <si>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</si>
  <si>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</si>
  <si>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</si>
  <si>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</si>
  <si>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</si>
  <si>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</si>
  <si>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</si>
  <si>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</si>
  <si>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</si>
  <si>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</si>
  <si>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</si>
  <si>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</si>
  <si>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</si>
  <si>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</si>
  <si>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</si>
  <si>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</si>
  <si>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</si>
  <si>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</si>
  <si>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</si>
  <si>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</si>
  <si>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</si>
  <si>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</si>
  <si>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</si>
  <si>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</si>
  <si>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</si>
  <si>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</si>
  <si>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</si>
  <si>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</si>
  <si>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</si>
  <si>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</si>
  <si>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</si>
  <si>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</si>
  <si>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</si>
  <si>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</si>
  <si>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</si>
  <si>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</si>
  <si>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</si>
  <si>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</si>
  <si>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</si>
  <si>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</si>
  <si>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</si>
  <si>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</si>
  <si>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</si>
  <si>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</si>
  <si>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</si>
  <si>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</si>
  <si>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</si>
  <si>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</si>
  <si>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</si>
  <si>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</si>
  <si>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</si>
  <si>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与级别开发程度一致</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</si>
  <si>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</si>
  <si>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</si>
  <si>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</si>
  <si>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</si>
  <si>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</si>
  <si>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</si>
  <si>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</si>
  <si>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</si>
  <si>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</si>
  <si>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</si>
  <si>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</si>
  <si>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</si>
  <si>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</si>
  <si>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</si>
  <si>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</si>
  <si>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</si>
  <si>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</si>
  <si>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</si>
  <si>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</si>
  <si>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</si>
  <si>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</si>
  <si>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</si>
  <si>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</si>
  <si>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</si>
  <si>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</si>
  <si>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</si>
  <si>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</si>
  <si>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</si>
  <si>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</si>
  <si>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</si>
  <si>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</si>
  <si>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</si>
  <si>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</si>
  <si>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</si>
  <si>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</si>
  <si>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</si>
  <si>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</si>
  <si>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</si>
  <si>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</si>
  <si>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</si>
  <si>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</si>
  <si>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</si>
  <si>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</si>
  <si>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</si>
  <si>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</si>
  <si>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</si>
  <si>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</si>
  <si>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</si>
  <si>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</si>
  <si>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</si>
  <si>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</si>
  <si>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</si>
  <si>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</si>
  <si>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</si>
  <si>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</si>
  <si>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</si>
  <si>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</si>
  <si>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</si>
  <si>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</si>
  <si>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</si>
  <si>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</si>
  <si>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</si>
  <si>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</si>
  <si>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</si>
  <si>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</si>
  <si>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</si>
  <si>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</si>
  <si>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</si>
  <si>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</si>
  <si>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</si>
  <si>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</si>
  <si>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</si>
  <si>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</si>
  <si>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</si>
  <si>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</si>
  <si>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</si>
  <si>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</si>
  <si>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</si>
  <si>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</si>
  <si>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</si>
  <si>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</si>
  <si>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</si>
  <si>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</si>
  <si>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</si>
  <si>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</si>
  <si>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</si>
  <si>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</si>
  <si>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</si>
  <si>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</si>
  <si>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</si>
  <si>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</si>
  <si>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</si>
  <si>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</si>
  <si>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</si>
  <si>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</si>
  <si>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</si>
  <si>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</si>
  <si>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</si>
  <si>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</si>
  <si>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较差</t>
  </si>
  <si>
    <t>商务金融用地</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</si>
  <si>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</si>
  <si>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</si>
  <si>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</si>
  <si>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</si>
  <si>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</si>
  <si>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</si>
  <si>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</si>
  <si>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</si>
  <si>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较好</t>
    <phoneticPr fontId="31" type="noConversion"/>
  </si>
  <si>
    <t>一般</t>
    <phoneticPr fontId="31" type="noConversion"/>
  </si>
  <si>
    <t>估价对象周边有M1、M25、M27、336、370、383、快速公交4线等多条公交线路，周边道路网线较密集，通达度较好。综合评价交通便捷度较好。</t>
    <phoneticPr fontId="3" type="noConversion"/>
  </si>
  <si>
    <t>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t>
    <phoneticPr fontId="3" type="noConversion"/>
  </si>
  <si>
    <t>估价对象周边有滨河世纪广场公园、永定河、黑山公园、门头沟体育馆等自然、人文场所，综合评价环境状况较好。</t>
    <phoneticPr fontId="3" type="noConversion"/>
  </si>
  <si>
    <r>
      <rPr>
        <sz val="10"/>
        <color theme="9" tint="-0.249977111117893"/>
        <rFont val="宋体"/>
        <family val="3"/>
        <charset val="134"/>
      </rPr>
      <t>次干道</t>
    </r>
    <r>
      <rPr>
        <sz val="10"/>
        <color theme="9" tint="-0.249977111117893"/>
        <rFont val="Arial"/>
        <family val="3"/>
        <charset val="134"/>
      </rPr>
      <t>-</t>
    </r>
    <r>
      <rPr>
        <sz val="10"/>
        <color theme="9" tint="-0.249977111117893"/>
        <rFont val="宋体"/>
        <family val="3"/>
        <charset val="134"/>
      </rPr>
      <t>新桥大街</t>
    </r>
    <phoneticPr fontId="24" type="noConversion"/>
  </si>
  <si>
    <t>Ⅶ-门1</t>
  </si>
  <si>
    <t>周边有少量相似物业，综合物业集聚程度一般。</t>
    <phoneticPr fontId="3" type="noConversion"/>
  </si>
  <si>
    <t>砖混</t>
  </si>
  <si>
    <t>砖混</t>
    <phoneticPr fontId="31" type="noConversion"/>
  </si>
  <si>
    <t>滑石道</t>
    <phoneticPr fontId="134" type="noConversion"/>
  </si>
  <si>
    <t>向东社区</t>
    <phoneticPr fontId="134" type="noConversion"/>
  </si>
  <si>
    <t>刘鸿瑞故居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</si>
</sst>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84" fillId="0" borderId="49" xfId="0" applyFont="1" applyBorder="1" applyAlignment="1" applyProtection="1">
      <alignment vertical="center"/>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8" fontId="95" fillId="0" borderId="0" xfId="10" applyNumberFormat="1" applyAlignment="1">
      <alignment vertical="center" wrapText="1" shrinkToFi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369;&#30707;&#36947;&#21150;&#2084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40511;&#29790;&#25925;&#23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3">
          <cell r="B33">
            <v>0.04</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滑石道"/>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刘鸿瑞故居"/>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估价对象为北京市房地产，为所有。根据《国有土地使用证》[]，估价对象（分摊）出让国有建设用地使用权面积为0平方米，建筑面积为135.71平方米。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估价对象为北京市房地产,属开发建设的，该项目尚在开发建设中。根据《国有土地使用证》[]，估价对象（分摊）出让国有建设用地使用权面积为0平方米，规划建筑面积为135.71平方米。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135.71</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2574</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2575</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1" t="s">
        <v>385</v>
      </c>
      <c r="C54" s="1548" t="s">
        <v>583</v>
      </c>
    </row>
    <row r="55" spans="1:4">
      <c r="A55" s="3576"/>
      <c r="B55" s="1551" t="s">
        <v>386</v>
      </c>
      <c r="C55" s="1548" t="s">
        <v>584</v>
      </c>
    </row>
    <row r="56" spans="1:4">
      <c r="A56" s="3576"/>
      <c r="B56" s="1551" t="s">
        <v>387</v>
      </c>
      <c r="C56" s="1548" t="s">
        <v>588</v>
      </c>
    </row>
    <row r="57" spans="1:4">
      <c r="A57" s="357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1" t="s">
        <v>2590</v>
      </c>
      <c r="J1" s="3220"/>
      <c r="K1" s="3220"/>
      <c r="L1" s="3220"/>
      <c r="M1" s="3220"/>
      <c r="N1" s="3432"/>
      <c r="O1" s="3432"/>
      <c r="P1" s="3432"/>
      <c r="Q1" s="3432"/>
      <c r="R1" s="3432"/>
    </row>
    <row r="2" spans="1:18">
      <c r="A2" s="3011"/>
      <c r="B2" s="3012"/>
      <c r="C2" s="3012"/>
      <c r="D2" s="3012"/>
      <c r="E2" s="3012"/>
      <c r="F2" s="3013"/>
      <c r="I2" s="3577" t="s">
        <v>2577</v>
      </c>
      <c r="J2" s="3577"/>
      <c r="K2" s="3577"/>
      <c r="L2" s="3577"/>
      <c r="M2" s="3577"/>
      <c r="N2" s="3577"/>
      <c r="O2" s="3577"/>
      <c r="P2" s="3577"/>
      <c r="Q2" s="3577"/>
      <c r="R2" s="3577"/>
    </row>
    <row r="3" spans="1:18">
      <c r="A3" s="3014" t="s">
        <v>2498</v>
      </c>
      <c r="B3" s="3015">
        <f>项目基本情况!D3</f>
        <v>45097</v>
      </c>
      <c r="C3" s="3017"/>
      <c r="D3" s="3017"/>
      <c r="E3" s="3017"/>
      <c r="F3" s="3013"/>
      <c r="I3" s="3433"/>
      <c r="J3" s="3433" t="s">
        <v>2581</v>
      </c>
      <c r="K3" s="3433" t="s">
        <v>2582</v>
      </c>
      <c r="L3" s="3433" t="s">
        <v>2583</v>
      </c>
      <c r="M3" s="3433" t="s">
        <v>2584</v>
      </c>
      <c r="N3" s="3434" t="s">
        <v>2585</v>
      </c>
      <c r="O3" s="3434" t="s">
        <v>2586</v>
      </c>
      <c r="P3" s="3434" t="s">
        <v>2587</v>
      </c>
      <c r="Q3" s="3434" t="s">
        <v>2588</v>
      </c>
      <c r="R3" s="3434" t="s">
        <v>2589</v>
      </c>
    </row>
    <row r="4" spans="1:18">
      <c r="A4" s="3014" t="s">
        <v>2499</v>
      </c>
      <c r="B4" s="3017" t="s">
        <v>2500</v>
      </c>
      <c r="C4" s="3017" t="s">
        <v>2501</v>
      </c>
      <c r="D4" s="3017" t="s">
        <v>2502</v>
      </c>
      <c r="E4" s="3017" t="s">
        <v>2503</v>
      </c>
      <c r="F4" s="3013"/>
      <c r="I4" s="3433" t="s">
        <v>2578</v>
      </c>
      <c r="J4" s="3433">
        <v>80</v>
      </c>
      <c r="K4" s="3433">
        <v>70</v>
      </c>
      <c r="L4" s="3433">
        <v>20</v>
      </c>
      <c r="M4" s="3433">
        <v>30</v>
      </c>
      <c r="N4" s="3017">
        <v>45</v>
      </c>
      <c r="O4" s="3017">
        <v>60</v>
      </c>
      <c r="P4" s="3017">
        <v>50</v>
      </c>
      <c r="Q4" s="3017">
        <v>20</v>
      </c>
      <c r="R4" s="3017">
        <v>375</v>
      </c>
    </row>
    <row r="5" spans="1:18">
      <c r="A5" s="3018">
        <v>40</v>
      </c>
      <c r="B5" s="3015">
        <v>46375</v>
      </c>
      <c r="C5" s="3017">
        <f>ROUNDDOWN(MIN((B5-B3)/365,A5),2)</f>
        <v>3.5</v>
      </c>
      <c r="D5" s="3019">
        <f>IF(ISERROR(ROUND(POWER(1+E5,A5-C5)*(POWER(1+E5,C5)-1)/(POWER(1+E5,A5)-1),3)),0,ROUND(POWER(1+E5,A5-C5)*(POWER(1+E5,C5)-1)/(POWER(1+E5,A5)-1),4))</f>
        <v>0.16200000000000001</v>
      </c>
      <c r="E5" s="3020">
        <v>0.04</v>
      </c>
      <c r="F5" s="3013"/>
      <c r="I5" s="3433" t="s">
        <v>2579</v>
      </c>
      <c r="J5" s="3433">
        <v>70</v>
      </c>
      <c r="K5" s="3433">
        <v>60</v>
      </c>
      <c r="L5" s="3433">
        <v>15</v>
      </c>
      <c r="M5" s="3433">
        <v>25</v>
      </c>
      <c r="N5" s="3017">
        <v>40</v>
      </c>
      <c r="O5" s="3017">
        <v>50</v>
      </c>
      <c r="P5" s="3017">
        <v>40</v>
      </c>
      <c r="Q5" s="3017">
        <v>15</v>
      </c>
      <c r="R5" s="3017">
        <v>315</v>
      </c>
    </row>
    <row r="6" spans="1:18">
      <c r="A6" s="3018">
        <v>50</v>
      </c>
      <c r="B6" s="3015">
        <v>50028</v>
      </c>
      <c r="C6" s="3017">
        <f>ROUNDDOWN(MIN((B6-B3)/365,A6),2)</f>
        <v>13.5</v>
      </c>
      <c r="D6" s="3019">
        <f>IF(ISERROR(ROUND(POWER(1+E6,A6-C6)*(POWER(1+E6,C6)-1)/(POWER(1+E6,A6)-1),3)),0,ROUND(POWER(1+E6,A6-C6)*(POWER(1+E6,C6)-1)/(POWER(1+E6,A6)-1),4))</f>
        <v>0.47839999999999999</v>
      </c>
      <c r="E6" s="3020">
        <v>0.04</v>
      </c>
      <c r="F6" s="3013"/>
      <c r="I6" s="3433" t="s">
        <v>2580</v>
      </c>
      <c r="J6" s="3433">
        <v>60</v>
      </c>
      <c r="K6" s="3433">
        <v>50</v>
      </c>
      <c r="L6" s="3433">
        <v>10</v>
      </c>
      <c r="M6" s="3433">
        <v>20</v>
      </c>
      <c r="N6" s="3017">
        <v>35</v>
      </c>
      <c r="O6" s="3017">
        <v>40</v>
      </c>
      <c r="P6" s="3017">
        <v>30</v>
      </c>
      <c r="Q6" s="3017">
        <v>10</v>
      </c>
      <c r="R6" s="3017">
        <v>255</v>
      </c>
    </row>
    <row r="7" spans="1:18">
      <c r="A7" s="3018">
        <v>70</v>
      </c>
      <c r="B7" s="3015">
        <v>57333</v>
      </c>
      <c r="C7" s="3017">
        <f>ROUNDDOWN(MIN((B7-B3)/365,A7),2)</f>
        <v>33.520000000000003</v>
      </c>
      <c r="D7" s="3019">
        <f>IF(ISERROR(ROUND(POWER(1+E7,A7-C7)*(POWER(1+E7,C7)-1)/(POWER(1+E7,A7)-1),3)),0,ROUND(POWER(1+E7,A7-C7)*(POWER(1+E7,C7)-1)/(POWER(1+E7,A7)-1),4))</f>
        <v>0.78159999999999996</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6" zoomScaleNormal="100" zoomScaleSheetLayoutView="100" workbookViewId="0">
      <selection activeCell="G41" sqref="G4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2165</v>
      </c>
      <c r="B1" s="3586" t="str">
        <f>IF(B10="北京市","北京市",C10)&amp;F10&amp;IF(结果表!G1="在建","出让国有建设用地使用权及在建建筑物",IF(结果表!G1="土地","出让国有建设用地使用权",))&amp;B9&amp;"预评估"</f>
        <v>北京市房地产市场价值预评估</v>
      </c>
      <c r="C1" s="3587"/>
      <c r="D1" s="3587"/>
      <c r="E1" s="3587"/>
      <c r="F1" s="3587"/>
      <c r="G1" s="3587"/>
      <c r="H1" s="3587"/>
      <c r="I1" s="3588"/>
      <c r="J1" s="2466"/>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3" t="s">
        <v>2166</v>
      </c>
      <c r="B2" s="2367"/>
      <c r="C2" s="2368"/>
      <c r="D2" s="2664"/>
      <c r="E2" s="2656"/>
      <c r="F2" s="2656"/>
      <c r="G2" s="2657"/>
      <c r="H2" s="2657"/>
      <c r="I2" s="2657"/>
      <c r="J2" s="2466"/>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9">
        <v>45097</v>
      </c>
      <c r="C3" s="2370" t="s">
        <v>2168</v>
      </c>
      <c r="D3" s="2369">
        <f>B3</f>
        <v>45097</v>
      </c>
      <c r="E3" s="2657"/>
      <c r="F3" s="2657"/>
      <c r="G3" s="2657"/>
      <c r="H3" s="2657"/>
      <c r="I3" s="2657"/>
      <c r="J3" s="2466"/>
      <c r="K3" s="2364"/>
      <c r="L3" s="2365"/>
      <c r="M3" s="2365"/>
      <c r="N3" s="2366"/>
      <c r="O3" s="1573"/>
      <c r="P3" s="2366"/>
      <c r="Q3" s="2366"/>
      <c r="R3" s="2366"/>
      <c r="S3" s="1678"/>
      <c r="T3" s="1741"/>
      <c r="U3" s="1741"/>
      <c r="V3" s="1741"/>
      <c r="W3" s="1741"/>
      <c r="X3" s="1741"/>
      <c r="Y3" s="1741"/>
      <c r="Z3" s="1741"/>
      <c r="AA3" s="1741"/>
      <c r="AB3" s="1741"/>
    </row>
    <row r="4" spans="1:30" ht="13.5" thickBot="1">
      <c r="A4" s="1087"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2170</v>
      </c>
      <c r="B5" s="2376"/>
      <c r="C5" s="2377"/>
      <c r="D5" s="2378"/>
      <c r="E5" s="2658"/>
      <c r="F5" s="2658"/>
      <c r="G5" s="2658"/>
      <c r="H5" s="2658"/>
      <c r="I5" s="2658"/>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2171</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2172</v>
      </c>
      <c r="B7" s="2383"/>
      <c r="C7" s="2381"/>
      <c r="D7" s="2382"/>
      <c r="E7" s="2656"/>
      <c r="F7" s="2658"/>
      <c r="G7" s="2658"/>
      <c r="H7" s="2658"/>
      <c r="I7" s="2658"/>
      <c r="J7" s="2435"/>
      <c r="K7" s="2610"/>
      <c r="L7" s="2607"/>
      <c r="M7" s="2607"/>
      <c r="N7" s="2435"/>
      <c r="O7" s="2446"/>
      <c r="P7" s="2435"/>
      <c r="Q7" s="2435"/>
      <c r="R7" s="2435"/>
    </row>
    <row r="8" spans="1:30">
      <c r="A8" s="2384" t="s">
        <v>2173</v>
      </c>
      <c r="B8" s="2385" t="s">
        <v>3498</v>
      </c>
      <c r="C8" s="2386"/>
      <c r="D8" s="3589" t="s">
        <v>2174</v>
      </c>
      <c r="E8" s="2387"/>
      <c r="F8" s="2388"/>
      <c r="G8" s="2657"/>
      <c r="H8" s="2657"/>
      <c r="I8" s="2657"/>
      <c r="J8" s="2435"/>
      <c r="K8" s="2608"/>
      <c r="L8" s="2607"/>
      <c r="M8" s="2607"/>
      <c r="N8" s="2435"/>
      <c r="O8" s="2446"/>
      <c r="P8" s="2435"/>
      <c r="Q8" s="2435"/>
      <c r="R8" s="2435"/>
    </row>
    <row r="9" spans="1:30" ht="13.5" thickBot="1">
      <c r="A9" s="2389" t="s">
        <v>2175</v>
      </c>
      <c r="B9" s="2390" t="s">
        <v>3499</v>
      </c>
      <c r="C9" s="2391"/>
      <c r="D9" s="3590"/>
      <c r="E9" s="2390"/>
      <c r="F9" s="2392"/>
      <c r="G9" s="2659"/>
      <c r="H9" s="2659"/>
      <c r="I9" s="2659"/>
      <c r="J9" s="2435"/>
      <c r="K9" s="2610"/>
      <c r="L9" s="2607"/>
      <c r="M9" s="2607"/>
      <c r="N9" s="2435"/>
      <c r="O9" s="2446"/>
      <c r="P9" s="2435"/>
      <c r="Q9" s="2435"/>
      <c r="R9" s="2435"/>
    </row>
    <row r="10" spans="1:30" ht="13.5" thickTop="1">
      <c r="A10" s="2393" t="s">
        <v>2176</v>
      </c>
      <c r="B10" s="2394" t="s">
        <v>3497</v>
      </c>
      <c r="C10" s="2395"/>
      <c r="D10" s="2378"/>
      <c r="E10" s="2396" t="s">
        <v>2177</v>
      </c>
      <c r="F10" s="2660"/>
      <c r="G10" s="2661"/>
      <c r="H10" s="2662"/>
      <c r="I10" s="2663"/>
      <c r="J10" s="2435"/>
      <c r="K10" s="2610"/>
      <c r="L10" s="2607"/>
      <c r="M10" s="2607"/>
      <c r="N10" s="2435"/>
      <c r="O10" s="2446"/>
      <c r="P10" s="2435"/>
      <c r="Q10" s="2435"/>
      <c r="R10" s="2435"/>
    </row>
    <row r="11" spans="1:30">
      <c r="A11" s="2397" t="s">
        <v>2178</v>
      </c>
      <c r="B11" s="2398" t="s">
        <v>3496</v>
      </c>
      <c r="C11" s="2399"/>
      <c r="D11" s="2400"/>
      <c r="E11" s="2366"/>
      <c r="F11" s="2366"/>
      <c r="G11" s="2366"/>
      <c r="H11" s="2366"/>
      <c r="I11" s="2366"/>
      <c r="J11" s="3055"/>
      <c r="K11" s="3054"/>
      <c r="L11" s="2607"/>
      <c r="M11" s="2607"/>
      <c r="N11" s="2435"/>
      <c r="O11" s="2446"/>
      <c r="P11" s="2435"/>
      <c r="Q11" s="2435"/>
      <c r="R11" s="2435"/>
    </row>
    <row r="12" spans="1:30">
      <c r="A12" s="2401" t="s">
        <v>2179</v>
      </c>
      <c r="B12" s="322" t="s">
        <v>2180</v>
      </c>
      <c r="C12" s="2402" t="s">
        <v>2181</v>
      </c>
      <c r="D12" s="2402" t="s">
        <v>2182</v>
      </c>
      <c r="E12" s="2402" t="s">
        <v>2183</v>
      </c>
      <c r="F12" s="2402" t="s">
        <v>2184</v>
      </c>
      <c r="G12" s="2402" t="s">
        <v>2185</v>
      </c>
      <c r="H12" s="2402" t="s">
        <v>2186</v>
      </c>
      <c r="I12" s="3053" t="s">
        <v>2573</v>
      </c>
      <c r="J12" s="3056"/>
      <c r="K12" s="2607"/>
      <c r="L12" s="2607"/>
      <c r="M12" s="2435"/>
      <c r="N12" s="2446"/>
      <c r="O12" s="2435"/>
      <c r="P12" s="2435"/>
      <c r="Q12" s="2435"/>
      <c r="AD12" s="1741"/>
    </row>
    <row r="13" spans="1:30">
      <c r="A13" s="3417" t="s">
        <v>3613</v>
      </c>
      <c r="B13" s="2403" t="s">
        <v>2187</v>
      </c>
      <c r="C13" s="854"/>
      <c r="D13" s="854"/>
      <c r="E13" s="854"/>
      <c r="F13" s="854"/>
      <c r="G13" s="854"/>
      <c r="H13" s="854"/>
      <c r="I13" s="854"/>
      <c r="J13" s="3056"/>
      <c r="K13" s="2607"/>
      <c r="L13" s="2607"/>
      <c r="M13" s="2435"/>
      <c r="N13" s="2446"/>
      <c r="O13" s="2435"/>
      <c r="P13" s="2435"/>
      <c r="Q13" s="2435"/>
      <c r="AD13" s="1741"/>
    </row>
    <row r="14" spans="1:30">
      <c r="A14" s="1078"/>
      <c r="B14" s="2403" t="s">
        <v>2188</v>
      </c>
      <c r="C14" s="2404"/>
      <c r="D14" s="2404">
        <v>40</v>
      </c>
      <c r="E14" s="2404">
        <v>50</v>
      </c>
      <c r="F14" s="2404"/>
      <c r="G14" s="2404"/>
      <c r="H14" s="2404"/>
      <c r="I14" s="2404"/>
      <c r="J14" s="3057"/>
      <c r="K14" s="2607"/>
      <c r="L14" s="2607"/>
      <c r="M14" s="2435"/>
      <c r="N14" s="2446"/>
      <c r="O14" s="2435"/>
      <c r="P14" s="2435"/>
      <c r="Q14" s="2435"/>
      <c r="AD14" s="1741"/>
    </row>
    <row r="15" spans="1:30">
      <c r="A15" s="319"/>
      <c r="B15" s="2405" t="s">
        <v>2189</v>
      </c>
      <c r="C15" s="2406">
        <f>IF(A13="出让",IF(C13="","",ROUNDDOWN(MIN((C13-$D$3)/365,C14),2)),C14)</f>
        <v>0</v>
      </c>
      <c r="D15" s="2406">
        <f>IF(A13="出让",IF(D13="","",ROUNDDOWN(MIN((D13-$D$3)/365,D14),2)),D14)</f>
        <v>40</v>
      </c>
      <c r="E15" s="2406">
        <f>IF(A13="出让",IF(E13="","",ROUNDDOWN(MIN((E13-$D$3)/365,E14),2)),E14)</f>
        <v>50</v>
      </c>
      <c r="F15" s="2406">
        <f>IF(A13="出让",IF(F13="","",ROUNDDOWN(MIN((F13-$D$3)/365,F14),2)),F14)</f>
        <v>0</v>
      </c>
      <c r="G15" s="2406">
        <f>IF(A13="出让",IF(G13="","",ROUNDDOWN(MIN((G13-$D$3)/365,G14),2)),G14)</f>
        <v>0</v>
      </c>
      <c r="H15" s="2406">
        <f>IF(A13="出让",IF(H13="","",ROUNDDOWN(MIN((H13-$D$3)/365,H14),2)),H14)</f>
        <v>0</v>
      </c>
      <c r="I15" s="2406">
        <f>IF(A13="出让",IF(I13="","",ROUNDDOWN(MIN((I13-$D$3)/365,I14),2)),I14)</f>
        <v>0</v>
      </c>
      <c r="J15" s="3058"/>
      <c r="K15" s="2447"/>
      <c r="L15" s="2447"/>
      <c r="M15" s="2503"/>
      <c r="N15" s="2447"/>
      <c r="O15" s="2503"/>
      <c r="P15" s="2435"/>
      <c r="Q15" s="2435"/>
      <c r="AD15" s="1741"/>
    </row>
    <row r="16" spans="1:30">
      <c r="A16" s="2396" t="s">
        <v>2190</v>
      </c>
      <c r="B16" s="3596"/>
      <c r="C16" s="3597"/>
      <c r="D16" s="3598"/>
      <c r="E16" s="2409" t="s">
        <v>2191</v>
      </c>
      <c r="F16" s="3599"/>
      <c r="G16" s="3600"/>
      <c r="H16" s="3600"/>
      <c r="I16" s="3601"/>
      <c r="J16" s="2435"/>
      <c r="K16" s="2611"/>
      <c r="L16" s="2447"/>
      <c r="M16" s="2447"/>
      <c r="N16" s="2503"/>
      <c r="O16" s="2447"/>
      <c r="P16" s="2503"/>
      <c r="Q16" s="2435"/>
      <c r="R16" s="2435"/>
    </row>
    <row r="17" spans="1:28">
      <c r="A17" s="312" t="s">
        <v>2192</v>
      </c>
      <c r="B17" s="301" t="s">
        <v>2193</v>
      </c>
      <c r="C17" s="8">
        <f>'数据-汇总表'!E3</f>
        <v>135.71</v>
      </c>
      <c r="D17" s="2318" t="s">
        <v>2194</v>
      </c>
      <c r="E17" s="3602" t="s">
        <v>2195</v>
      </c>
      <c r="F17" s="3603"/>
      <c r="G17" s="3603"/>
      <c r="H17" s="3603"/>
      <c r="I17" s="3604"/>
      <c r="J17" s="2435"/>
      <c r="K17" s="2612"/>
      <c r="L17" s="2447"/>
      <c r="M17" s="2447"/>
      <c r="N17" s="2503"/>
      <c r="O17" s="2447"/>
      <c r="P17" s="2503"/>
      <c r="Q17" s="2435"/>
      <c r="R17" s="2435"/>
      <c r="S17" s="2435"/>
      <c r="T17" s="2435"/>
      <c r="U17" s="2435"/>
      <c r="V17" s="2435"/>
    </row>
    <row r="18" spans="1:28" ht="24.75" thickBot="1">
      <c r="A18" s="2410" t="s">
        <v>2196</v>
      </c>
      <c r="B18" s="1087" t="s">
        <v>2197</v>
      </c>
      <c r="C18" s="2411">
        <f ca="1">'数据-汇总表'!D3</f>
        <v>0</v>
      </c>
      <c r="D18" s="1089" t="s">
        <v>2198</v>
      </c>
      <c r="E18" s="3605" t="s">
        <v>2199</v>
      </c>
      <c r="F18" s="3606"/>
      <c r="G18" s="3606"/>
      <c r="H18" s="3606"/>
      <c r="I18" s="3607"/>
      <c r="J18" s="2435"/>
      <c r="K18" s="2612"/>
      <c r="L18" s="2447"/>
      <c r="M18" s="2447"/>
      <c r="N18" s="2503"/>
      <c r="O18" s="2447"/>
      <c r="P18" s="2503"/>
      <c r="Q18" s="2435"/>
      <c r="R18" s="2435"/>
      <c r="S18" s="2435"/>
      <c r="T18" s="2435"/>
      <c r="U18" s="2435"/>
      <c r="V18" s="2435"/>
    </row>
    <row r="19" spans="1:28" ht="37.5" thickTop="1" thickBot="1">
      <c r="A19" s="326" t="s">
        <v>1055</v>
      </c>
      <c r="B19" s="306" t="s">
        <v>2200</v>
      </c>
      <c r="C19" s="1560"/>
      <c r="D19" s="1561" t="s">
        <v>2201</v>
      </c>
      <c r="E19" s="1562"/>
      <c r="F19" s="1563" t="str">
        <f>IF(AND(C19="是",E19="否"),"是否提供他项权证或相关说明","")</f>
        <v/>
      </c>
      <c r="G19" s="1564"/>
      <c r="H19" s="2658"/>
      <c r="I19" s="2658"/>
      <c r="J19" s="2435"/>
      <c r="K19" s="2610"/>
      <c r="L19" s="2607"/>
      <c r="M19" s="2607"/>
      <c r="N19" s="2503"/>
      <c r="O19" s="2447"/>
      <c r="P19" s="2503"/>
      <c r="Q19" s="2435"/>
      <c r="R19" s="2435"/>
      <c r="S19" s="2435"/>
      <c r="T19" s="2435"/>
      <c r="U19" s="2435"/>
      <c r="V19" s="2435"/>
    </row>
    <row r="20" spans="1:28">
      <c r="A20" s="2626" t="s">
        <v>2202</v>
      </c>
      <c r="B20" s="3592" t="s">
        <v>2203</v>
      </c>
      <c r="C20" s="3593"/>
      <c r="D20" s="3594" t="s">
        <v>2204</v>
      </c>
      <c r="E20" s="3595"/>
      <c r="F20" s="2641" t="s">
        <v>1056</v>
      </c>
      <c r="G20" s="2658"/>
      <c r="H20" s="2658"/>
      <c r="I20" s="2658"/>
      <c r="J20" s="2435"/>
      <c r="K20" s="3591"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6"/>
      <c r="B21" s="2627" t="s">
        <v>2206</v>
      </c>
      <c r="C21" s="2628" t="s">
        <v>1057</v>
      </c>
      <c r="D21" s="1565" t="s">
        <v>2207</v>
      </c>
      <c r="E21" s="2629" t="s">
        <v>1057</v>
      </c>
      <c r="F21" s="2642"/>
      <c r="G21" s="2658"/>
      <c r="H21" s="2658"/>
      <c r="I21" s="2658"/>
      <c r="J21" s="2435"/>
      <c r="K21" s="359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6"/>
      <c r="B22" s="2630" t="s">
        <v>2208</v>
      </c>
      <c r="C22" s="2628" t="s">
        <v>1058</v>
      </c>
      <c r="D22" s="2657"/>
      <c r="E22" s="2657"/>
      <c r="F22" s="2657"/>
      <c r="G22" s="2658"/>
      <c r="H22" s="2658"/>
      <c r="I22" s="2658"/>
      <c r="J22" s="2435"/>
      <c r="K22" s="359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1" t="s">
        <v>2209</v>
      </c>
      <c r="B23" s="2496" t="s">
        <v>2210</v>
      </c>
      <c r="C23" s="2632"/>
      <c r="D23" s="2633" t="s">
        <v>2210</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79" t="s">
        <v>2211</v>
      </c>
      <c r="B27" s="319" t="s">
        <v>2212</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79"/>
      <c r="B28" s="301" t="s">
        <v>2213</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79"/>
      <c r="B29" s="301" t="s">
        <v>2214</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80"/>
      <c r="B30" s="301" t="s">
        <v>2215</v>
      </c>
      <c r="C30" s="3581"/>
      <c r="D30" s="3582"/>
      <c r="E30" s="2658"/>
      <c r="F30" s="2658"/>
      <c r="G30" s="2658"/>
      <c r="H30" s="2658"/>
      <c r="I30" s="2658"/>
      <c r="J30" s="2435"/>
      <c r="K30" s="2610"/>
      <c r="L30" s="2607"/>
      <c r="M30" s="2607"/>
      <c r="N30" s="2435"/>
      <c r="O30" s="2446"/>
      <c r="P30" s="2435"/>
      <c r="Q30" s="2435"/>
      <c r="R30" s="2435"/>
      <c r="S30" s="2435"/>
      <c r="T30" s="2435"/>
      <c r="U30" s="2435"/>
      <c r="V30" s="2435"/>
    </row>
    <row r="31" spans="1:28">
      <c r="A31" s="3583" t="s">
        <v>2216</v>
      </c>
      <c r="B31" s="2418"/>
      <c r="C31" s="2319" t="str">
        <f>IF(B31="现房","成新及维护状况正常否",IF(B31="在建","工程状态是否正常",IF(B31="土地","是否闲置","-")))</f>
        <v>-</v>
      </c>
      <c r="D31" s="1370"/>
      <c r="E31" s="2419"/>
      <c r="F31" s="2658"/>
      <c r="G31" s="2658"/>
      <c r="H31" s="2658"/>
      <c r="I31" s="2658"/>
      <c r="J31" s="2435"/>
      <c r="K31" s="2609"/>
      <c r="L31" s="2607"/>
      <c r="M31" s="2607"/>
      <c r="N31" s="2435"/>
      <c r="O31" s="2446"/>
      <c r="P31" s="2435"/>
      <c r="Q31" s="2435"/>
      <c r="R31" s="2435"/>
      <c r="S31" s="2435"/>
      <c r="T31" s="2435"/>
      <c r="U31" s="2435"/>
      <c r="V31" s="2435"/>
    </row>
    <row r="32" spans="1:28">
      <c r="A32" s="3584"/>
      <c r="B32" s="2418"/>
      <c r="C32" s="2319" t="str">
        <f>IF(B32="现房","成新及维护状况是否正常",IF(B32="在建","工程状态是否正常",IF(B32="土地","是否闲置","-")))</f>
        <v>-</v>
      </c>
      <c r="D32" s="1370"/>
      <c r="E32" s="2419"/>
      <c r="F32" s="2658"/>
      <c r="G32" s="2658"/>
      <c r="H32" s="2658"/>
      <c r="I32" s="2658"/>
      <c r="J32" s="2435"/>
      <c r="K32" s="2610"/>
      <c r="L32" s="2607"/>
      <c r="M32" s="2607"/>
      <c r="N32" s="2435"/>
      <c r="O32" s="2446"/>
      <c r="P32" s="2435"/>
      <c r="Q32" s="2435"/>
      <c r="R32" s="2435"/>
      <c r="S32" s="2435"/>
      <c r="T32" s="2435"/>
      <c r="U32" s="2435"/>
      <c r="V32" s="2435"/>
    </row>
    <row r="33" spans="1:30">
      <c r="A33" s="3584"/>
      <c r="B33" s="2421"/>
      <c r="C33" s="1587" t="str">
        <f>IF(B33="现房","成新及维护状况是否正常",IF(B33="在建","工程状态是否正常",IF(B33="土地","是否闲置","-")))</f>
        <v>-</v>
      </c>
      <c r="D33" s="1362"/>
      <c r="E33" s="2422"/>
      <c r="F33" s="2658"/>
      <c r="G33" s="2658"/>
      <c r="H33" s="2658"/>
      <c r="I33" s="2658"/>
      <c r="J33" s="2435"/>
      <c r="K33" s="2610"/>
      <c r="L33" s="2607"/>
      <c r="M33" s="2607"/>
      <c r="N33" s="2435"/>
      <c r="O33" s="2446"/>
      <c r="P33" s="2435"/>
      <c r="Q33" s="2435"/>
      <c r="R33" s="2435"/>
      <c r="S33" s="2435"/>
      <c r="T33" s="2435"/>
      <c r="U33" s="2435"/>
      <c r="V33" s="2435"/>
    </row>
    <row r="34" spans="1:30">
      <c r="A34" s="301" t="s">
        <v>2217</v>
      </c>
      <c r="B34" s="2022"/>
      <c r="C34" s="2022"/>
      <c r="D34" s="2022"/>
      <c r="E34" s="2022"/>
      <c r="F34" s="2022"/>
      <c r="G34" s="2022"/>
      <c r="H34" s="2022"/>
      <c r="I34" s="2658"/>
      <c r="J34" s="2435"/>
      <c r="K34" s="2423">
        <f>COUNTIF(B34:H34,"——")</f>
        <v>0</v>
      </c>
      <c r="L34" s="322" t="s">
        <v>2218</v>
      </c>
      <c r="M34" s="322" t="s">
        <v>2219</v>
      </c>
      <c r="N34" s="322" t="s">
        <v>2220</v>
      </c>
      <c r="O34" s="322" t="s">
        <v>2221</v>
      </c>
      <c r="P34" s="322" t="s">
        <v>2222</v>
      </c>
      <c r="Q34" s="322" t="s">
        <v>2223</v>
      </c>
      <c r="R34" s="322" t="s">
        <v>2224</v>
      </c>
      <c r="S34" s="3578" t="s">
        <v>2225</v>
      </c>
      <c r="T34" s="2424" t="str">
        <f>NUMBERSTRING(7-K34,1)&amp;"通"</f>
        <v>七通</v>
      </c>
      <c r="U34" s="2435"/>
      <c r="V34" s="2435"/>
    </row>
    <row r="35" spans="1:30">
      <c r="A35" s="2425"/>
      <c r="B35" s="3585" t="s">
        <v>2226</v>
      </c>
      <c r="C35" s="3585"/>
      <c r="D35" s="3585"/>
      <c r="E35" s="3585"/>
      <c r="F35" s="662">
        <f>C10</f>
        <v>0</v>
      </c>
      <c r="G35" s="2658"/>
      <c r="H35" s="2658"/>
      <c r="I35" s="2658"/>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8"/>
      <c r="T35" s="328" t="str">
        <f>IF(T34="一通",L35,IF(T34="二通",M35,IF(T34="三通",N35,IF(T34="四通",O35,IF(T34="五通",P35,IF(T34="六通",Q35,R35))))))</f>
        <v>、、、、、、</v>
      </c>
      <c r="U35" s="2435"/>
      <c r="V35" s="2435"/>
    </row>
    <row r="36" spans="1:30">
      <c r="A36" s="2426"/>
      <c r="B36" s="662" t="s">
        <v>2182</v>
      </c>
      <c r="C36" s="662" t="s">
        <v>2183</v>
      </c>
      <c r="D36" s="662" t="s">
        <v>2181</v>
      </c>
      <c r="E36" s="662" t="s">
        <v>2186</v>
      </c>
      <c r="F36" s="3059" t="s">
        <v>2576</v>
      </c>
      <c r="G36" s="2658"/>
      <c r="H36" s="2658"/>
      <c r="I36" s="2658"/>
      <c r="J36" s="2435"/>
      <c r="K36" s="2610"/>
      <c r="L36" s="2607"/>
      <c r="M36" s="2607"/>
      <c r="N36" s="2435"/>
      <c r="O36" s="2446"/>
      <c r="P36" s="2435"/>
      <c r="Q36" s="2435"/>
      <c r="R36" s="2435"/>
      <c r="S36" s="2435"/>
      <c r="T36" s="2435"/>
      <c r="U36" s="2435"/>
      <c r="V36" s="2435"/>
    </row>
    <row r="37" spans="1:30">
      <c r="A37" s="2624" t="s">
        <v>2227</v>
      </c>
      <c r="B37" s="2427"/>
      <c r="C37" s="2427" t="s">
        <v>304</v>
      </c>
      <c r="D37" s="2427"/>
      <c r="E37" s="2427"/>
      <c r="F37" s="2427" t="s">
        <v>304</v>
      </c>
      <c r="G37" s="2658"/>
      <c r="H37" s="2658"/>
      <c r="I37" s="2658"/>
      <c r="J37" s="2435"/>
      <c r="K37" s="2610"/>
      <c r="L37" s="2607"/>
      <c r="M37" s="2607"/>
      <c r="N37" s="2435"/>
      <c r="O37" s="2446"/>
      <c r="P37" s="2435"/>
      <c r="Q37" s="2435"/>
      <c r="R37" s="2435"/>
      <c r="S37" s="2435"/>
      <c r="T37" s="2435"/>
      <c r="U37" s="2435"/>
      <c r="V37" s="2435"/>
    </row>
    <row r="38" spans="1:30" ht="13.5" thickBot="1">
      <c r="A38" s="2625" t="s">
        <v>2228</v>
      </c>
      <c r="B38" s="2428"/>
      <c r="C38" s="2428" t="s">
        <v>3625</v>
      </c>
      <c r="D38" s="2428"/>
      <c r="E38" s="2428"/>
      <c r="F38" s="2428" t="s">
        <v>3625</v>
      </c>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5"/>
      <c r="J40" s="2503"/>
      <c r="K40" s="2609"/>
      <c r="L40" s="2447"/>
      <c r="M40" s="2447"/>
      <c r="N40" s="2503"/>
      <c r="O40" s="2447"/>
      <c r="P40" s="2435"/>
      <c r="Q40" s="2435"/>
      <c r="R40" s="2435"/>
      <c r="S40" s="2435"/>
      <c r="T40" s="2435"/>
      <c r="U40" s="2435"/>
      <c r="V40" s="2435"/>
    </row>
    <row r="41" spans="1:30">
      <c r="A41" s="2432" t="s">
        <v>2230</v>
      </c>
      <c r="B41" s="1753"/>
      <c r="C41" s="1370"/>
      <c r="D41" s="2366"/>
      <c r="E41" s="2366"/>
      <c r="F41" s="2366"/>
      <c r="G41" s="2366"/>
      <c r="H41" s="2366"/>
      <c r="I41" s="1573"/>
      <c r="J41" s="2435"/>
      <c r="K41" s="2610"/>
      <c r="L41" s="2607"/>
      <c r="M41" s="2607"/>
      <c r="N41" s="2435"/>
      <c r="O41" s="2446"/>
      <c r="P41" s="2435"/>
      <c r="Q41" s="2435"/>
      <c r="R41" s="2435"/>
      <c r="S41" s="2435"/>
      <c r="T41" s="2435"/>
      <c r="U41" s="2435"/>
      <c r="V41" s="2435"/>
    </row>
    <row r="42" spans="1:30" ht="25.5">
      <c r="A42" s="322"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3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0" customWidth="1"/>
    <col min="2" max="2" width="11" style="1570" customWidth="1"/>
    <col min="3" max="3" width="42.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135.71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135.71</v>
      </c>
      <c r="H5" s="13">
        <f t="shared" ref="H5:AT5" ca="1" si="0">SUM(H13:H656)</f>
        <v>135.71</v>
      </c>
      <c r="I5" s="13">
        <f t="shared" si="0"/>
        <v>135.71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135.71</v>
      </c>
      <c r="BA5" s="15">
        <f t="shared" si="1"/>
        <v>135.71</v>
      </c>
      <c r="BB5" s="15">
        <f t="shared" si="1"/>
        <v>135.71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3500</v>
      </c>
      <c r="J9" s="807"/>
      <c r="K9" s="1600" t="s">
        <v>3504</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3501</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12"/>
      <c r="D13" s="1622" t="s">
        <v>3370</v>
      </c>
      <c r="E13" s="13">
        <f ca="1">IF($C$3="是",ROUND($A$3*G13/$B$3,2),ROUND($A$3*(G13-AT13)/$B$3,2))</f>
        <v>0</v>
      </c>
      <c r="F13" s="29"/>
      <c r="G13" s="30">
        <f>H13+AC13+AT13</f>
        <v>135.71</v>
      </c>
      <c r="H13" s="17">
        <f>SUMIF(I$12:AB$12,"总值",I13:AB13)</f>
        <v>135.71</v>
      </c>
      <c r="I13" s="1623">
        <v>135.71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135.71</v>
      </c>
      <c r="BA13" s="13">
        <f>SUM(BB13:BK13)</f>
        <v>135.71</v>
      </c>
      <c r="BB13" s="13">
        <f>IF($D13="是",I13-J13,0)</f>
        <v>135.71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12"/>
      <c r="D14" s="1622" t="s">
        <v>3370</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3503</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3503</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3503</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3503</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3503</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3503</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3503</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3503</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3503</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3503</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3503</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3503</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3503</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3503</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3503</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3503</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3503</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3503</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3503</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3503</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3503</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3503</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3503</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3503</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3503</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3503</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3503</v>
      </c>
      <c r="E41" s="32">
        <f t="shared" ca="1" si="7"/>
        <v>0</v>
      </c>
      <c r="F41" s="33"/>
      <c r="G41" s="34">
        <f t="shared" ca="1" si="8"/>
        <v>0</v>
      </c>
      <c r="H41" s="35">
        <f t="shared" ref="H41:H64" ca="1" si="36">SUMIF(I$12:AB$12,"总值",J41:AB41)</f>
        <v>0</v>
      </c>
      <c r="I41" s="3513"/>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3503</v>
      </c>
      <c r="E42" s="32">
        <f t="shared" ca="1" si="7"/>
        <v>0</v>
      </c>
      <c r="F42" s="33"/>
      <c r="G42" s="34">
        <f t="shared" ca="1" si="8"/>
        <v>0</v>
      </c>
      <c r="H42" s="35">
        <f t="shared" ca="1" si="36"/>
        <v>0</v>
      </c>
      <c r="I42" s="3513"/>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3503</v>
      </c>
      <c r="E43" s="32">
        <f t="shared" ca="1" si="7"/>
        <v>0</v>
      </c>
      <c r="F43" s="33"/>
      <c r="G43" s="34">
        <f t="shared" ca="1" si="8"/>
        <v>0</v>
      </c>
      <c r="H43" s="35">
        <f t="shared" ca="1" si="36"/>
        <v>0</v>
      </c>
      <c r="I43" s="3513"/>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3503</v>
      </c>
      <c r="E44" s="32">
        <f t="shared" ca="1" si="7"/>
        <v>0</v>
      </c>
      <c r="F44" s="33"/>
      <c r="G44" s="34">
        <f t="shared" ca="1" si="8"/>
        <v>0</v>
      </c>
      <c r="H44" s="35">
        <f t="shared" ca="1" si="36"/>
        <v>0</v>
      </c>
      <c r="I44" s="3513"/>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3503</v>
      </c>
      <c r="E45" s="32">
        <f t="shared" ca="1" si="7"/>
        <v>0</v>
      </c>
      <c r="F45" s="33"/>
      <c r="G45" s="34">
        <f t="shared" ca="1" si="8"/>
        <v>0</v>
      </c>
      <c r="H45" s="35">
        <f t="shared" ca="1" si="36"/>
        <v>0</v>
      </c>
      <c r="I45" s="3513"/>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3503</v>
      </c>
      <c r="E46" s="32">
        <f t="shared" ca="1" si="7"/>
        <v>0</v>
      </c>
      <c r="F46" s="33"/>
      <c r="G46" s="34">
        <f t="shared" ca="1" si="8"/>
        <v>0</v>
      </c>
      <c r="H46" s="35">
        <f t="shared" ca="1" si="36"/>
        <v>0</v>
      </c>
      <c r="I46" s="3513"/>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3503</v>
      </c>
      <c r="E47" s="32">
        <f t="shared" ca="1" si="7"/>
        <v>0</v>
      </c>
      <c r="F47" s="33"/>
      <c r="G47" s="34">
        <f t="shared" ca="1" si="8"/>
        <v>0</v>
      </c>
      <c r="H47" s="35">
        <f t="shared" ca="1" si="36"/>
        <v>0</v>
      </c>
      <c r="I47" s="3513"/>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3503</v>
      </c>
      <c r="E48" s="32">
        <f t="shared" ca="1" si="7"/>
        <v>0</v>
      </c>
      <c r="F48" s="33"/>
      <c r="G48" s="34">
        <f t="shared" ca="1" si="8"/>
        <v>0</v>
      </c>
      <c r="H48" s="35">
        <f t="shared" ca="1" si="36"/>
        <v>0</v>
      </c>
      <c r="I48" s="3513"/>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3503</v>
      </c>
      <c r="E49" s="32">
        <f t="shared" ca="1" si="7"/>
        <v>0</v>
      </c>
      <c r="F49" s="33"/>
      <c r="G49" s="34">
        <f t="shared" ca="1" si="8"/>
        <v>0</v>
      </c>
      <c r="H49" s="35">
        <f t="shared" ca="1" si="36"/>
        <v>0</v>
      </c>
      <c r="I49" s="3513"/>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3503</v>
      </c>
      <c r="E50" s="32">
        <f t="shared" ca="1" si="7"/>
        <v>0</v>
      </c>
      <c r="F50" s="33"/>
      <c r="G50" s="34">
        <f t="shared" ca="1" si="8"/>
        <v>0</v>
      </c>
      <c r="H50" s="35">
        <f t="shared" ca="1" si="36"/>
        <v>0</v>
      </c>
      <c r="I50" s="3513"/>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3503</v>
      </c>
      <c r="E51" s="32">
        <f t="shared" ca="1" si="7"/>
        <v>0</v>
      </c>
      <c r="F51" s="33"/>
      <c r="G51" s="34">
        <f t="shared" ca="1" si="8"/>
        <v>0</v>
      </c>
      <c r="H51" s="35">
        <f t="shared" ca="1" si="36"/>
        <v>0</v>
      </c>
      <c r="I51" s="3513"/>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3503</v>
      </c>
      <c r="E52" s="32">
        <f t="shared" ca="1" si="7"/>
        <v>0</v>
      </c>
      <c r="F52" s="33"/>
      <c r="G52" s="34">
        <f t="shared" ca="1" si="8"/>
        <v>0</v>
      </c>
      <c r="H52" s="35">
        <f t="shared" ca="1" si="36"/>
        <v>0</v>
      </c>
      <c r="I52" s="3513"/>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3503</v>
      </c>
      <c r="E53" s="32">
        <f t="shared" ca="1" si="7"/>
        <v>0</v>
      </c>
      <c r="F53" s="33"/>
      <c r="G53" s="34">
        <f t="shared" ca="1" si="8"/>
        <v>0</v>
      </c>
      <c r="H53" s="35">
        <f t="shared" ca="1" si="36"/>
        <v>0</v>
      </c>
      <c r="I53" s="3513"/>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3503</v>
      </c>
      <c r="E54" s="32">
        <f t="shared" ca="1" si="7"/>
        <v>0</v>
      </c>
      <c r="F54" s="33"/>
      <c r="G54" s="34">
        <f t="shared" ca="1" si="8"/>
        <v>0</v>
      </c>
      <c r="H54" s="35">
        <f t="shared" ca="1" si="36"/>
        <v>0</v>
      </c>
      <c r="I54" s="3513"/>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3503</v>
      </c>
      <c r="E55" s="32">
        <f t="shared" ca="1" si="7"/>
        <v>0</v>
      </c>
      <c r="F55" s="33"/>
      <c r="G55" s="34">
        <f t="shared" ca="1" si="8"/>
        <v>0</v>
      </c>
      <c r="H55" s="35">
        <f t="shared" ca="1" si="36"/>
        <v>0</v>
      </c>
      <c r="I55" s="3513"/>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3503</v>
      </c>
      <c r="E56" s="32">
        <f t="shared" ca="1" si="7"/>
        <v>0</v>
      </c>
      <c r="F56" s="33"/>
      <c r="G56" s="34">
        <f t="shared" ca="1" si="8"/>
        <v>0</v>
      </c>
      <c r="H56" s="35">
        <f t="shared" ca="1" si="36"/>
        <v>0</v>
      </c>
      <c r="I56" s="3513"/>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3503</v>
      </c>
      <c r="E57" s="32">
        <f t="shared" ca="1" si="7"/>
        <v>0</v>
      </c>
      <c r="F57" s="33"/>
      <c r="G57" s="34">
        <f t="shared" ca="1" si="8"/>
        <v>0</v>
      </c>
      <c r="H57" s="35">
        <f t="shared" ca="1" si="36"/>
        <v>0</v>
      </c>
      <c r="I57" s="3513"/>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3503</v>
      </c>
      <c r="E58" s="32">
        <f t="shared" ca="1" si="7"/>
        <v>0</v>
      </c>
      <c r="F58" s="33"/>
      <c r="G58" s="34">
        <f t="shared" ca="1" si="8"/>
        <v>0</v>
      </c>
      <c r="H58" s="35">
        <f t="shared" ca="1" si="36"/>
        <v>0</v>
      </c>
      <c r="I58" s="3513"/>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3503</v>
      </c>
      <c r="E59" s="32">
        <f t="shared" ca="1" si="7"/>
        <v>0</v>
      </c>
      <c r="F59" s="33"/>
      <c r="G59" s="34">
        <f t="shared" ca="1" si="8"/>
        <v>0</v>
      </c>
      <c r="H59" s="35">
        <f t="shared" ca="1" si="36"/>
        <v>0</v>
      </c>
      <c r="I59" s="3513"/>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3503</v>
      </c>
      <c r="E60" s="32">
        <f t="shared" ca="1" si="7"/>
        <v>0</v>
      </c>
      <c r="F60" s="33"/>
      <c r="G60" s="34">
        <f t="shared" ca="1" si="8"/>
        <v>0</v>
      </c>
      <c r="H60" s="35">
        <f t="shared" ca="1" si="36"/>
        <v>0</v>
      </c>
      <c r="I60" s="3513"/>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3503</v>
      </c>
      <c r="E61" s="32">
        <f t="shared" ca="1" si="7"/>
        <v>0</v>
      </c>
      <c r="F61" s="33"/>
      <c r="G61" s="34">
        <f t="shared" ca="1" si="8"/>
        <v>0</v>
      </c>
      <c r="H61" s="35">
        <f t="shared" ca="1" si="36"/>
        <v>0</v>
      </c>
      <c r="I61" s="3513"/>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3503</v>
      </c>
      <c r="E62" s="32">
        <f t="shared" ca="1" si="7"/>
        <v>0</v>
      </c>
      <c r="F62" s="33"/>
      <c r="G62" s="34">
        <f t="shared" ca="1" si="8"/>
        <v>0</v>
      </c>
      <c r="H62" s="35">
        <f t="shared" ca="1" si="36"/>
        <v>0</v>
      </c>
      <c r="I62" s="3513"/>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3503</v>
      </c>
      <c r="E63" s="32">
        <f t="shared" ca="1" si="7"/>
        <v>0</v>
      </c>
      <c r="F63" s="33"/>
      <c r="G63" s="34">
        <f t="shared" ca="1" si="8"/>
        <v>0</v>
      </c>
      <c r="H63" s="35">
        <f t="shared" ca="1" si="36"/>
        <v>0</v>
      </c>
      <c r="I63" s="3513"/>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3503</v>
      </c>
      <c r="E64" s="32">
        <f t="shared" ca="1" si="7"/>
        <v>0</v>
      </c>
      <c r="F64" s="33"/>
      <c r="G64" s="34">
        <f t="shared" ca="1" si="8"/>
        <v>0</v>
      </c>
      <c r="H64" s="35">
        <f t="shared" ca="1" si="36"/>
        <v>0</v>
      </c>
      <c r="I64" s="3513"/>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3503</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3503</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3503</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3503</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3503</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3503</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3503</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3503</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3503</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3503</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3503</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3503</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3503</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3503</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3503</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3503</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3503</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3503</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3503</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3503</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3503</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3503</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3503</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3503</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3503</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3503</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3503</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3503</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3503</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3503</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3503</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3503</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3503</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3503</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3503</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3503</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3503</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3503</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3503</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3503</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3503</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3503</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3503</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3503</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3503</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3503</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3503</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3503</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3503</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3503</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3503</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3503</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3503</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3503</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3503</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3503</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3503</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3503</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3503</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3503</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3503</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3503</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3503</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3503</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3503</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3503</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3503</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3503</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3503</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3503</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3503</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3503</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3503</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3503</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3503</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3503</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3503</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3503</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3503</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3503</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3503</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3503</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3503</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3503</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3503</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3503</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3503</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3503</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3503</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3503</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3503</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3503</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3503</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3503</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3503</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3503</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3503</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3503</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3503</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3503</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3503</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3503</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3503</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3503</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3503</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3503</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3503</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3503</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3503</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3503</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3503</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3503</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3503</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3503</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3503</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3503</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3503</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3503</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3503</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3503</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3503</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3503</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3503</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3503</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3503</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3503</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3503</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3503</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3503</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3503</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3503</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3503</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3503</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3503</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3503</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3503</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3503</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3503</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3503</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3503</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3503</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3503</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3503</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3503</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3503</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3503</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3503</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3503</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3503</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3503</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3503</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3503</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3503</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3503</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3503</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3503</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3503</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3503</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3503</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3503</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3503</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3503</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3503</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3503</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3503</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3503</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3503</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3503</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3503</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3503</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3503</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3503</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3503</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3503</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3503</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3503</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3503</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3503</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3503</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3503</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3503</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3503</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3503</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3503</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3503</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3503</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3503</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3503</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3503</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3503</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3503</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3503</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3503</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3503</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3503</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3503</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3503</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3503</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3503</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3503</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3503</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3503</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3503</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3503</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3503</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3503</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3503</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3503</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3503</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3503</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3503</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3503</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3503</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3503</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3503</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3503</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3503</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3503</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3503</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3503</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3503</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3503</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3503</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3503</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3503</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3503</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3503</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3503</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3503</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3503</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3503</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3503</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3503</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3503</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3503</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3503</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3503</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3503</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3503</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3503</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3503</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3503</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3503</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3503</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3503</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3503</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3503</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3503</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3503</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3503</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3503</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3503</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3503</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3503</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3503</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3503</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3503</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3503</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3503</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3503</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3503</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3503</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3503</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3503</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3503</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3503</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3503</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3503</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3503</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3503</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3503</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3503</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3503</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3503</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3503</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3503</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3503</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3503</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3503</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3503</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3503</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3503</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3503</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3503</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3503</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3503</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3503</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3503</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3503</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3503</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3503</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3503</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3503</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3503</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3503</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3503</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3503</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3503</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3503</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3503</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3503</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3503</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3503</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3503</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3503</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3503</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3503</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3503</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3503</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3503</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3503</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3503</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3503</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3503</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3503</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3503</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3503</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3503</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3503</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3503</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3503</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3503</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3503</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3503</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3503</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3503</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3503</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3503</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3503</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3503</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3503</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3503</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3503</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3503</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3503</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3503</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3503</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3503</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3503</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3503</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3503</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3503</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3503</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3503</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3503</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3503</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3503</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3503</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3503</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3503</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3503</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3503</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3503</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3503</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3503</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3503</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3503</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3503</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3503</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3503</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3503</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3503</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3503</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3503</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3503</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3503</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3503</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3503</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3503</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3503</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3503</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3503</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3503</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3503</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3503</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3503</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3503</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3503</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3503</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3503</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3503</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3503</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3503</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3503</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3503</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3503</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3503</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3503</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3503</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3503</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3503</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3503</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3503</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3503</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3503</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3503</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3503</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3503</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3503</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3503</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3503</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3503</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3503</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3503</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3503</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3503</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3503</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3503</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3503</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3503</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3503</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3503</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3503</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3503</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3503</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3503</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3503</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3503</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3503</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3503</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3503</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3503</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3503</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3503</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3503</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3503</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3503</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3503</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3503</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3503</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3503</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3503</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3503</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3503</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3503</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3503</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3503</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3503</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3503</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3503</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3503</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3503</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3503</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3503</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3503</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3503</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3503</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3503</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3503</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3503</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3503</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3503</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3503</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3503</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3503</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3503</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3503</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3503</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3503</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3503</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3503</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3503</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3503</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3503</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3503</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3503</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3503</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3503</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3503</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3503</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3503</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3503</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3503</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3503</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3503</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3503</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3503</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3503</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3503</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3503</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3503</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3503</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3503</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3503</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3503</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3503</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3503</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3503</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3503</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3503</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3503</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3503</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3503</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3503</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3503</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3503</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3503</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3503</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3503</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3503</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3503</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3503</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3503</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3503</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3503</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3503</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3503</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3503</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3503</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3503</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3503</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3503</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3503</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3503</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3503</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3503</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3503</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3503</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3503</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3503</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3503</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3503</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3503</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17" t="s">
        <v>1131</v>
      </c>
      <c r="B2" s="3617"/>
      <c r="C2" s="3617"/>
      <c r="D2" s="794" t="s">
        <v>1107</v>
      </c>
      <c r="E2" s="1635" t="s">
        <v>1108</v>
      </c>
      <c r="F2" s="2653"/>
      <c r="G2" s="2644"/>
      <c r="H2" s="2645"/>
      <c r="I2" s="2321" t="s">
        <v>1132</v>
      </c>
      <c r="J2" s="2653"/>
      <c r="K2" s="2653"/>
      <c r="L2" s="2653"/>
      <c r="M2" s="2653"/>
      <c r="N2" s="2655"/>
      <c r="O2" s="2653"/>
      <c r="P2" s="2653"/>
    </row>
    <row r="3" spans="1:16" ht="15.75" thickBot="1">
      <c r="A3" s="3618" t="s">
        <v>1105</v>
      </c>
      <c r="B3" s="3618"/>
      <c r="C3" s="3618"/>
      <c r="D3" s="43">
        <f ca="1">'数据-基础表'!AY6</f>
        <v>0</v>
      </c>
      <c r="E3" s="43">
        <f>'数据-基础表'!AZ5</f>
        <v>135.71</v>
      </c>
      <c r="F3" s="2653"/>
      <c r="G3" s="1142"/>
      <c r="H3" s="1023" t="s">
        <v>1106</v>
      </c>
      <c r="I3" s="853" t="e">
        <f ca="1">ROUND('数据-基础表'!B3/'数据-基础表'!A3,2)</f>
        <v>#DIV/0!</v>
      </c>
      <c r="J3" s="2653"/>
      <c r="K3" s="2653"/>
      <c r="L3" s="2653"/>
      <c r="M3" s="2653"/>
      <c r="N3" s="2655"/>
      <c r="O3" s="2653"/>
      <c r="P3" s="2653"/>
    </row>
    <row r="4" spans="1:16" ht="15">
      <c r="A4" s="3619"/>
      <c r="B4" s="3620"/>
      <c r="C4" s="3621"/>
      <c r="D4" s="1637" t="s">
        <v>1107</v>
      </c>
      <c r="E4" s="1638" t="s">
        <v>1108</v>
      </c>
      <c r="F4" s="2653"/>
      <c r="G4" s="2646" t="s">
        <v>1133</v>
      </c>
      <c r="H4" s="1023" t="s">
        <v>1113</v>
      </c>
      <c r="I4" s="853" t="e">
        <f>ROUND(SUMIF('数据-基础表'!I9:AS9,"地上",'数据-基础表'!I5:AS5)/'数据-基础表'!A3,2)</f>
        <v>#DIV/0!</v>
      </c>
      <c r="J4" s="2653"/>
      <c r="K4" s="2653"/>
      <c r="L4" s="2653"/>
      <c r="M4" s="2653"/>
      <c r="N4" s="2655"/>
      <c r="O4" s="2653"/>
      <c r="P4" s="2653"/>
    </row>
    <row r="5" spans="1:16">
      <c r="A5" s="44" t="s">
        <v>1109</v>
      </c>
      <c r="B5" s="3622" t="s">
        <v>1110</v>
      </c>
      <c r="C5" s="3622"/>
      <c r="D5" s="45">
        <f ca="1">ROUND($D$3*E5/$E$3,2)</f>
        <v>0</v>
      </c>
      <c r="E5" s="46">
        <f>SUMIF('数据-基础表'!$11:$11,"住宅",'数据-基础表'!$5:$5)</f>
        <v>0</v>
      </c>
      <c r="F5" s="2653"/>
      <c r="G5" s="1142"/>
      <c r="H5" s="1023" t="s">
        <v>1106</v>
      </c>
      <c r="I5" s="853" t="e">
        <f ca="1">ROUND(E31/D31,2)</f>
        <v>#DIV/0!</v>
      </c>
      <c r="J5" s="2653"/>
      <c r="K5" s="2653"/>
      <c r="L5" s="2653"/>
      <c r="M5" s="2653"/>
      <c r="N5" s="2653"/>
      <c r="O5" s="2653"/>
      <c r="P5" s="2653"/>
    </row>
    <row r="6" spans="1:16" ht="15" thickBot="1">
      <c r="A6" s="1640"/>
      <c r="B6" s="3622" t="s">
        <v>1111</v>
      </c>
      <c r="C6" s="3622"/>
      <c r="D6" s="45">
        <f ca="1">ROUND($D$3*E6/$E$3,2)</f>
        <v>0</v>
      </c>
      <c r="E6" s="46">
        <f>E3-E5</f>
        <v>135.71</v>
      </c>
      <c r="F6" s="2653"/>
      <c r="G6" s="2647" t="s">
        <v>1112</v>
      </c>
      <c r="H6" s="1143" t="s">
        <v>1113</v>
      </c>
      <c r="I6" s="2648" t="e">
        <f ca="1">ROUND(F31/D31,2)</f>
        <v>#DIV/0!</v>
      </c>
      <c r="J6" s="2653"/>
      <c r="K6" s="2653"/>
      <c r="L6" s="2653"/>
      <c r="M6" s="2653"/>
      <c r="N6" s="2653"/>
      <c r="O6" s="2653"/>
      <c r="P6" s="2653"/>
    </row>
    <row r="7" spans="1:16" ht="15.75" thickBot="1">
      <c r="A7" s="3614"/>
      <c r="B7" s="3615"/>
      <c r="C7" s="3616"/>
      <c r="D7" s="1637" t="s">
        <v>1107</v>
      </c>
      <c r="E7" s="1641" t="s">
        <v>1114</v>
      </c>
      <c r="F7" s="2653"/>
      <c r="G7" s="2649" t="s">
        <v>1115</v>
      </c>
      <c r="H7" s="2650"/>
      <c r="I7" s="2651">
        <v>1</v>
      </c>
      <c r="J7" s="2653"/>
      <c r="K7" s="2653"/>
      <c r="L7" s="2653"/>
      <c r="M7" s="2653"/>
      <c r="N7" s="2653"/>
      <c r="O7" s="2653"/>
      <c r="P7" s="2653"/>
    </row>
    <row r="8" spans="1:16">
      <c r="A8" s="44" t="s">
        <v>1116</v>
      </c>
      <c r="B8" s="47" t="s">
        <v>1117</v>
      </c>
      <c r="C8" s="45" t="s">
        <v>1118</v>
      </c>
      <c r="D8" s="45">
        <f t="shared" ref="D8:D15" ca="1" si="0">ROUND($D$3*E8/$E$3,2)</f>
        <v>0</v>
      </c>
      <c r="E8" s="48">
        <f>SUMIF('数据-基础表'!BB10:BK10,"地上",'数据-基础表'!BB5:BK5)</f>
        <v>135.71</v>
      </c>
      <c r="F8" s="2653"/>
      <c r="G8" s="2654"/>
      <c r="H8" s="2654"/>
      <c r="I8" s="2653"/>
      <c r="J8" s="2653"/>
      <c r="K8" s="2653"/>
      <c r="L8" s="2653"/>
      <c r="M8" s="2653"/>
      <c r="N8" s="2653"/>
      <c r="O8" s="2653"/>
      <c r="P8" s="2653"/>
    </row>
    <row r="9" spans="1:16">
      <c r="A9" s="1642"/>
      <c r="B9" s="1643"/>
      <c r="C9" s="45" t="s">
        <v>1119</v>
      </c>
      <c r="D9" s="45">
        <f t="shared" ca="1" si="0"/>
        <v>0</v>
      </c>
      <c r="E9" s="49">
        <v>0</v>
      </c>
      <c r="F9" s="2653"/>
      <c r="G9" s="2654"/>
      <c r="H9" s="2654"/>
      <c r="I9" s="2653"/>
      <c r="J9" s="2653"/>
      <c r="K9" s="2653"/>
      <c r="L9" s="2653"/>
      <c r="M9" s="2653"/>
      <c r="N9" s="2653"/>
      <c r="O9" s="2653"/>
      <c r="P9" s="2653"/>
    </row>
    <row r="10" spans="1:16">
      <c r="A10" s="1642"/>
      <c r="B10" s="1643"/>
      <c r="C10" s="45" t="s">
        <v>1128</v>
      </c>
      <c r="D10" s="45">
        <f t="shared" ca="1"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ca="1"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ca="1"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ca="1"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ca="1"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ca="1"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 ca="1">SUM(D8:D15)</f>
        <v>0</v>
      </c>
      <c r="E16" s="50">
        <f>SUM(E8:E15)</f>
        <v>135.71</v>
      </c>
      <c r="F16" s="2653"/>
      <c r="G16" s="2654"/>
      <c r="H16" s="1644" t="s">
        <v>1135</v>
      </c>
      <c r="I16" s="1645"/>
      <c r="J16" s="1136"/>
      <c r="K16" s="3611" t="s">
        <v>1135</v>
      </c>
      <c r="L16" s="3612"/>
      <c r="M16" s="3612"/>
      <c r="N16" s="3612"/>
      <c r="O16" s="3612"/>
      <c r="P16" s="3613"/>
    </row>
    <row r="17" spans="1:19" ht="15">
      <c r="A17" s="1646" t="s">
        <v>1136</v>
      </c>
      <c r="B17" s="1647" t="s">
        <v>1137</v>
      </c>
      <c r="C17" s="1648" t="s">
        <v>1138</v>
      </c>
      <c r="D17" s="1649" t="s">
        <v>1126</v>
      </c>
      <c r="E17" s="1650" t="s">
        <v>1127</v>
      </c>
      <c r="F17" s="1651"/>
      <c r="G17" s="1652"/>
      <c r="H17" s="1653" t="s">
        <v>1139</v>
      </c>
      <c r="I17" s="1654" t="s">
        <v>1124</v>
      </c>
      <c r="J17" s="1136"/>
      <c r="K17" s="3608" t="s">
        <v>1140</v>
      </c>
      <c r="L17" s="3609"/>
      <c r="M17" s="3610"/>
      <c r="N17" s="3608" t="s">
        <v>1141</v>
      </c>
      <c r="O17" s="3609"/>
      <c r="P17" s="3610"/>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1" t="s">
        <v>3611</v>
      </c>
      <c r="D19" s="45">
        <f ca="1">ROUND($D$3*E19/$E$3,2)</f>
        <v>0</v>
      </c>
      <c r="E19" s="53">
        <f t="shared" ref="E19:E26" si="1">SUM(F19:G19)</f>
        <v>135.71</v>
      </c>
      <c r="F19" s="2789">
        <f>'数据-基础表'!I13</f>
        <v>135.71</v>
      </c>
      <c r="G19" s="2790"/>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135.71</v>
      </c>
    </row>
    <row r="20" spans="1:19">
      <c r="A20" s="1666"/>
      <c r="B20" s="47" t="s">
        <v>1153</v>
      </c>
      <c r="C20" s="3411"/>
      <c r="D20" s="45">
        <f t="shared" ref="D20:D26" ca="1" si="6">ROUND($D$3*E20/$E$3,2)</f>
        <v>0</v>
      </c>
      <c r="E20" s="53">
        <f t="shared" si="1"/>
        <v>0</v>
      </c>
      <c r="F20" s="2789"/>
      <c r="G20" s="2790"/>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1"/>
      <c r="D21" s="45">
        <f t="shared" ca="1" si="6"/>
        <v>0</v>
      </c>
      <c r="E21" s="53">
        <f t="shared" si="1"/>
        <v>0</v>
      </c>
      <c r="F21" s="2789"/>
      <c r="G21" s="2790"/>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2"/>
      <c r="D22" s="45">
        <f t="shared" ca="1" si="6"/>
        <v>0</v>
      </c>
      <c r="E22" s="53">
        <f t="shared" si="1"/>
        <v>0</v>
      </c>
      <c r="F22" s="2791"/>
      <c r="G22" s="2792"/>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2"/>
      <c r="D23" s="45">
        <f ca="1">ROUND($D$3*E23/$E$3,2)</f>
        <v>0</v>
      </c>
      <c r="E23" s="53">
        <f>SUM(F23:G23)</f>
        <v>0</v>
      </c>
      <c r="F23" s="2791"/>
      <c r="G23" s="2792"/>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2"/>
      <c r="D24" s="45">
        <f ca="1">ROUND($D$3*E24/$E$3,2)</f>
        <v>0</v>
      </c>
      <c r="E24" s="53">
        <f>SUM(F24:G24)</f>
        <v>0</v>
      </c>
      <c r="F24" s="2791"/>
      <c r="G24" s="2792"/>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2"/>
      <c r="D25" s="45">
        <f t="shared" ca="1" si="6"/>
        <v>0</v>
      </c>
      <c r="E25" s="53">
        <f t="shared" si="1"/>
        <v>0</v>
      </c>
      <c r="F25" s="2791"/>
      <c r="G25" s="2792"/>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1"/>
      <c r="G26" s="2792"/>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135.71</v>
      </c>
      <c r="F27" s="1137">
        <f>IF(SUM(F19:F26)=E8,SUM(F19:F26),"地上面积有误")</f>
        <v>135.71</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135.71</v>
      </c>
    </row>
    <row r="28" spans="1:19">
      <c r="A28" s="1666"/>
      <c r="B28" s="47" t="s">
        <v>1155</v>
      </c>
      <c r="C28" s="1035" t="s">
        <v>1156</v>
      </c>
      <c r="D28" s="45">
        <f ca="1">ROUND($D$3*E28/$E$3,2)</f>
        <v>0</v>
      </c>
      <c r="E28" s="53">
        <f>SUM(F28:G28)</f>
        <v>0</v>
      </c>
      <c r="F28" s="55">
        <f>'数据-基础表'!BQ5+'数据-基础表'!BS5</f>
        <v>0</v>
      </c>
      <c r="G28" s="56">
        <f>'数据-基础表'!BR5+'数据-基础表'!BT5</f>
        <v>0</v>
      </c>
      <c r="H28" s="2653"/>
      <c r="I28" s="2653"/>
      <c r="J28" s="2653"/>
      <c r="K28" s="2653"/>
      <c r="L28" s="2653"/>
      <c r="M28" s="2653"/>
      <c r="N28" s="2653"/>
      <c r="O28" s="2653"/>
      <c r="P28" s="2653"/>
    </row>
    <row r="29" spans="1:19">
      <c r="A29" s="1666"/>
      <c r="B29" s="47" t="s">
        <v>1155</v>
      </c>
      <c r="C29" s="1670" t="s">
        <v>1157</v>
      </c>
      <c r="D29" s="45">
        <f ca="1">ROUND($D$3*E29/$E$3,2)</f>
        <v>0</v>
      </c>
      <c r="E29" s="53">
        <f>SUM(F29:G29)</f>
        <v>0</v>
      </c>
      <c r="F29" s="57">
        <f>'数据-基础表'!BM5+'数据-基础表'!BO5</f>
        <v>0</v>
      </c>
      <c r="G29" s="58">
        <f>'数据-基础表'!BN5+'数据-基础表'!BP5</f>
        <v>0</v>
      </c>
      <c r="H29" s="2653"/>
      <c r="I29" s="2653"/>
      <c r="J29" s="2653"/>
      <c r="K29" s="2653"/>
      <c r="L29" s="2653"/>
      <c r="M29" s="2653"/>
      <c r="N29" s="2653"/>
      <c r="O29" s="2653"/>
      <c r="P29" s="2653"/>
    </row>
    <row r="30" spans="1:19" ht="15">
      <c r="A30" s="1666"/>
      <c r="B30" s="47"/>
      <c r="C30" s="1671" t="s">
        <v>1154</v>
      </c>
      <c r="D30" s="1137">
        <f ca="1">SUM(D28:D29)</f>
        <v>0</v>
      </c>
      <c r="E30" s="1137">
        <f>SUM(E28:E29)</f>
        <v>0</v>
      </c>
      <c r="F30" s="1137">
        <f>SUM(F28:F29)</f>
        <v>0</v>
      </c>
      <c r="G30" s="1139">
        <f>SUM(G28:G29)</f>
        <v>0</v>
      </c>
      <c r="H30" s="2653"/>
      <c r="I30" s="2653"/>
      <c r="J30" s="2653"/>
      <c r="K30" s="2653"/>
      <c r="L30" s="2653"/>
      <c r="M30" s="2653"/>
      <c r="N30" s="2653"/>
      <c r="O30" s="2653"/>
      <c r="P30" s="2653"/>
    </row>
    <row r="31" spans="1:19" ht="15.75" thickBot="1">
      <c r="A31" s="1672"/>
      <c r="B31" s="1673"/>
      <c r="C31" s="833" t="s">
        <v>1158</v>
      </c>
      <c r="D31" s="674">
        <f ca="1">D27+D30</f>
        <v>0</v>
      </c>
      <c r="E31" s="674">
        <f>E27+E30</f>
        <v>135.71</v>
      </c>
      <c r="F31" s="675">
        <f>F27+F30</f>
        <v>135.71</v>
      </c>
      <c r="G31" s="676">
        <f>G27+G30</f>
        <v>0</v>
      </c>
      <c r="H31" s="2653"/>
      <c r="I31" s="2653"/>
      <c r="J31" s="2653"/>
      <c r="K31" s="2653"/>
      <c r="L31" s="2653"/>
      <c r="M31" s="2653"/>
      <c r="N31" s="2653"/>
      <c r="O31" s="2653"/>
      <c r="P31" s="2653"/>
    </row>
    <row r="32" spans="1:19">
      <c r="A32" s="1639"/>
      <c r="B32" s="1639" t="s">
        <v>1159</v>
      </c>
      <c r="C32" s="1639"/>
      <c r="D32" s="1639"/>
      <c r="E32" s="1050">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3505</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135.71</v>
      </c>
      <c r="L6" s="731">
        <v>3500</v>
      </c>
      <c r="M6" s="66">
        <f t="shared" ref="M6:M14" si="0">ROUND(K6*L6/10000,0)</f>
        <v>47</v>
      </c>
      <c r="N6" s="729">
        <v>0.6</v>
      </c>
      <c r="O6" s="66" t="str">
        <f>IF($N$5="成新度","——",ROUND(M6*N6,0))</f>
        <v>——</v>
      </c>
      <c r="P6" s="67" t="str">
        <f>IF($N$5="成新度","——",M6-O6)</f>
        <v>——</v>
      </c>
      <c r="Q6" s="732">
        <v>0.05</v>
      </c>
      <c r="R6" s="68">
        <f ca="1">SUMIF('数据-汇总表'!C$19:C$33,A6,'数据-汇总表'!R$19:R$27)</f>
        <v>0</v>
      </c>
      <c r="S6" s="51">
        <f>IF('数据-汇总表'!$I$17="按面积比例",SUMIF('数据-汇总表'!C$19:C$33,A6,'数据-汇总表'!K$19:K$33),SUMIF('数据-汇总表'!C$19:C$33,A6,'数据-汇总表'!N$19:N$33))</f>
        <v>0</v>
      </c>
      <c r="T6" s="1169">
        <f>ROUND($L$14*S6/10000,0)</f>
        <v>0</v>
      </c>
      <c r="U6" s="3422"/>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2"/>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3"/>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2"/>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2"/>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2"/>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2"/>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4"/>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135.71</v>
      </c>
      <c r="L16" s="92">
        <f>ROUND(M16*10000/SUM(K6:K14),0)</f>
        <v>3463</v>
      </c>
      <c r="M16" s="92">
        <f>SUM(M6:M14)</f>
        <v>47</v>
      </c>
      <c r="N16" s="93">
        <f>ROUND(SUMPRODUCT(M6:M14,N6:N14)/M16,3)</f>
        <v>0.6</v>
      </c>
      <c r="O16" s="92">
        <f>SUM(O6:O14)</f>
        <v>0</v>
      </c>
      <c r="P16" s="92">
        <f>SUM(P6:P14)</f>
        <v>0</v>
      </c>
      <c r="Q16" s="94">
        <f>ROUND(SUMPRODUCT(Q6:Q13,K6:K13)/SUMPRODUCT((Q6:Q13&gt;0)*(K6:K13)),2)</f>
        <v>0.05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59"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2">
        <v>0</v>
      </c>
      <c r="C19" s="2793" t="s">
        <v>2299</v>
      </c>
      <c r="D19" s="2670"/>
      <c r="E19" s="2667"/>
      <c r="F19" s="2667"/>
      <c r="G19" s="2667"/>
      <c r="H19" s="2667"/>
      <c r="I19" s="2667"/>
      <c r="J19" s="2667"/>
      <c r="K19" s="2666"/>
      <c r="L19" s="2666"/>
      <c r="M19" s="2665"/>
      <c r="N19" s="2665">
        <v>1960</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3">
        <v>1</v>
      </c>
      <c r="C20" s="2794" t="s">
        <v>2297</v>
      </c>
      <c r="D20" s="2670"/>
      <c r="E20" s="2667"/>
      <c r="F20" s="2667"/>
      <c r="G20" s="2667"/>
      <c r="H20" s="2667"/>
      <c r="I20" s="2667"/>
      <c r="J20" s="2667"/>
      <c r="K20" s="2666"/>
      <c r="L20" s="2666"/>
      <c r="M20" s="2665"/>
      <c r="N20" s="2665">
        <f>1-(2023-N19)/60</f>
        <v>-5.0000000000000044E-2</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3">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4">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4">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5">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3"/>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6">
        <v>160</v>
      </c>
      <c r="C27" s="2795" t="s">
        <v>2301</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27142</v>
      </c>
      <c r="C29" s="2796" t="s">
        <v>2288</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2289</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7" t="s">
        <v>2290</v>
      </c>
      <c r="D34" s="2678" t="s">
        <v>2298</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7" t="s">
        <v>2291</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7" t="s">
        <v>2292</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4">
        <v>0.02</v>
      </c>
      <c r="C37" s="2797" t="s">
        <v>2293</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2">
        <v>0.02</v>
      </c>
      <c r="C38" s="2797" t="s">
        <v>2293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3506</v>
      </c>
      <c r="B40" s="1075">
        <f ca="1">IF(A40="利息：取LPR",存贷款利率!G1,存贷款利率!G1+C40)</f>
        <v>4.3499999999999997E-2</v>
      </c>
      <c r="C40" s="2808">
        <v>7.0000000000000001E-3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8">
        <v>0.05</v>
      </c>
      <c r="C44" s="2797" t="s">
        <v>2302</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6">
        <v>0.03</v>
      </c>
      <c r="C45" s="2796" t="s">
        <v>2294</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6">
        <v>0.02</v>
      </c>
      <c r="C46" s="2796" t="s">
        <v>2295</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19"/>
      <c r="C47" s="2799" t="s">
        <v>2303</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0">
        <v>0.03</v>
      </c>
      <c r="C48" s="2796" t="s">
        <v>2294</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6">
        <v>5.0000000000000001E-4</v>
      </c>
      <c r="C49" s="2796" t="s">
        <v>2296</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3">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c r="C53" s="2655" t="s">
        <v>1246</v>
      </c>
      <c r="D53" s="2798" t="s">
        <v>2300</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4"/>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4"/>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4"/>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4"/>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4"/>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4"/>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4"/>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4"/>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4"/>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9" sqref="D9"/>
    </sheetView>
  </sheetViews>
  <sheetFormatPr defaultColWidth="9" defaultRowHeight="14.25"/>
  <cols>
    <col min="1" max="1" width="9.5" style="1682" customWidth="1"/>
    <col min="2" max="2" width="24.5" style="1569" customWidth="1"/>
    <col min="3" max="3" width="31.87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3" customFormat="1" ht="18.75" thickBot="1">
      <c r="A1" s="3623" t="s">
        <v>2280</v>
      </c>
      <c r="B1" s="3624"/>
      <c r="C1" s="3624"/>
      <c r="D1" s="3624"/>
      <c r="E1" s="3624"/>
      <c r="F1" s="3624"/>
      <c r="G1" s="362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7"/>
      <c r="I2" s="797"/>
      <c r="J2" s="797"/>
      <c r="K2" s="797"/>
      <c r="L2" s="797"/>
      <c r="M2" s="797"/>
      <c r="N2" s="797"/>
      <c r="O2" s="797"/>
      <c r="P2" s="797"/>
      <c r="Q2" s="797"/>
      <c r="R2" s="797"/>
    </row>
    <row r="3" spans="1:29" ht="36.75" thickBot="1">
      <c r="A3" s="2437" t="s">
        <v>2277</v>
      </c>
      <c r="B3" s="2459" t="s">
        <v>2249</v>
      </c>
      <c r="C3" s="2460" t="s">
        <v>2278</v>
      </c>
      <c r="D3" s="2461"/>
      <c r="E3" s="2438" t="s">
        <v>2277</v>
      </c>
      <c r="F3" s="2462" t="s">
        <v>2250</v>
      </c>
      <c r="G3" s="2463" t="s">
        <v>2279</v>
      </c>
      <c r="H3" s="797"/>
      <c r="I3" s="797"/>
      <c r="J3" s="797"/>
      <c r="K3" s="797"/>
      <c r="L3" s="797"/>
      <c r="M3" s="797"/>
      <c r="N3" s="797"/>
      <c r="O3" s="797"/>
      <c r="P3" s="797"/>
      <c r="Q3" s="797"/>
      <c r="R3" s="797"/>
    </row>
    <row r="4" spans="1:29" ht="43.5" thickBot="1">
      <c r="A4" s="2438"/>
      <c r="B4" s="322" t="s">
        <v>2251</v>
      </c>
      <c r="C4" s="3514" t="s">
        <v>3512</v>
      </c>
      <c r="D4" s="2461"/>
      <c r="E4" s="2464"/>
      <c r="F4" s="1370" t="s">
        <v>2252</v>
      </c>
      <c r="G4" s="2465" t="s">
        <v>2253</v>
      </c>
      <c r="H4" s="797"/>
      <c r="I4" s="797"/>
      <c r="J4" s="797"/>
      <c r="K4" s="797"/>
      <c r="L4" s="797"/>
      <c r="M4" s="797"/>
      <c r="N4" s="797"/>
      <c r="O4" s="797"/>
      <c r="P4" s="797"/>
      <c r="Q4" s="797"/>
      <c r="R4" s="797"/>
    </row>
    <row r="5" spans="1:29" ht="24">
      <c r="A5" s="2438"/>
      <c r="B5" s="322" t="s">
        <v>2254</v>
      </c>
      <c r="C5" s="3531" t="s">
        <v>3626</v>
      </c>
      <c r="D5" s="2461"/>
      <c r="E5" s="2464"/>
      <c r="F5" s="322" t="s">
        <v>2255</v>
      </c>
      <c r="G5" s="2465" t="s">
        <v>2256</v>
      </c>
      <c r="H5" s="797"/>
      <c r="I5" s="797"/>
      <c r="J5" s="797"/>
      <c r="K5" s="797"/>
      <c r="L5" s="797"/>
      <c r="M5" s="797"/>
      <c r="N5" s="797"/>
      <c r="O5" s="797"/>
      <c r="P5" s="797"/>
      <c r="Q5" s="797"/>
      <c r="R5" s="797"/>
    </row>
    <row r="6" spans="1:29" ht="71.25">
      <c r="A6" s="2438"/>
      <c r="B6" s="322" t="s">
        <v>2257</v>
      </c>
      <c r="C6" s="3515" t="s">
        <v>3621</v>
      </c>
      <c r="D6" s="2461"/>
      <c r="E6" s="2464"/>
      <c r="F6" s="322" t="s">
        <v>2258</v>
      </c>
      <c r="G6" s="2465" t="s">
        <v>2259</v>
      </c>
      <c r="H6" s="797"/>
      <c r="I6" s="797"/>
      <c r="J6" s="797"/>
      <c r="K6" s="797"/>
      <c r="L6" s="797"/>
      <c r="M6" s="797"/>
      <c r="N6" s="797"/>
      <c r="O6" s="797"/>
      <c r="P6" s="797"/>
      <c r="Q6" s="797"/>
      <c r="R6" s="797"/>
    </row>
    <row r="7" spans="1:29" ht="171.75" thickBot="1">
      <c r="A7" s="2438"/>
      <c r="B7" s="322" t="s">
        <v>2255</v>
      </c>
      <c r="C7" s="3516" t="s">
        <v>3622</v>
      </c>
      <c r="D7" s="2466"/>
      <c r="E7" s="2467"/>
      <c r="F7" s="2468" t="s">
        <v>2260</v>
      </c>
      <c r="G7" s="2469" t="s">
        <v>2261</v>
      </c>
      <c r="H7" s="797"/>
      <c r="I7" s="797"/>
      <c r="J7" s="797"/>
      <c r="K7" s="797"/>
      <c r="L7" s="797"/>
      <c r="M7" s="797"/>
      <c r="N7" s="797"/>
      <c r="O7" s="797"/>
      <c r="P7" s="797"/>
      <c r="Q7" s="797"/>
      <c r="R7" s="797"/>
    </row>
    <row r="8" spans="1:29" ht="28.5">
      <c r="A8" s="2438"/>
      <c r="B8" s="322" t="s">
        <v>2258</v>
      </c>
      <c r="C8" s="3516" t="s">
        <v>3513</v>
      </c>
      <c r="D8" s="2466"/>
      <c r="E8" s="2466"/>
      <c r="F8" s="2470"/>
      <c r="G8" s="2470"/>
      <c r="H8" s="797"/>
      <c r="I8" s="797"/>
      <c r="J8" s="797"/>
      <c r="K8" s="797"/>
      <c r="L8" s="797"/>
      <c r="M8" s="797"/>
      <c r="N8" s="797"/>
      <c r="O8" s="797"/>
      <c r="P8" s="797"/>
      <c r="Q8" s="797"/>
      <c r="R8" s="797"/>
    </row>
    <row r="9" spans="1:29" ht="57">
      <c r="A9" s="2438"/>
      <c r="B9" s="322" t="s">
        <v>2262</v>
      </c>
      <c r="C9" s="3517" t="s">
        <v>3623</v>
      </c>
      <c r="D9" s="2461"/>
      <c r="E9" s="2466"/>
      <c r="F9" s="2470"/>
      <c r="G9" s="2470"/>
      <c r="H9" s="797"/>
      <c r="I9" s="797"/>
      <c r="J9" s="797"/>
      <c r="K9" s="797"/>
      <c r="L9" s="797"/>
      <c r="M9" s="797"/>
      <c r="N9" s="797"/>
      <c r="O9" s="797"/>
      <c r="P9" s="797"/>
      <c r="Q9" s="797"/>
      <c r="R9" s="797"/>
    </row>
    <row r="10" spans="1:29" s="2475" customFormat="1" ht="15" thickBot="1">
      <c r="A10" s="2439"/>
      <c r="B10" s="2471" t="s">
        <v>2263</v>
      </c>
      <c r="C10" s="3532" t="s">
        <v>3624</v>
      </c>
      <c r="D10" s="2461"/>
      <c r="E10" s="2461"/>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6"/>
      <c r="C12" s="2461"/>
      <c r="D12" s="2478"/>
      <c r="E12" s="2461"/>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2281</v>
      </c>
      <c r="B13" s="2478"/>
      <c r="C13" s="2478"/>
      <c r="D13" s="2476"/>
      <c r="E13" s="2478"/>
      <c r="F13" s="2478"/>
      <c r="G13" s="2478"/>
    </row>
    <row r="14" spans="1:29" ht="15" thickBot="1">
      <c r="A14" s="2488"/>
      <c r="B14" s="2488"/>
      <c r="C14" s="2489" t="s">
        <v>2264</v>
      </c>
      <c r="D14" s="2461"/>
      <c r="E14" s="2490"/>
      <c r="F14" s="2490"/>
      <c r="G14" s="2456" t="s">
        <v>2265</v>
      </c>
    </row>
    <row r="15" spans="1:29" ht="38.25">
      <c r="A15" s="2440" t="s">
        <v>2266</v>
      </c>
      <c r="B15" s="2491" t="s">
        <v>2249</v>
      </c>
      <c r="C15" s="2492" t="str">
        <f>C3</f>
        <v>估价对象周边居住用地比例、居住小区规模和社区发展完善程度，综合评价居住社区成熟度一般</v>
      </c>
      <c r="D15" s="2461"/>
      <c r="E15" s="2441" t="s">
        <v>2267</v>
      </c>
      <c r="F15" s="2491" t="s">
        <v>2268</v>
      </c>
      <c r="G15" s="2493" t="str">
        <f>G3</f>
        <v>估价对象位于XX开发区，园区建设成熟度XX，产业集聚程度XX</v>
      </c>
    </row>
    <row r="16" spans="1:29" ht="38.25">
      <c r="A16" s="2442"/>
      <c r="B16" s="2494" t="s">
        <v>2251</v>
      </c>
      <c r="C16" s="2495" t="str">
        <f>C4</f>
        <v>估价对象周边有世茂广场、太古里、三里屯SOHO以及住宅配套商业，人流量较大，商业繁华度较好。</v>
      </c>
      <c r="D16" s="2461"/>
      <c r="E16" s="2443"/>
      <c r="F16" s="2496" t="s">
        <v>2252</v>
      </c>
      <c r="G16" s="2497" t="str">
        <f>G4</f>
        <v>估价对象周边道路状况、公共交通通达情况、停车便捷程度，综合评价交通便捷度较好</v>
      </c>
    </row>
    <row r="17" spans="1:18" ht="25.5">
      <c r="A17" s="2442"/>
      <c r="B17" s="2494" t="s">
        <v>2254</v>
      </c>
      <c r="C17" s="2495" t="str">
        <f>C5</f>
        <v>周边有少量相似物业，综合物业集聚程度一般。</v>
      </c>
      <c r="D17" s="2466"/>
      <c r="E17" s="2443"/>
      <c r="F17" s="2496" t="s">
        <v>2269</v>
      </c>
      <c r="G17" s="2498"/>
    </row>
    <row r="18" spans="1:18" ht="38.25">
      <c r="A18" s="2442"/>
      <c r="B18" s="2496" t="s">
        <v>2257</v>
      </c>
      <c r="C18" s="2497" t="str">
        <f>C6</f>
        <v>估价对象周边有M1、M25、M27、336、370、383、快速公交4线等多条公交线路，周边道路网线较密集，通达度较好。综合评价交通便捷度较好。</v>
      </c>
      <c r="D18" s="2466"/>
      <c r="E18" s="2443"/>
      <c r="F18" s="2496" t="s">
        <v>2260</v>
      </c>
      <c r="G18" s="2497" t="str">
        <f>G7</f>
        <v>该园区内是否有污染型企业，绿化情况，卫生条件，整体环境状况判断</v>
      </c>
    </row>
    <row r="19" spans="1:18" ht="25.5">
      <c r="A19" s="2442"/>
      <c r="B19" s="2496" t="s">
        <v>2270</v>
      </c>
      <c r="C19" s="2498"/>
      <c r="D19" s="2461"/>
      <c r="E19" s="2443"/>
      <c r="F19" s="322" t="s">
        <v>2255</v>
      </c>
      <c r="G19" s="2497" t="str">
        <f>G5</f>
        <v>估价对象所在区域公共配套设施齐备情况</v>
      </c>
    </row>
    <row r="20" spans="1:18" ht="25.5">
      <c r="A20" s="2442"/>
      <c r="B20" s="2496" t="s">
        <v>2271</v>
      </c>
      <c r="C20" s="2495" t="str">
        <f>C9</f>
        <v>估价对象周边有滨河世纪广场公园、永定河、黑山公园、门头沟体育馆等自然、人文场所，综合评价环境状况较好。</v>
      </c>
      <c r="D20" s="2466"/>
      <c r="E20" s="2443"/>
      <c r="F20" s="322" t="s">
        <v>2258</v>
      </c>
      <c r="G20" s="2497" t="str">
        <f>G6</f>
        <v>估价对象所在区域基础设施水平</v>
      </c>
    </row>
    <row r="21" spans="1:18" ht="89.25">
      <c r="A21" s="2442"/>
      <c r="B21" s="322" t="s">
        <v>2255</v>
      </c>
      <c r="C21" s="2497" t="str">
        <f>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1" s="2461"/>
      <c r="E21" s="2443"/>
      <c r="F21" s="2496" t="s">
        <v>2272</v>
      </c>
      <c r="G21" s="2499"/>
    </row>
    <row r="22" spans="1:18" ht="13.5" customHeight="1">
      <c r="A22" s="2442"/>
      <c r="B22" s="322" t="s">
        <v>2258</v>
      </c>
      <c r="C22" s="2497" t="str">
        <f>C8</f>
        <v>估价对象所在区域基础设施水平-七通</v>
      </c>
      <c r="D22" s="2461"/>
      <c r="E22" s="2443"/>
      <c r="F22" s="2496" t="s">
        <v>2263</v>
      </c>
      <c r="G22" s="2498"/>
    </row>
    <row r="23" spans="1:18" s="797" customFormat="1" ht="15" thickBot="1">
      <c r="A23" s="2442"/>
      <c r="B23" s="2496" t="s">
        <v>2272</v>
      </c>
      <c r="C23" s="2499"/>
      <c r="D23" s="1737"/>
      <c r="E23" s="2444"/>
      <c r="F23" s="2500" t="s">
        <v>2273</v>
      </c>
      <c r="G23" s="2501"/>
      <c r="H23" s="2485"/>
      <c r="I23" s="2486"/>
      <c r="J23" s="2485"/>
      <c r="K23" s="2485"/>
      <c r="L23" s="2486"/>
      <c r="M23" s="2485"/>
      <c r="N23" s="2485"/>
      <c r="O23" s="2486"/>
      <c r="P23" s="2485"/>
      <c r="Q23" s="2485"/>
      <c r="R23" s="2487"/>
    </row>
    <row r="24" spans="1:18" s="797" customFormat="1" ht="15" thickBot="1">
      <c r="A24" s="2445"/>
      <c r="B24" s="2500" t="s">
        <v>2274</v>
      </c>
      <c r="C24" s="2502" t="str">
        <f>C10</f>
        <v>次干道-新桥大街</v>
      </c>
      <c r="D24" s="1737"/>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135.71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45097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198</v>
      </c>
      <c r="C5" s="2506">
        <f ca="1">IF(B5=D14,结果表!H102,ROUND(B5*10000/$B$1,0))</f>
        <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 ca="1">IF(E10="",0,ROUND(B1*(E10*365/G10)/10000,0))</f>
        <v>198</v>
      </c>
      <c r="C10" s="2506" t="s">
        <v>3353</v>
      </c>
      <c r="D10" s="2506" t="s">
        <v>3354</v>
      </c>
      <c r="E10" s="3435">
        <f ca="1">'结果一览表-滑石道'!D37</f>
        <v>1.8</v>
      </c>
      <c r="F10" s="3439" t="s">
        <v>3355</v>
      </c>
      <c r="G10" s="3436">
        <f>'结果一览表-滑石道'!I4</f>
        <v>4.4999999999999998E-2</v>
      </c>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135.71</v>
      </c>
      <c r="C14" s="2512"/>
      <c r="D14" s="2512">
        <f ca="1">B10</f>
        <v>198</v>
      </c>
      <c r="E14" s="2512">
        <f ca="1">ROUND(D14*10000/B14,0)</f>
        <v>14590</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8"/>
      <c r="H15" s="1328"/>
      <c r="I15" s="2513"/>
      <c r="J15" s="2681"/>
      <c r="K15" s="2682"/>
    </row>
    <row r="16" spans="1:11" ht="16.5">
      <c r="A16" s="2511" t="s">
        <v>648</v>
      </c>
      <c r="B16" s="2513"/>
      <c r="C16" s="2513"/>
      <c r="D16" s="2513"/>
      <c r="E16" s="2512" t="e">
        <f t="shared" si="0"/>
        <v>#DIV/0!</v>
      </c>
      <c r="F16" s="2512" t="e">
        <f t="shared" si="1"/>
        <v>#DIV/0!</v>
      </c>
      <c r="G16" s="1328"/>
      <c r="H16" s="1328"/>
      <c r="I16" s="2513"/>
      <c r="J16" s="2682"/>
      <c r="K16" s="2682"/>
    </row>
    <row r="17" spans="1:11" ht="16.5">
      <c r="A17" s="2511" t="s">
        <v>647</v>
      </c>
      <c r="B17" s="2513"/>
      <c r="C17" s="2513"/>
      <c r="D17" s="2513"/>
      <c r="E17" s="2512" t="e">
        <f t="shared" si="0"/>
        <v>#DIV/0!</v>
      </c>
      <c r="F17" s="2512" t="e">
        <f t="shared" si="1"/>
        <v>#DIV/0!</v>
      </c>
      <c r="G17" s="1328"/>
      <c r="H17" s="1328"/>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28" t="s">
        <v>2084</v>
      </c>
      <c r="D1" s="3629"/>
      <c r="E1" s="3629"/>
      <c r="F1" s="3629"/>
      <c r="G1" s="3629"/>
      <c r="H1" s="3629"/>
      <c r="I1" s="3629"/>
      <c r="J1" s="3629"/>
      <c r="K1" s="3629"/>
      <c r="L1" s="3629"/>
      <c r="M1" s="3629"/>
      <c r="N1" s="3629"/>
      <c r="O1" s="3629"/>
      <c r="P1" s="3629"/>
      <c r="Q1" s="3629"/>
      <c r="R1" s="3629"/>
      <c r="S1" s="3630"/>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20" t="s">
        <v>3519</v>
      </c>
      <c r="C5" s="3521" t="s">
        <v>3520</v>
      </c>
      <c r="D5" s="3522" t="s">
        <v>3521</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5" t="s">
        <v>3550</v>
      </c>
      <c r="C7" s="3526" t="s">
        <v>3548</v>
      </c>
      <c r="D7" s="3527" t="s">
        <v>3549</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8" t="s">
        <v>3517</v>
      </c>
      <c r="D17" s="3519" t="s">
        <v>3518</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5" t="s">
        <v>27</v>
      </c>
      <c r="D22" s="3626"/>
      <c r="E22" s="3626"/>
      <c r="F22" s="3626"/>
      <c r="G22" s="3626"/>
      <c r="H22" s="3626"/>
      <c r="I22" s="3626"/>
      <c r="J22" s="3626"/>
      <c r="K22" s="3626"/>
      <c r="L22" s="3626"/>
      <c r="M22" s="3626"/>
      <c r="N22" s="3626"/>
      <c r="O22" s="3626"/>
      <c r="P22" s="3626"/>
      <c r="Q22" s="3627"/>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4">
        <v>1</v>
      </c>
      <c r="D24" s="2805" t="e">
        <f>#REF!</f>
        <v>#REF!</v>
      </c>
      <c r="E24" s="2804">
        <v>1</v>
      </c>
      <c r="F24" s="2805" t="e">
        <f>#REF!</f>
        <v>#REF!</v>
      </c>
      <c r="G24" s="2804">
        <v>1</v>
      </c>
      <c r="H24" s="2805"/>
      <c r="I24" s="2804">
        <v>1</v>
      </c>
      <c r="J24" s="2805"/>
      <c r="K24" s="2804">
        <v>1</v>
      </c>
      <c r="L24" s="2805"/>
      <c r="M24" s="2804">
        <v>1</v>
      </c>
      <c r="N24" s="2805"/>
      <c r="O24" s="2804">
        <v>1</v>
      </c>
      <c r="P24" s="2805" t="e">
        <f>#REF!</f>
        <v>#REF!</v>
      </c>
      <c r="Q24" s="2804">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5" t="e">
        <f>#REF!</f>
        <v>#REF!</v>
      </c>
      <c r="E25" s="21">
        <f>(SUMIF($5:$5,D25,$6:$6)-SUMIF($5:$5,$D$24,$6:$6)+100)/100</f>
        <v>1</v>
      </c>
      <c r="F25" s="2805"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5" t="e">
        <f>#REF!</f>
        <v>#REF!</v>
      </c>
      <c r="E26" s="21">
        <f t="shared" ref="E26:E89" si="13">(SUMIF($5:$5,D26,$6:$6)-SUMIF($5:$5,$D$24,$6:$6)+100)/100</f>
        <v>1</v>
      </c>
      <c r="F26" s="2805"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5" t="e">
        <f>#REF!</f>
        <v>#REF!</v>
      </c>
      <c r="E27" s="21">
        <f t="shared" si="13"/>
        <v>1</v>
      </c>
      <c r="F27" s="2805" t="e">
        <f>#REF!</f>
        <v>#REF!</v>
      </c>
      <c r="G27" s="21">
        <f t="shared" si="14"/>
        <v>1</v>
      </c>
      <c r="H27" s="665"/>
      <c r="I27" s="21">
        <f t="shared" si="15"/>
        <v>1</v>
      </c>
      <c r="J27" s="665"/>
      <c r="K27" s="21">
        <f t="shared" si="16"/>
        <v>1</v>
      </c>
      <c r="L27" s="665"/>
      <c r="M27" s="21">
        <f t="shared" si="17"/>
        <v>1</v>
      </c>
      <c r="N27" s="665"/>
      <c r="O27" s="21">
        <f t="shared" si="18"/>
        <v>1</v>
      </c>
      <c r="P27" s="2805" t="e">
        <f>#REF!</f>
        <v>#REF!</v>
      </c>
      <c r="Q27" s="21">
        <f t="shared" si="19"/>
        <v>1</v>
      </c>
      <c r="R27" s="661" t="e">
        <f t="shared" si="20"/>
        <v>#REF!</v>
      </c>
      <c r="S27" s="315" t="e">
        <f t="shared" si="11"/>
        <v>#REF!</v>
      </c>
    </row>
    <row r="28" spans="1:45">
      <c r="A28" s="663" t="e">
        <f>#REF!</f>
        <v>#REF!</v>
      </c>
      <c r="B28" s="663" t="e">
        <f>#REF!</f>
        <v>#REF!</v>
      </c>
      <c r="C28" s="21" t="e">
        <f t="shared" si="12"/>
        <v>#REF!</v>
      </c>
      <c r="D28" s="2805" t="e">
        <f>#REF!</f>
        <v>#REF!</v>
      </c>
      <c r="E28" s="21">
        <f t="shared" si="13"/>
        <v>1</v>
      </c>
      <c r="F28" s="2805" t="e">
        <f>#REF!</f>
        <v>#REF!</v>
      </c>
      <c r="G28" s="21">
        <f t="shared" si="14"/>
        <v>1</v>
      </c>
      <c r="H28" s="665"/>
      <c r="I28" s="21">
        <f t="shared" si="15"/>
        <v>1</v>
      </c>
      <c r="J28" s="665"/>
      <c r="K28" s="21">
        <f t="shared" si="16"/>
        <v>1</v>
      </c>
      <c r="L28" s="665"/>
      <c r="M28" s="21">
        <f t="shared" si="17"/>
        <v>1</v>
      </c>
      <c r="N28" s="665"/>
      <c r="O28" s="21">
        <f t="shared" si="18"/>
        <v>1</v>
      </c>
      <c r="P28" s="2805" t="e">
        <f>#REF!</f>
        <v>#REF!</v>
      </c>
      <c r="Q28" s="21">
        <f t="shared" si="19"/>
        <v>1</v>
      </c>
      <c r="R28" s="661" t="e">
        <f t="shared" si="20"/>
        <v>#REF!</v>
      </c>
      <c r="S28" s="315" t="e">
        <f t="shared" si="11"/>
        <v>#REF!</v>
      </c>
    </row>
    <row r="29" spans="1:45">
      <c r="A29" s="663" t="e">
        <f>#REF!</f>
        <v>#REF!</v>
      </c>
      <c r="B29" s="663" t="e">
        <f>#REF!</f>
        <v>#REF!</v>
      </c>
      <c r="C29" s="21" t="e">
        <f t="shared" si="12"/>
        <v>#REF!</v>
      </c>
      <c r="D29" s="2805" t="e">
        <f>#REF!</f>
        <v>#REF!</v>
      </c>
      <c r="E29" s="21">
        <f t="shared" si="13"/>
        <v>1</v>
      </c>
      <c r="F29" s="2805" t="e">
        <f>#REF!</f>
        <v>#REF!</v>
      </c>
      <c r="G29" s="21">
        <f t="shared" si="14"/>
        <v>1</v>
      </c>
      <c r="H29" s="665"/>
      <c r="I29" s="21">
        <f t="shared" si="15"/>
        <v>1</v>
      </c>
      <c r="J29" s="665"/>
      <c r="K29" s="21">
        <f t="shared" si="16"/>
        <v>1</v>
      </c>
      <c r="L29" s="665"/>
      <c r="M29" s="21">
        <f t="shared" si="17"/>
        <v>1</v>
      </c>
      <c r="N29" s="665"/>
      <c r="O29" s="21">
        <f t="shared" si="18"/>
        <v>1</v>
      </c>
      <c r="P29" s="2805" t="e">
        <f>#REF!</f>
        <v>#REF!</v>
      </c>
      <c r="Q29" s="21">
        <f t="shared" si="19"/>
        <v>1</v>
      </c>
      <c r="R29" s="661" t="e">
        <f t="shared" si="20"/>
        <v>#REF!</v>
      </c>
      <c r="S29" s="315" t="e">
        <f t="shared" si="11"/>
        <v>#REF!</v>
      </c>
    </row>
    <row r="30" spans="1:45">
      <c r="A30" s="663" t="e">
        <f>#REF!</f>
        <v>#REF!</v>
      </c>
      <c r="B30" s="663" t="e">
        <f>#REF!</f>
        <v>#REF!</v>
      </c>
      <c r="C30" s="21" t="e">
        <f t="shared" si="12"/>
        <v>#REF!</v>
      </c>
      <c r="D30" s="2805" t="e">
        <f>#REF!</f>
        <v>#REF!</v>
      </c>
      <c r="E30" s="21">
        <f t="shared" si="13"/>
        <v>1</v>
      </c>
      <c r="F30" s="2805" t="e">
        <f>#REF!</f>
        <v>#REF!</v>
      </c>
      <c r="G30" s="21">
        <f t="shared" si="14"/>
        <v>1</v>
      </c>
      <c r="H30" s="665"/>
      <c r="I30" s="21">
        <f t="shared" si="15"/>
        <v>1</v>
      </c>
      <c r="J30" s="665"/>
      <c r="K30" s="21">
        <f t="shared" si="16"/>
        <v>1</v>
      </c>
      <c r="L30" s="665"/>
      <c r="M30" s="21">
        <f t="shared" si="17"/>
        <v>1</v>
      </c>
      <c r="N30" s="665"/>
      <c r="O30" s="21">
        <f t="shared" si="18"/>
        <v>1</v>
      </c>
      <c r="P30" s="2805" t="e">
        <f>#REF!</f>
        <v>#REF!</v>
      </c>
      <c r="Q30" s="21">
        <f t="shared" si="19"/>
        <v>1</v>
      </c>
      <c r="R30" s="661" t="e">
        <f t="shared" si="20"/>
        <v>#REF!</v>
      </c>
      <c r="S30" s="315" t="e">
        <f t="shared" si="11"/>
        <v>#REF!</v>
      </c>
    </row>
    <row r="31" spans="1:45">
      <c r="A31" s="663" t="e">
        <f>#REF!</f>
        <v>#REF!</v>
      </c>
      <c r="B31" s="663" t="e">
        <f>#REF!</f>
        <v>#REF!</v>
      </c>
      <c r="C31" s="21" t="e">
        <f t="shared" si="12"/>
        <v>#REF!</v>
      </c>
      <c r="D31" s="2805" t="e">
        <f>#REF!</f>
        <v>#REF!</v>
      </c>
      <c r="E31" s="21">
        <f t="shared" si="13"/>
        <v>1</v>
      </c>
      <c r="F31" s="2805" t="e">
        <f>#REF!</f>
        <v>#REF!</v>
      </c>
      <c r="G31" s="21">
        <f t="shared" si="14"/>
        <v>1</v>
      </c>
      <c r="H31" s="665"/>
      <c r="I31" s="21">
        <f t="shared" si="15"/>
        <v>1</v>
      </c>
      <c r="J31" s="665"/>
      <c r="K31" s="21">
        <f t="shared" si="16"/>
        <v>1</v>
      </c>
      <c r="L31" s="665"/>
      <c r="M31" s="21">
        <f t="shared" si="17"/>
        <v>1</v>
      </c>
      <c r="N31" s="665"/>
      <c r="O31" s="21">
        <f t="shared" si="18"/>
        <v>1</v>
      </c>
      <c r="P31" s="2805" t="e">
        <f>#REF!</f>
        <v>#REF!</v>
      </c>
      <c r="Q31" s="21">
        <f t="shared" si="19"/>
        <v>1</v>
      </c>
      <c r="R31" s="661" t="e">
        <f t="shared" si="20"/>
        <v>#REF!</v>
      </c>
      <c r="S31" s="315" t="e">
        <f t="shared" si="11"/>
        <v>#REF!</v>
      </c>
    </row>
    <row r="32" spans="1:45">
      <c r="A32" s="663" t="e">
        <f>#REF!</f>
        <v>#REF!</v>
      </c>
      <c r="B32" s="663" t="e">
        <f>#REF!</f>
        <v>#REF!</v>
      </c>
      <c r="C32" s="21" t="e">
        <f t="shared" si="12"/>
        <v>#REF!</v>
      </c>
      <c r="D32" s="2805" t="e">
        <f>#REF!</f>
        <v>#REF!</v>
      </c>
      <c r="E32" s="21">
        <f t="shared" si="13"/>
        <v>1</v>
      </c>
      <c r="F32" s="2805" t="e">
        <f>#REF!</f>
        <v>#REF!</v>
      </c>
      <c r="G32" s="21">
        <f t="shared" si="14"/>
        <v>1</v>
      </c>
      <c r="H32" s="665"/>
      <c r="I32" s="21">
        <f t="shared" si="15"/>
        <v>1</v>
      </c>
      <c r="J32" s="665"/>
      <c r="K32" s="21">
        <f t="shared" si="16"/>
        <v>1</v>
      </c>
      <c r="L32" s="665"/>
      <c r="M32" s="21">
        <f t="shared" si="17"/>
        <v>1</v>
      </c>
      <c r="N32" s="665"/>
      <c r="O32" s="21">
        <f t="shared" si="18"/>
        <v>1</v>
      </c>
      <c r="P32" s="2805" t="e">
        <f>#REF!</f>
        <v>#REF!</v>
      </c>
      <c r="Q32" s="21">
        <f t="shared" si="19"/>
        <v>1</v>
      </c>
      <c r="R32" s="661" t="e">
        <f t="shared" si="20"/>
        <v>#REF!</v>
      </c>
      <c r="S32" s="315" t="e">
        <f t="shared" si="11"/>
        <v>#REF!</v>
      </c>
    </row>
    <row r="33" spans="1:19">
      <c r="A33" s="663" t="e">
        <f>#REF!</f>
        <v>#REF!</v>
      </c>
      <c r="B33" s="663" t="e">
        <f>#REF!</f>
        <v>#REF!</v>
      </c>
      <c r="C33" s="21" t="e">
        <f t="shared" si="12"/>
        <v>#REF!</v>
      </c>
      <c r="D33" s="2805" t="e">
        <f>#REF!</f>
        <v>#REF!</v>
      </c>
      <c r="E33" s="21">
        <f t="shared" si="13"/>
        <v>1</v>
      </c>
      <c r="F33" s="2805" t="e">
        <f>#REF!</f>
        <v>#REF!</v>
      </c>
      <c r="G33" s="21">
        <f t="shared" si="14"/>
        <v>1</v>
      </c>
      <c r="H33" s="665"/>
      <c r="I33" s="21">
        <f t="shared" si="15"/>
        <v>1</v>
      </c>
      <c r="J33" s="665"/>
      <c r="K33" s="21">
        <f t="shared" si="16"/>
        <v>1</v>
      </c>
      <c r="L33" s="665"/>
      <c r="M33" s="21">
        <f t="shared" si="17"/>
        <v>1</v>
      </c>
      <c r="N33" s="665"/>
      <c r="O33" s="21">
        <f t="shared" si="18"/>
        <v>1</v>
      </c>
      <c r="P33" s="2805" t="e">
        <f>#REF!</f>
        <v>#REF!</v>
      </c>
      <c r="Q33" s="21">
        <f t="shared" si="19"/>
        <v>1</v>
      </c>
      <c r="R33" s="661" t="e">
        <f t="shared" si="20"/>
        <v>#REF!</v>
      </c>
      <c r="S33" s="315" t="e">
        <f t="shared" si="11"/>
        <v>#REF!</v>
      </c>
    </row>
    <row r="34" spans="1:19">
      <c r="A34" s="663" t="e">
        <f>#REF!</f>
        <v>#REF!</v>
      </c>
      <c r="B34" s="663" t="e">
        <f>#REF!</f>
        <v>#REF!</v>
      </c>
      <c r="C34" s="21" t="e">
        <f t="shared" si="12"/>
        <v>#REF!</v>
      </c>
      <c r="D34" s="2805" t="e">
        <f>#REF!</f>
        <v>#REF!</v>
      </c>
      <c r="E34" s="21">
        <f t="shared" si="13"/>
        <v>1</v>
      </c>
      <c r="F34" s="2805" t="e">
        <f>#REF!</f>
        <v>#REF!</v>
      </c>
      <c r="G34" s="21">
        <f t="shared" si="14"/>
        <v>1</v>
      </c>
      <c r="H34" s="665"/>
      <c r="I34" s="21">
        <f t="shared" si="15"/>
        <v>1</v>
      </c>
      <c r="J34" s="665"/>
      <c r="K34" s="21">
        <f t="shared" si="16"/>
        <v>1</v>
      </c>
      <c r="L34" s="665"/>
      <c r="M34" s="21">
        <f t="shared" si="17"/>
        <v>1</v>
      </c>
      <c r="N34" s="665"/>
      <c r="O34" s="21">
        <f t="shared" si="18"/>
        <v>1</v>
      </c>
      <c r="P34" s="2805" t="e">
        <f>#REF!</f>
        <v>#REF!</v>
      </c>
      <c r="Q34" s="21">
        <f t="shared" si="19"/>
        <v>1</v>
      </c>
      <c r="R34" s="661" t="e">
        <f t="shared" si="20"/>
        <v>#REF!</v>
      </c>
      <c r="S34" s="315" t="e">
        <f t="shared" si="11"/>
        <v>#REF!</v>
      </c>
    </row>
    <row r="35" spans="1:19">
      <c r="A35" s="663" t="e">
        <f>#REF!</f>
        <v>#REF!</v>
      </c>
      <c r="B35" s="663" t="e">
        <f>#REF!</f>
        <v>#REF!</v>
      </c>
      <c r="C35" s="21" t="e">
        <f t="shared" si="12"/>
        <v>#REF!</v>
      </c>
      <c r="D35" s="2805" t="e">
        <f>#REF!</f>
        <v>#REF!</v>
      </c>
      <c r="E35" s="21">
        <f t="shared" si="13"/>
        <v>1</v>
      </c>
      <c r="F35" s="2805" t="e">
        <f>#REF!</f>
        <v>#REF!</v>
      </c>
      <c r="G35" s="21">
        <f t="shared" si="14"/>
        <v>1</v>
      </c>
      <c r="H35" s="665"/>
      <c r="I35" s="21">
        <f t="shared" si="15"/>
        <v>1</v>
      </c>
      <c r="J35" s="665"/>
      <c r="K35" s="21">
        <f t="shared" si="16"/>
        <v>1</v>
      </c>
      <c r="L35" s="665"/>
      <c r="M35" s="21">
        <f t="shared" si="17"/>
        <v>1</v>
      </c>
      <c r="N35" s="665"/>
      <c r="O35" s="21">
        <f t="shared" si="18"/>
        <v>1</v>
      </c>
      <c r="P35" s="2805" t="e">
        <f>#REF!</f>
        <v>#REF!</v>
      </c>
      <c r="Q35" s="21">
        <f t="shared" si="19"/>
        <v>1</v>
      </c>
      <c r="R35" s="661" t="e">
        <f t="shared" si="20"/>
        <v>#REF!</v>
      </c>
      <c r="S35" s="315" t="e">
        <f t="shared" si="11"/>
        <v>#REF!</v>
      </c>
    </row>
    <row r="36" spans="1:19">
      <c r="A36" s="663" t="e">
        <f>#REF!</f>
        <v>#REF!</v>
      </c>
      <c r="B36" s="663" t="e">
        <f>#REF!</f>
        <v>#REF!</v>
      </c>
      <c r="C36" s="21" t="e">
        <f t="shared" si="12"/>
        <v>#REF!</v>
      </c>
      <c r="D36" s="2805" t="e">
        <f>#REF!</f>
        <v>#REF!</v>
      </c>
      <c r="E36" s="21">
        <f t="shared" si="13"/>
        <v>1</v>
      </c>
      <c r="F36" s="2805" t="e">
        <f>#REF!</f>
        <v>#REF!</v>
      </c>
      <c r="G36" s="21">
        <f t="shared" si="14"/>
        <v>1</v>
      </c>
      <c r="H36" s="665"/>
      <c r="I36" s="21">
        <f t="shared" si="15"/>
        <v>1</v>
      </c>
      <c r="J36" s="665"/>
      <c r="K36" s="21">
        <f t="shared" si="16"/>
        <v>1</v>
      </c>
      <c r="L36" s="665"/>
      <c r="M36" s="21">
        <f t="shared" si="17"/>
        <v>1</v>
      </c>
      <c r="N36" s="665"/>
      <c r="O36" s="21">
        <f t="shared" si="18"/>
        <v>1</v>
      </c>
      <c r="P36" s="2805" t="e">
        <f>#REF!</f>
        <v>#REF!</v>
      </c>
      <c r="Q36" s="21">
        <f t="shared" si="19"/>
        <v>1</v>
      </c>
      <c r="R36" s="661" t="e">
        <f t="shared" si="20"/>
        <v>#REF!</v>
      </c>
      <c r="S36" s="315" t="e">
        <f t="shared" si="11"/>
        <v>#REF!</v>
      </c>
    </row>
    <row r="37" spans="1:19">
      <c r="A37" s="663" t="e">
        <f>#REF!</f>
        <v>#REF!</v>
      </c>
      <c r="B37" s="663" t="e">
        <f>#REF!</f>
        <v>#REF!</v>
      </c>
      <c r="C37" s="21" t="e">
        <f t="shared" si="12"/>
        <v>#REF!</v>
      </c>
      <c r="D37" s="2805" t="e">
        <f>#REF!</f>
        <v>#REF!</v>
      </c>
      <c r="E37" s="21">
        <f t="shared" si="13"/>
        <v>1</v>
      </c>
      <c r="F37" s="2805" t="e">
        <f>#REF!</f>
        <v>#REF!</v>
      </c>
      <c r="G37" s="21">
        <f t="shared" si="14"/>
        <v>1</v>
      </c>
      <c r="H37" s="665"/>
      <c r="I37" s="21">
        <f t="shared" si="15"/>
        <v>1</v>
      </c>
      <c r="J37" s="665"/>
      <c r="K37" s="21">
        <f t="shared" si="16"/>
        <v>1</v>
      </c>
      <c r="L37" s="665"/>
      <c r="M37" s="21">
        <f t="shared" si="17"/>
        <v>1</v>
      </c>
      <c r="N37" s="665"/>
      <c r="O37" s="21">
        <f t="shared" si="18"/>
        <v>1</v>
      </c>
      <c r="P37" s="2805" t="e">
        <f>#REF!</f>
        <v>#REF!</v>
      </c>
      <c r="Q37" s="21">
        <f t="shared" si="19"/>
        <v>1</v>
      </c>
      <c r="R37" s="661" t="e">
        <f t="shared" si="20"/>
        <v>#REF!</v>
      </c>
      <c r="S37" s="315" t="e">
        <f t="shared" si="11"/>
        <v>#REF!</v>
      </c>
    </row>
    <row r="38" spans="1:19">
      <c r="A38" s="663" t="e">
        <f>#REF!</f>
        <v>#REF!</v>
      </c>
      <c r="B38" s="663" t="e">
        <f>#REF!</f>
        <v>#REF!</v>
      </c>
      <c r="C38" s="21" t="e">
        <f t="shared" si="12"/>
        <v>#REF!</v>
      </c>
      <c r="D38" s="2805" t="e">
        <f>#REF!</f>
        <v>#REF!</v>
      </c>
      <c r="E38" s="21">
        <f t="shared" si="13"/>
        <v>1</v>
      </c>
      <c r="F38" s="2805" t="e">
        <f>#REF!</f>
        <v>#REF!</v>
      </c>
      <c r="G38" s="21">
        <f t="shared" si="14"/>
        <v>1</v>
      </c>
      <c r="H38" s="665"/>
      <c r="I38" s="21">
        <f t="shared" si="15"/>
        <v>1</v>
      </c>
      <c r="J38" s="665"/>
      <c r="K38" s="21">
        <f t="shared" si="16"/>
        <v>1</v>
      </c>
      <c r="L38" s="665"/>
      <c r="M38" s="21">
        <f t="shared" si="17"/>
        <v>1</v>
      </c>
      <c r="N38" s="665"/>
      <c r="O38" s="21">
        <f t="shared" si="18"/>
        <v>1</v>
      </c>
      <c r="P38" s="2805" t="e">
        <f>#REF!</f>
        <v>#REF!</v>
      </c>
      <c r="Q38" s="21">
        <f t="shared" si="19"/>
        <v>1</v>
      </c>
      <c r="R38" s="661" t="e">
        <f t="shared" si="20"/>
        <v>#REF!</v>
      </c>
      <c r="S38" s="315" t="e">
        <f t="shared" si="11"/>
        <v>#REF!</v>
      </c>
    </row>
    <row r="39" spans="1:19">
      <c r="A39" s="663" t="e">
        <f>#REF!</f>
        <v>#REF!</v>
      </c>
      <c r="B39" s="663" t="e">
        <f>#REF!</f>
        <v>#REF!</v>
      </c>
      <c r="C39" s="21" t="e">
        <f t="shared" si="12"/>
        <v>#REF!</v>
      </c>
      <c r="D39" s="2805" t="e">
        <f>#REF!</f>
        <v>#REF!</v>
      </c>
      <c r="E39" s="21">
        <f t="shared" si="13"/>
        <v>1</v>
      </c>
      <c r="F39" s="2805" t="e">
        <f>#REF!</f>
        <v>#REF!</v>
      </c>
      <c r="G39" s="21">
        <f t="shared" si="14"/>
        <v>1</v>
      </c>
      <c r="H39" s="665"/>
      <c r="I39" s="21">
        <f t="shared" si="15"/>
        <v>1</v>
      </c>
      <c r="J39" s="665"/>
      <c r="K39" s="21">
        <f t="shared" si="16"/>
        <v>1</v>
      </c>
      <c r="L39" s="665"/>
      <c r="M39" s="21">
        <f t="shared" si="17"/>
        <v>1</v>
      </c>
      <c r="N39" s="665"/>
      <c r="O39" s="21">
        <f t="shared" si="18"/>
        <v>1</v>
      </c>
      <c r="P39" s="2805" t="e">
        <f>#REF!</f>
        <v>#REF!</v>
      </c>
      <c r="Q39" s="21">
        <f t="shared" si="19"/>
        <v>1</v>
      </c>
      <c r="R39" s="661" t="e">
        <f t="shared" si="20"/>
        <v>#REF!</v>
      </c>
      <c r="S39" s="315" t="e">
        <f t="shared" si="11"/>
        <v>#REF!</v>
      </c>
    </row>
    <row r="40" spans="1:19">
      <c r="A40" s="663" t="e">
        <f>#REF!</f>
        <v>#REF!</v>
      </c>
      <c r="B40" s="663" t="e">
        <f>#REF!</f>
        <v>#REF!</v>
      </c>
      <c r="C40" s="21" t="e">
        <f t="shared" si="12"/>
        <v>#REF!</v>
      </c>
      <c r="D40" s="2805" t="e">
        <f>#REF!</f>
        <v>#REF!</v>
      </c>
      <c r="E40" s="21">
        <f t="shared" si="13"/>
        <v>1</v>
      </c>
      <c r="F40" s="2805" t="e">
        <f>#REF!</f>
        <v>#REF!</v>
      </c>
      <c r="G40" s="21">
        <f t="shared" si="14"/>
        <v>1</v>
      </c>
      <c r="H40" s="665"/>
      <c r="I40" s="21">
        <f t="shared" si="15"/>
        <v>1</v>
      </c>
      <c r="J40" s="665"/>
      <c r="K40" s="21">
        <f t="shared" si="16"/>
        <v>1</v>
      </c>
      <c r="L40" s="665"/>
      <c r="M40" s="21">
        <f t="shared" si="17"/>
        <v>1</v>
      </c>
      <c r="N40" s="665"/>
      <c r="O40" s="21">
        <f t="shared" si="18"/>
        <v>1</v>
      </c>
      <c r="P40" s="2805" t="e">
        <f>#REF!</f>
        <v>#REF!</v>
      </c>
      <c r="Q40" s="21">
        <f t="shared" si="19"/>
        <v>1</v>
      </c>
      <c r="R40" s="661" t="e">
        <f t="shared" si="20"/>
        <v>#REF!</v>
      </c>
      <c r="S40" s="315" t="e">
        <f t="shared" si="11"/>
        <v>#REF!</v>
      </c>
    </row>
    <row r="41" spans="1:19">
      <c r="A41" s="663" t="e">
        <f>#REF!</f>
        <v>#REF!</v>
      </c>
      <c r="B41" s="663" t="e">
        <f>#REF!</f>
        <v>#REF!</v>
      </c>
      <c r="C41" s="21" t="e">
        <f t="shared" si="12"/>
        <v>#REF!</v>
      </c>
      <c r="D41" s="2805" t="e">
        <f>#REF!</f>
        <v>#REF!</v>
      </c>
      <c r="E41" s="21">
        <f t="shared" si="13"/>
        <v>1</v>
      </c>
      <c r="F41" s="2805" t="e">
        <f>#REF!</f>
        <v>#REF!</v>
      </c>
      <c r="G41" s="21">
        <f t="shared" si="14"/>
        <v>1</v>
      </c>
      <c r="H41" s="665"/>
      <c r="I41" s="21">
        <f t="shared" si="15"/>
        <v>1</v>
      </c>
      <c r="J41" s="665"/>
      <c r="K41" s="21">
        <f t="shared" si="16"/>
        <v>1</v>
      </c>
      <c r="L41" s="665"/>
      <c r="M41" s="21">
        <f t="shared" si="17"/>
        <v>1</v>
      </c>
      <c r="N41" s="665"/>
      <c r="O41" s="21">
        <f t="shared" si="18"/>
        <v>1</v>
      </c>
      <c r="P41" s="2805" t="e">
        <f>#REF!</f>
        <v>#REF!</v>
      </c>
      <c r="Q41" s="21">
        <f t="shared" si="19"/>
        <v>1</v>
      </c>
      <c r="R41" s="661" t="e">
        <f t="shared" si="20"/>
        <v>#REF!</v>
      </c>
      <c r="S41" s="315" t="e">
        <f t="shared" si="11"/>
        <v>#REF!</v>
      </c>
    </row>
    <row r="42" spans="1:19">
      <c r="A42" s="663" t="e">
        <f>#REF!</f>
        <v>#REF!</v>
      </c>
      <c r="B42" s="663" t="e">
        <f>#REF!</f>
        <v>#REF!</v>
      </c>
      <c r="C42" s="21" t="e">
        <f t="shared" si="12"/>
        <v>#REF!</v>
      </c>
      <c r="D42" s="2805" t="e">
        <f>#REF!</f>
        <v>#REF!</v>
      </c>
      <c r="E42" s="21">
        <f t="shared" si="13"/>
        <v>1</v>
      </c>
      <c r="F42" s="2805" t="e">
        <f>#REF!</f>
        <v>#REF!</v>
      </c>
      <c r="G42" s="21">
        <f t="shared" si="14"/>
        <v>1</v>
      </c>
      <c r="H42" s="665"/>
      <c r="I42" s="21">
        <f t="shared" si="15"/>
        <v>1</v>
      </c>
      <c r="J42" s="665"/>
      <c r="K42" s="21">
        <f t="shared" si="16"/>
        <v>1</v>
      </c>
      <c r="L42" s="665"/>
      <c r="M42" s="21">
        <f t="shared" si="17"/>
        <v>1</v>
      </c>
      <c r="N42" s="665"/>
      <c r="O42" s="21">
        <f t="shared" si="18"/>
        <v>1</v>
      </c>
      <c r="P42" s="2805" t="e">
        <f>#REF!</f>
        <v>#REF!</v>
      </c>
      <c r="Q42" s="21">
        <f t="shared" si="19"/>
        <v>1</v>
      </c>
      <c r="R42" s="661" t="e">
        <f t="shared" si="20"/>
        <v>#REF!</v>
      </c>
      <c r="S42" s="315" t="e">
        <f t="shared" si="11"/>
        <v>#REF!</v>
      </c>
    </row>
    <row r="43" spans="1:19">
      <c r="A43" s="663" t="e">
        <f>#REF!</f>
        <v>#REF!</v>
      </c>
      <c r="B43" s="663" t="e">
        <f>#REF!</f>
        <v>#REF!</v>
      </c>
      <c r="C43" s="21" t="e">
        <f t="shared" si="12"/>
        <v>#REF!</v>
      </c>
      <c r="D43" s="2805" t="e">
        <f>#REF!</f>
        <v>#REF!</v>
      </c>
      <c r="E43" s="21">
        <f t="shared" si="13"/>
        <v>1</v>
      </c>
      <c r="F43" s="2805" t="e">
        <f>#REF!</f>
        <v>#REF!</v>
      </c>
      <c r="G43" s="21">
        <f t="shared" si="14"/>
        <v>1</v>
      </c>
      <c r="H43" s="665"/>
      <c r="I43" s="21">
        <f t="shared" si="15"/>
        <v>1</v>
      </c>
      <c r="J43" s="665"/>
      <c r="K43" s="21">
        <f t="shared" si="16"/>
        <v>1</v>
      </c>
      <c r="L43" s="665"/>
      <c r="M43" s="21">
        <f t="shared" si="17"/>
        <v>1</v>
      </c>
      <c r="N43" s="665"/>
      <c r="O43" s="21">
        <f t="shared" si="18"/>
        <v>1</v>
      </c>
      <c r="P43" s="2805" t="e">
        <f>#REF!</f>
        <v>#REF!</v>
      </c>
      <c r="Q43" s="21">
        <f t="shared" si="19"/>
        <v>1</v>
      </c>
      <c r="R43" s="661" t="e">
        <f t="shared" si="20"/>
        <v>#REF!</v>
      </c>
      <c r="S43" s="315" t="e">
        <f t="shared" si="11"/>
        <v>#REF!</v>
      </c>
    </row>
    <row r="44" spans="1:19">
      <c r="A44" s="663" t="e">
        <f>#REF!</f>
        <v>#REF!</v>
      </c>
      <c r="B44" s="663" t="e">
        <f>#REF!</f>
        <v>#REF!</v>
      </c>
      <c r="C44" s="21" t="e">
        <f t="shared" si="12"/>
        <v>#REF!</v>
      </c>
      <c r="D44" s="2805" t="e">
        <f>#REF!</f>
        <v>#REF!</v>
      </c>
      <c r="E44" s="21">
        <f t="shared" si="13"/>
        <v>1</v>
      </c>
      <c r="F44" s="2805" t="e">
        <f>#REF!</f>
        <v>#REF!</v>
      </c>
      <c r="G44" s="21">
        <f t="shared" si="14"/>
        <v>1</v>
      </c>
      <c r="H44" s="665"/>
      <c r="I44" s="21">
        <f t="shared" si="15"/>
        <v>1</v>
      </c>
      <c r="J44" s="665"/>
      <c r="K44" s="21">
        <f t="shared" si="16"/>
        <v>1</v>
      </c>
      <c r="L44" s="665"/>
      <c r="M44" s="21">
        <f t="shared" si="17"/>
        <v>1</v>
      </c>
      <c r="N44" s="665"/>
      <c r="O44" s="21">
        <f t="shared" si="18"/>
        <v>1</v>
      </c>
      <c r="P44" s="2805" t="e">
        <f>#REF!</f>
        <v>#REF!</v>
      </c>
      <c r="Q44" s="21">
        <f t="shared" si="19"/>
        <v>1</v>
      </c>
      <c r="R44" s="661" t="e">
        <f t="shared" si="20"/>
        <v>#REF!</v>
      </c>
      <c r="S44" s="315" t="e">
        <f t="shared" si="11"/>
        <v>#REF!</v>
      </c>
    </row>
    <row r="45" spans="1:19">
      <c r="A45" s="663" t="e">
        <f>#REF!</f>
        <v>#REF!</v>
      </c>
      <c r="B45" s="663" t="e">
        <f>#REF!</f>
        <v>#REF!</v>
      </c>
      <c r="C45" s="21" t="e">
        <f t="shared" si="12"/>
        <v>#REF!</v>
      </c>
      <c r="D45" s="2805" t="e">
        <f>#REF!</f>
        <v>#REF!</v>
      </c>
      <c r="E45" s="21">
        <f t="shared" si="13"/>
        <v>1</v>
      </c>
      <c r="F45" s="2805" t="e">
        <f>#REF!</f>
        <v>#REF!</v>
      </c>
      <c r="G45" s="21">
        <f t="shared" si="14"/>
        <v>1</v>
      </c>
      <c r="H45" s="665"/>
      <c r="I45" s="21">
        <f t="shared" si="15"/>
        <v>1</v>
      </c>
      <c r="J45" s="665"/>
      <c r="K45" s="21">
        <f t="shared" si="16"/>
        <v>1</v>
      </c>
      <c r="L45" s="665"/>
      <c r="M45" s="21">
        <f t="shared" si="17"/>
        <v>1</v>
      </c>
      <c r="N45" s="665"/>
      <c r="O45" s="21">
        <f t="shared" si="18"/>
        <v>1</v>
      </c>
      <c r="P45" s="2805" t="e">
        <f>#REF!</f>
        <v>#REF!</v>
      </c>
      <c r="Q45" s="21">
        <f t="shared" si="19"/>
        <v>1</v>
      </c>
      <c r="R45" s="661" t="e">
        <f t="shared" si="20"/>
        <v>#REF!</v>
      </c>
      <c r="S45" s="315" t="e">
        <f t="shared" si="11"/>
        <v>#REF!</v>
      </c>
    </row>
    <row r="46" spans="1:19">
      <c r="A46" s="663" t="e">
        <f>#REF!</f>
        <v>#REF!</v>
      </c>
      <c r="B46" s="663" t="e">
        <f>#REF!</f>
        <v>#REF!</v>
      </c>
      <c r="C46" s="21" t="e">
        <f t="shared" si="12"/>
        <v>#REF!</v>
      </c>
      <c r="D46" s="2805" t="e">
        <f>#REF!</f>
        <v>#REF!</v>
      </c>
      <c r="E46" s="21">
        <f t="shared" si="13"/>
        <v>1</v>
      </c>
      <c r="F46" s="2805" t="e">
        <f>#REF!</f>
        <v>#REF!</v>
      </c>
      <c r="G46" s="21">
        <f t="shared" si="14"/>
        <v>1</v>
      </c>
      <c r="H46" s="665"/>
      <c r="I46" s="21">
        <f t="shared" si="15"/>
        <v>1</v>
      </c>
      <c r="J46" s="665"/>
      <c r="K46" s="21">
        <f t="shared" si="16"/>
        <v>1</v>
      </c>
      <c r="L46" s="665"/>
      <c r="M46" s="21">
        <f t="shared" si="17"/>
        <v>1</v>
      </c>
      <c r="N46" s="665"/>
      <c r="O46" s="21">
        <f t="shared" si="18"/>
        <v>1</v>
      </c>
      <c r="P46" s="2805" t="e">
        <f>#REF!</f>
        <v>#REF!</v>
      </c>
      <c r="Q46" s="21">
        <f t="shared" si="19"/>
        <v>1</v>
      </c>
      <c r="R46" s="661" t="e">
        <f t="shared" si="20"/>
        <v>#REF!</v>
      </c>
      <c r="S46" s="315" t="e">
        <f t="shared" si="11"/>
        <v>#REF!</v>
      </c>
    </row>
    <row r="47" spans="1:19">
      <c r="A47" s="663" t="e">
        <f>#REF!</f>
        <v>#REF!</v>
      </c>
      <c r="B47" s="663" t="e">
        <f>#REF!</f>
        <v>#REF!</v>
      </c>
      <c r="C47" s="21" t="e">
        <f t="shared" si="12"/>
        <v>#REF!</v>
      </c>
      <c r="D47" s="2805" t="e">
        <f>#REF!</f>
        <v>#REF!</v>
      </c>
      <c r="E47" s="21">
        <f t="shared" si="13"/>
        <v>1</v>
      </c>
      <c r="F47" s="2805" t="e">
        <f>#REF!</f>
        <v>#REF!</v>
      </c>
      <c r="G47" s="21">
        <f t="shared" si="14"/>
        <v>1</v>
      </c>
      <c r="H47" s="665"/>
      <c r="I47" s="21">
        <f t="shared" si="15"/>
        <v>1</v>
      </c>
      <c r="J47" s="665"/>
      <c r="K47" s="21">
        <f t="shared" si="16"/>
        <v>1</v>
      </c>
      <c r="L47" s="665"/>
      <c r="M47" s="21">
        <f t="shared" si="17"/>
        <v>1</v>
      </c>
      <c r="N47" s="665"/>
      <c r="O47" s="21">
        <f t="shared" si="18"/>
        <v>1</v>
      </c>
      <c r="P47" s="2805" t="e">
        <f>#REF!</f>
        <v>#REF!</v>
      </c>
      <c r="Q47" s="21">
        <f t="shared" si="19"/>
        <v>1</v>
      </c>
      <c r="R47" s="661" t="e">
        <f t="shared" si="20"/>
        <v>#REF!</v>
      </c>
      <c r="S47" s="315" t="e">
        <f t="shared" si="11"/>
        <v>#REF!</v>
      </c>
    </row>
    <row r="48" spans="1:19">
      <c r="A48" s="663" t="e">
        <f>#REF!</f>
        <v>#REF!</v>
      </c>
      <c r="B48" s="663" t="e">
        <f>#REF!</f>
        <v>#REF!</v>
      </c>
      <c r="C48" s="21" t="e">
        <f t="shared" si="12"/>
        <v>#REF!</v>
      </c>
      <c r="D48" s="2805" t="e">
        <f>#REF!</f>
        <v>#REF!</v>
      </c>
      <c r="E48" s="21">
        <f t="shared" si="13"/>
        <v>1</v>
      </c>
      <c r="F48" s="2805" t="e">
        <f>#REF!</f>
        <v>#REF!</v>
      </c>
      <c r="G48" s="21">
        <f t="shared" si="14"/>
        <v>1</v>
      </c>
      <c r="H48" s="665"/>
      <c r="I48" s="21">
        <f t="shared" si="15"/>
        <v>1</v>
      </c>
      <c r="J48" s="665"/>
      <c r="K48" s="21">
        <f t="shared" si="16"/>
        <v>1</v>
      </c>
      <c r="L48" s="665"/>
      <c r="M48" s="21">
        <f t="shared" si="17"/>
        <v>1</v>
      </c>
      <c r="N48" s="665"/>
      <c r="O48" s="21">
        <f t="shared" si="18"/>
        <v>1</v>
      </c>
      <c r="P48" s="2805" t="e">
        <f>#REF!</f>
        <v>#REF!</v>
      </c>
      <c r="Q48" s="21">
        <f t="shared" si="19"/>
        <v>1</v>
      </c>
      <c r="R48" s="661" t="e">
        <f t="shared" si="20"/>
        <v>#REF!</v>
      </c>
      <c r="S48" s="315" t="e">
        <f t="shared" si="11"/>
        <v>#REF!</v>
      </c>
    </row>
    <row r="49" spans="1:19">
      <c r="A49" s="663" t="e">
        <f>#REF!</f>
        <v>#REF!</v>
      </c>
      <c r="B49" s="663" t="e">
        <f>#REF!</f>
        <v>#REF!</v>
      </c>
      <c r="C49" s="21" t="e">
        <f t="shared" si="12"/>
        <v>#REF!</v>
      </c>
      <c r="D49" s="2805" t="e">
        <f>#REF!</f>
        <v>#REF!</v>
      </c>
      <c r="E49" s="21">
        <f t="shared" si="13"/>
        <v>1</v>
      </c>
      <c r="F49" s="2805" t="e">
        <f>#REF!</f>
        <v>#REF!</v>
      </c>
      <c r="G49" s="21">
        <f t="shared" si="14"/>
        <v>1</v>
      </c>
      <c r="H49" s="665"/>
      <c r="I49" s="21">
        <f t="shared" si="15"/>
        <v>1</v>
      </c>
      <c r="J49" s="665"/>
      <c r="K49" s="21">
        <f t="shared" si="16"/>
        <v>1</v>
      </c>
      <c r="L49" s="665"/>
      <c r="M49" s="21">
        <f t="shared" si="17"/>
        <v>1</v>
      </c>
      <c r="N49" s="665"/>
      <c r="O49" s="21">
        <f t="shared" si="18"/>
        <v>1</v>
      </c>
      <c r="P49" s="2805" t="e">
        <f>#REF!</f>
        <v>#REF!</v>
      </c>
      <c r="Q49" s="21">
        <f t="shared" si="19"/>
        <v>1</v>
      </c>
      <c r="R49" s="661" t="e">
        <f t="shared" si="20"/>
        <v>#REF!</v>
      </c>
      <c r="S49" s="315" t="e">
        <f t="shared" si="11"/>
        <v>#REF!</v>
      </c>
    </row>
    <row r="50" spans="1:19">
      <c r="A50" s="663" t="e">
        <f>#REF!</f>
        <v>#REF!</v>
      </c>
      <c r="B50" s="663" t="e">
        <f>#REF!</f>
        <v>#REF!</v>
      </c>
      <c r="C50" s="21" t="e">
        <f t="shared" si="12"/>
        <v>#REF!</v>
      </c>
      <c r="D50" s="2805" t="e">
        <f>#REF!</f>
        <v>#REF!</v>
      </c>
      <c r="E50" s="21">
        <f t="shared" si="13"/>
        <v>1</v>
      </c>
      <c r="F50" s="2805" t="e">
        <f>#REF!</f>
        <v>#REF!</v>
      </c>
      <c r="G50" s="21">
        <f t="shared" si="14"/>
        <v>1</v>
      </c>
      <c r="H50" s="665"/>
      <c r="I50" s="21">
        <f t="shared" si="15"/>
        <v>1</v>
      </c>
      <c r="J50" s="665"/>
      <c r="K50" s="21">
        <f t="shared" si="16"/>
        <v>1</v>
      </c>
      <c r="L50" s="665"/>
      <c r="M50" s="21">
        <f t="shared" si="17"/>
        <v>1</v>
      </c>
      <c r="N50" s="665"/>
      <c r="O50" s="21">
        <f t="shared" si="18"/>
        <v>1</v>
      </c>
      <c r="P50" s="2805" t="e">
        <f>#REF!</f>
        <v>#REF!</v>
      </c>
      <c r="Q50" s="21">
        <f t="shared" si="19"/>
        <v>1</v>
      </c>
      <c r="R50" s="661" t="e">
        <f t="shared" si="20"/>
        <v>#REF!</v>
      </c>
      <c r="S50" s="315" t="e">
        <f t="shared" si="11"/>
        <v>#REF!</v>
      </c>
    </row>
    <row r="51" spans="1:19">
      <c r="A51" s="663" t="e">
        <f>#REF!</f>
        <v>#REF!</v>
      </c>
      <c r="B51" s="663" t="e">
        <f>#REF!</f>
        <v>#REF!</v>
      </c>
      <c r="C51" s="21" t="e">
        <f t="shared" si="12"/>
        <v>#REF!</v>
      </c>
      <c r="D51" s="2805" t="e">
        <f>#REF!</f>
        <v>#REF!</v>
      </c>
      <c r="E51" s="21">
        <f t="shared" si="13"/>
        <v>1</v>
      </c>
      <c r="F51" s="2805" t="e">
        <f>#REF!</f>
        <v>#REF!</v>
      </c>
      <c r="G51" s="21">
        <f t="shared" si="14"/>
        <v>1</v>
      </c>
      <c r="H51" s="665"/>
      <c r="I51" s="21">
        <f t="shared" si="15"/>
        <v>1</v>
      </c>
      <c r="J51" s="665"/>
      <c r="K51" s="21">
        <f t="shared" si="16"/>
        <v>1</v>
      </c>
      <c r="L51" s="665"/>
      <c r="M51" s="21">
        <f t="shared" si="17"/>
        <v>1</v>
      </c>
      <c r="N51" s="665"/>
      <c r="O51" s="21">
        <f t="shared" si="18"/>
        <v>1</v>
      </c>
      <c r="P51" s="2805" t="e">
        <f>#REF!</f>
        <v>#REF!</v>
      </c>
      <c r="Q51" s="21">
        <f t="shared" si="19"/>
        <v>1</v>
      </c>
      <c r="R51" s="661" t="e">
        <f t="shared" si="20"/>
        <v>#REF!</v>
      </c>
      <c r="S51" s="315" t="e">
        <f t="shared" si="11"/>
        <v>#REF!</v>
      </c>
    </row>
    <row r="52" spans="1:19">
      <c r="A52" s="663" t="e">
        <f>#REF!</f>
        <v>#REF!</v>
      </c>
      <c r="B52" s="663" t="e">
        <f>#REF!</f>
        <v>#REF!</v>
      </c>
      <c r="C52" s="21" t="e">
        <f t="shared" si="12"/>
        <v>#REF!</v>
      </c>
      <c r="D52" s="2805" t="e">
        <f>#REF!</f>
        <v>#REF!</v>
      </c>
      <c r="E52" s="21">
        <f t="shared" si="13"/>
        <v>1</v>
      </c>
      <c r="F52" s="2805" t="e">
        <f>#REF!</f>
        <v>#REF!</v>
      </c>
      <c r="G52" s="21">
        <f t="shared" si="14"/>
        <v>1</v>
      </c>
      <c r="H52" s="665"/>
      <c r="I52" s="21">
        <f t="shared" si="15"/>
        <v>1</v>
      </c>
      <c r="J52" s="665"/>
      <c r="K52" s="21">
        <f t="shared" si="16"/>
        <v>1</v>
      </c>
      <c r="L52" s="665"/>
      <c r="M52" s="21">
        <f t="shared" si="17"/>
        <v>1</v>
      </c>
      <c r="N52" s="665"/>
      <c r="O52" s="21">
        <f t="shared" si="18"/>
        <v>1</v>
      </c>
      <c r="P52" s="2805" t="e">
        <f>#REF!</f>
        <v>#REF!</v>
      </c>
      <c r="Q52" s="21">
        <f t="shared" si="19"/>
        <v>1</v>
      </c>
      <c r="R52" s="661" t="e">
        <f t="shared" si="20"/>
        <v>#REF!</v>
      </c>
      <c r="S52" s="315" t="e">
        <f t="shared" si="11"/>
        <v>#REF!</v>
      </c>
    </row>
    <row r="53" spans="1:19">
      <c r="A53" s="663" t="e">
        <f>#REF!</f>
        <v>#REF!</v>
      </c>
      <c r="B53" s="663" t="e">
        <f>#REF!</f>
        <v>#REF!</v>
      </c>
      <c r="C53" s="21" t="e">
        <f t="shared" si="12"/>
        <v>#REF!</v>
      </c>
      <c r="D53" s="2805" t="e">
        <f>#REF!</f>
        <v>#REF!</v>
      </c>
      <c r="E53" s="21">
        <f t="shared" si="13"/>
        <v>1</v>
      </c>
      <c r="F53" s="2805" t="e">
        <f>#REF!</f>
        <v>#REF!</v>
      </c>
      <c r="G53" s="21">
        <f t="shared" si="14"/>
        <v>1</v>
      </c>
      <c r="H53" s="665"/>
      <c r="I53" s="21">
        <f t="shared" si="15"/>
        <v>1</v>
      </c>
      <c r="J53" s="665"/>
      <c r="K53" s="21">
        <f t="shared" si="16"/>
        <v>1</v>
      </c>
      <c r="L53" s="665"/>
      <c r="M53" s="21">
        <f t="shared" si="17"/>
        <v>1</v>
      </c>
      <c r="N53" s="665"/>
      <c r="O53" s="21">
        <f t="shared" si="18"/>
        <v>1</v>
      </c>
      <c r="P53" s="2805" t="e">
        <f>#REF!</f>
        <v>#REF!</v>
      </c>
      <c r="Q53" s="21">
        <f t="shared" si="19"/>
        <v>1</v>
      </c>
      <c r="R53" s="661" t="e">
        <f t="shared" si="20"/>
        <v>#REF!</v>
      </c>
      <c r="S53" s="315" t="e">
        <f t="shared" si="11"/>
        <v>#REF!</v>
      </c>
    </row>
    <row r="54" spans="1:19">
      <c r="A54" s="663" t="e">
        <f>#REF!</f>
        <v>#REF!</v>
      </c>
      <c r="B54" s="663" t="e">
        <f>#REF!</f>
        <v>#REF!</v>
      </c>
      <c r="C54" s="21" t="e">
        <f t="shared" si="12"/>
        <v>#REF!</v>
      </c>
      <c r="D54" s="2805" t="e">
        <f>#REF!</f>
        <v>#REF!</v>
      </c>
      <c r="E54" s="21">
        <f t="shared" si="13"/>
        <v>1</v>
      </c>
      <c r="F54" s="2805" t="e">
        <f>#REF!</f>
        <v>#REF!</v>
      </c>
      <c r="G54" s="21">
        <f t="shared" si="14"/>
        <v>1</v>
      </c>
      <c r="H54" s="665"/>
      <c r="I54" s="21">
        <f t="shared" si="15"/>
        <v>1</v>
      </c>
      <c r="J54" s="665"/>
      <c r="K54" s="21">
        <f t="shared" si="16"/>
        <v>1</v>
      </c>
      <c r="L54" s="665"/>
      <c r="M54" s="21">
        <f t="shared" si="17"/>
        <v>1</v>
      </c>
      <c r="N54" s="665"/>
      <c r="O54" s="21">
        <f t="shared" si="18"/>
        <v>1</v>
      </c>
      <c r="P54" s="2805" t="e">
        <f>#REF!</f>
        <v>#REF!</v>
      </c>
      <c r="Q54" s="21">
        <f t="shared" si="19"/>
        <v>1</v>
      </c>
      <c r="R54" s="661" t="e">
        <f t="shared" si="20"/>
        <v>#REF!</v>
      </c>
      <c r="S54" s="315" t="e">
        <f t="shared" si="11"/>
        <v>#REF!</v>
      </c>
    </row>
    <row r="55" spans="1:19">
      <c r="A55" s="663" t="e">
        <f>#REF!</f>
        <v>#REF!</v>
      </c>
      <c r="B55" s="663" t="e">
        <f>#REF!</f>
        <v>#REF!</v>
      </c>
      <c r="C55" s="21" t="e">
        <f t="shared" si="12"/>
        <v>#REF!</v>
      </c>
      <c r="D55" s="2805" t="e">
        <f>#REF!</f>
        <v>#REF!</v>
      </c>
      <c r="E55" s="21">
        <f t="shared" si="13"/>
        <v>1</v>
      </c>
      <c r="F55" s="2805" t="e">
        <f>#REF!</f>
        <v>#REF!</v>
      </c>
      <c r="G55" s="21">
        <f t="shared" si="14"/>
        <v>1</v>
      </c>
      <c r="H55" s="665"/>
      <c r="I55" s="21">
        <f t="shared" si="15"/>
        <v>1</v>
      </c>
      <c r="J55" s="665"/>
      <c r="K55" s="21">
        <f t="shared" si="16"/>
        <v>1</v>
      </c>
      <c r="L55" s="665"/>
      <c r="M55" s="21">
        <f t="shared" si="17"/>
        <v>1</v>
      </c>
      <c r="N55" s="665"/>
      <c r="O55" s="21">
        <f t="shared" si="18"/>
        <v>1</v>
      </c>
      <c r="P55" s="2805"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5" t="e">
        <f>#REF!</f>
        <v>#REF!</v>
      </c>
      <c r="E56" s="21">
        <f t="shared" si="13"/>
        <v>1</v>
      </c>
      <c r="F56" s="2805" t="e">
        <f>#REF!</f>
        <v>#REF!</v>
      </c>
      <c r="G56" s="21">
        <f t="shared" si="14"/>
        <v>1</v>
      </c>
      <c r="H56" s="665"/>
      <c r="I56" s="21">
        <f t="shared" si="15"/>
        <v>1</v>
      </c>
      <c r="J56" s="665"/>
      <c r="K56" s="21">
        <f t="shared" si="16"/>
        <v>1</v>
      </c>
      <c r="L56" s="665"/>
      <c r="M56" s="21">
        <f t="shared" si="17"/>
        <v>1</v>
      </c>
      <c r="N56" s="665"/>
      <c r="O56" s="21">
        <f t="shared" si="18"/>
        <v>1</v>
      </c>
      <c r="P56" s="2805" t="e">
        <f>#REF!</f>
        <v>#REF!</v>
      </c>
      <c r="Q56" s="21">
        <f t="shared" si="19"/>
        <v>1</v>
      </c>
      <c r="R56" s="661" t="e">
        <f t="shared" si="20"/>
        <v>#REF!</v>
      </c>
      <c r="S56" s="315" t="e">
        <f t="shared" si="21"/>
        <v>#REF!</v>
      </c>
    </row>
    <row r="57" spans="1:19">
      <c r="A57" s="663" t="e">
        <f>#REF!</f>
        <v>#REF!</v>
      </c>
      <c r="B57" s="663" t="e">
        <f>#REF!</f>
        <v>#REF!</v>
      </c>
      <c r="C57" s="21" t="e">
        <f t="shared" si="12"/>
        <v>#REF!</v>
      </c>
      <c r="D57" s="2805" t="e">
        <f>#REF!</f>
        <v>#REF!</v>
      </c>
      <c r="E57" s="21">
        <f t="shared" si="13"/>
        <v>1</v>
      </c>
      <c r="F57" s="2805" t="e">
        <f>#REF!</f>
        <v>#REF!</v>
      </c>
      <c r="G57" s="21">
        <f t="shared" si="14"/>
        <v>1</v>
      </c>
      <c r="H57" s="665"/>
      <c r="I57" s="21">
        <f t="shared" si="15"/>
        <v>1</v>
      </c>
      <c r="J57" s="665"/>
      <c r="K57" s="21">
        <f t="shared" si="16"/>
        <v>1</v>
      </c>
      <c r="L57" s="665"/>
      <c r="M57" s="21">
        <f t="shared" si="17"/>
        <v>1</v>
      </c>
      <c r="N57" s="665"/>
      <c r="O57" s="21">
        <f t="shared" si="18"/>
        <v>1</v>
      </c>
      <c r="P57" s="2805" t="e">
        <f>#REF!</f>
        <v>#REF!</v>
      </c>
      <c r="Q57" s="21">
        <f t="shared" si="19"/>
        <v>1</v>
      </c>
      <c r="R57" s="661" t="e">
        <f t="shared" si="20"/>
        <v>#REF!</v>
      </c>
      <c r="S57" s="315" t="e">
        <f t="shared" si="21"/>
        <v>#REF!</v>
      </c>
    </row>
    <row r="58" spans="1:19">
      <c r="A58" s="663" t="e">
        <f>#REF!</f>
        <v>#REF!</v>
      </c>
      <c r="B58" s="663" t="e">
        <f>#REF!</f>
        <v>#REF!</v>
      </c>
      <c r="C58" s="21" t="e">
        <f t="shared" si="12"/>
        <v>#REF!</v>
      </c>
      <c r="D58" s="2805" t="e">
        <f>#REF!</f>
        <v>#REF!</v>
      </c>
      <c r="E58" s="21">
        <f t="shared" si="13"/>
        <v>1</v>
      </c>
      <c r="F58" s="2805" t="e">
        <f>#REF!</f>
        <v>#REF!</v>
      </c>
      <c r="G58" s="21">
        <f t="shared" si="14"/>
        <v>1</v>
      </c>
      <c r="H58" s="665"/>
      <c r="I58" s="21">
        <f t="shared" si="15"/>
        <v>1</v>
      </c>
      <c r="J58" s="665"/>
      <c r="K58" s="21">
        <f t="shared" si="16"/>
        <v>1</v>
      </c>
      <c r="L58" s="665"/>
      <c r="M58" s="21">
        <f t="shared" si="17"/>
        <v>1</v>
      </c>
      <c r="N58" s="665"/>
      <c r="O58" s="21">
        <f t="shared" si="18"/>
        <v>1</v>
      </c>
      <c r="P58" s="2805" t="e">
        <f>#REF!</f>
        <v>#REF!</v>
      </c>
      <c r="Q58" s="21">
        <f t="shared" si="19"/>
        <v>1</v>
      </c>
      <c r="R58" s="661" t="e">
        <f t="shared" si="20"/>
        <v>#REF!</v>
      </c>
      <c r="S58" s="315" t="e">
        <f t="shared" si="21"/>
        <v>#REF!</v>
      </c>
    </row>
    <row r="59" spans="1:19">
      <c r="A59" s="663" t="e">
        <f>#REF!</f>
        <v>#REF!</v>
      </c>
      <c r="B59" s="663" t="e">
        <f>#REF!</f>
        <v>#REF!</v>
      </c>
      <c r="C59" s="21" t="e">
        <f t="shared" si="12"/>
        <v>#REF!</v>
      </c>
      <c r="D59" s="2805" t="e">
        <f>#REF!</f>
        <v>#REF!</v>
      </c>
      <c r="E59" s="21">
        <f t="shared" si="13"/>
        <v>1</v>
      </c>
      <c r="F59" s="2805" t="e">
        <f>#REF!</f>
        <v>#REF!</v>
      </c>
      <c r="G59" s="21">
        <f t="shared" si="14"/>
        <v>1</v>
      </c>
      <c r="H59" s="665"/>
      <c r="I59" s="21">
        <f t="shared" si="15"/>
        <v>1</v>
      </c>
      <c r="J59" s="665"/>
      <c r="K59" s="21">
        <f t="shared" si="16"/>
        <v>1</v>
      </c>
      <c r="L59" s="665"/>
      <c r="M59" s="21">
        <f t="shared" si="17"/>
        <v>1</v>
      </c>
      <c r="N59" s="665"/>
      <c r="O59" s="21">
        <f t="shared" si="18"/>
        <v>1</v>
      </c>
      <c r="P59" s="2805" t="e">
        <f>#REF!</f>
        <v>#REF!</v>
      </c>
      <c r="Q59" s="21">
        <f t="shared" si="19"/>
        <v>1</v>
      </c>
      <c r="R59" s="661" t="e">
        <f t="shared" si="20"/>
        <v>#REF!</v>
      </c>
      <c r="S59" s="315" t="e">
        <f t="shared" si="21"/>
        <v>#REF!</v>
      </c>
    </row>
    <row r="60" spans="1:19">
      <c r="A60" s="663" t="e">
        <f>#REF!</f>
        <v>#REF!</v>
      </c>
      <c r="B60" s="663" t="e">
        <f>#REF!</f>
        <v>#REF!</v>
      </c>
      <c r="C60" s="21" t="e">
        <f t="shared" si="12"/>
        <v>#REF!</v>
      </c>
      <c r="D60" s="2805" t="e">
        <f>#REF!</f>
        <v>#REF!</v>
      </c>
      <c r="E60" s="21">
        <f t="shared" si="13"/>
        <v>1</v>
      </c>
      <c r="F60" s="2805" t="e">
        <f>#REF!</f>
        <v>#REF!</v>
      </c>
      <c r="G60" s="21">
        <f t="shared" si="14"/>
        <v>1</v>
      </c>
      <c r="H60" s="665"/>
      <c r="I60" s="21">
        <f t="shared" si="15"/>
        <v>1</v>
      </c>
      <c r="J60" s="665"/>
      <c r="K60" s="21">
        <f t="shared" si="16"/>
        <v>1</v>
      </c>
      <c r="L60" s="665"/>
      <c r="M60" s="21">
        <f t="shared" si="17"/>
        <v>1</v>
      </c>
      <c r="N60" s="665"/>
      <c r="O60" s="21">
        <f t="shared" si="18"/>
        <v>1</v>
      </c>
      <c r="P60" s="2805" t="e">
        <f>#REF!</f>
        <v>#REF!</v>
      </c>
      <c r="Q60" s="21">
        <f t="shared" si="19"/>
        <v>1</v>
      </c>
      <c r="R60" s="661" t="e">
        <f t="shared" si="20"/>
        <v>#REF!</v>
      </c>
      <c r="S60" s="315" t="e">
        <f t="shared" si="21"/>
        <v>#REF!</v>
      </c>
    </row>
    <row r="61" spans="1:19">
      <c r="A61" s="663" t="e">
        <f>#REF!</f>
        <v>#REF!</v>
      </c>
      <c r="B61" s="663" t="e">
        <f>#REF!</f>
        <v>#REF!</v>
      </c>
      <c r="C61" s="21" t="e">
        <f t="shared" si="12"/>
        <v>#REF!</v>
      </c>
      <c r="D61" s="2805" t="e">
        <f>#REF!</f>
        <v>#REF!</v>
      </c>
      <c r="E61" s="21">
        <f t="shared" si="13"/>
        <v>1</v>
      </c>
      <c r="F61" s="2805" t="e">
        <f>#REF!</f>
        <v>#REF!</v>
      </c>
      <c r="G61" s="21">
        <f t="shared" si="14"/>
        <v>1</v>
      </c>
      <c r="H61" s="665"/>
      <c r="I61" s="21">
        <f t="shared" si="15"/>
        <v>1</v>
      </c>
      <c r="J61" s="665"/>
      <c r="K61" s="21">
        <f t="shared" si="16"/>
        <v>1</v>
      </c>
      <c r="L61" s="665"/>
      <c r="M61" s="21">
        <f t="shared" si="17"/>
        <v>1</v>
      </c>
      <c r="N61" s="665"/>
      <c r="O61" s="21">
        <f t="shared" si="18"/>
        <v>1</v>
      </c>
      <c r="P61" s="2805" t="e">
        <f>#REF!</f>
        <v>#REF!</v>
      </c>
      <c r="Q61" s="21">
        <f t="shared" si="19"/>
        <v>1</v>
      </c>
      <c r="R61" s="661" t="e">
        <f t="shared" si="20"/>
        <v>#REF!</v>
      </c>
      <c r="S61" s="315" t="e">
        <f t="shared" si="21"/>
        <v>#REF!</v>
      </c>
    </row>
    <row r="62" spans="1:19">
      <c r="A62" s="663" t="e">
        <f>#REF!</f>
        <v>#REF!</v>
      </c>
      <c r="B62" s="663" t="e">
        <f>#REF!</f>
        <v>#REF!</v>
      </c>
      <c r="C62" s="21" t="e">
        <f t="shared" si="12"/>
        <v>#REF!</v>
      </c>
      <c r="D62" s="2805" t="e">
        <f>#REF!</f>
        <v>#REF!</v>
      </c>
      <c r="E62" s="21">
        <f t="shared" si="13"/>
        <v>1</v>
      </c>
      <c r="F62" s="2805" t="e">
        <f>#REF!</f>
        <v>#REF!</v>
      </c>
      <c r="G62" s="21">
        <f t="shared" si="14"/>
        <v>1</v>
      </c>
      <c r="H62" s="665"/>
      <c r="I62" s="21">
        <f t="shared" si="15"/>
        <v>1</v>
      </c>
      <c r="J62" s="665"/>
      <c r="K62" s="21">
        <f t="shared" si="16"/>
        <v>1</v>
      </c>
      <c r="L62" s="665"/>
      <c r="M62" s="21">
        <f t="shared" si="17"/>
        <v>1</v>
      </c>
      <c r="N62" s="665"/>
      <c r="O62" s="21">
        <f t="shared" si="18"/>
        <v>1</v>
      </c>
      <c r="P62" s="2805" t="e">
        <f>#REF!</f>
        <v>#REF!</v>
      </c>
      <c r="Q62" s="21">
        <f t="shared" si="19"/>
        <v>1</v>
      </c>
      <c r="R62" s="661" t="e">
        <f t="shared" si="20"/>
        <v>#REF!</v>
      </c>
      <c r="S62" s="315" t="e">
        <f t="shared" si="21"/>
        <v>#REF!</v>
      </c>
    </row>
    <row r="63" spans="1:19">
      <c r="A63" s="663" t="e">
        <f>#REF!</f>
        <v>#REF!</v>
      </c>
      <c r="B63" s="663" t="e">
        <f>#REF!</f>
        <v>#REF!</v>
      </c>
      <c r="C63" s="21" t="e">
        <f t="shared" si="12"/>
        <v>#REF!</v>
      </c>
      <c r="D63" s="2805" t="e">
        <f>#REF!</f>
        <v>#REF!</v>
      </c>
      <c r="E63" s="21">
        <f t="shared" si="13"/>
        <v>1</v>
      </c>
      <c r="F63" s="2805" t="e">
        <f>#REF!</f>
        <v>#REF!</v>
      </c>
      <c r="G63" s="21">
        <f t="shared" si="14"/>
        <v>1</v>
      </c>
      <c r="H63" s="665"/>
      <c r="I63" s="21">
        <f t="shared" si="15"/>
        <v>1</v>
      </c>
      <c r="J63" s="665"/>
      <c r="K63" s="21">
        <f t="shared" si="16"/>
        <v>1</v>
      </c>
      <c r="L63" s="665"/>
      <c r="M63" s="21">
        <f t="shared" si="17"/>
        <v>1</v>
      </c>
      <c r="N63" s="665"/>
      <c r="O63" s="21">
        <f t="shared" si="18"/>
        <v>1</v>
      </c>
      <c r="P63" s="2805" t="e">
        <f>#REF!</f>
        <v>#REF!</v>
      </c>
      <c r="Q63" s="21">
        <f t="shared" si="19"/>
        <v>1</v>
      </c>
      <c r="R63" s="661" t="e">
        <f t="shared" si="20"/>
        <v>#REF!</v>
      </c>
      <c r="S63" s="315" t="e">
        <f t="shared" si="21"/>
        <v>#REF!</v>
      </c>
    </row>
    <row r="64" spans="1:19">
      <c r="A64" s="663" t="e">
        <f>#REF!</f>
        <v>#REF!</v>
      </c>
      <c r="B64" s="663" t="e">
        <f>#REF!</f>
        <v>#REF!</v>
      </c>
      <c r="C64" s="21" t="e">
        <f t="shared" si="12"/>
        <v>#REF!</v>
      </c>
      <c r="D64" s="2805" t="e">
        <f>#REF!</f>
        <v>#REF!</v>
      </c>
      <c r="E64" s="21">
        <f t="shared" si="13"/>
        <v>1</v>
      </c>
      <c r="F64" s="2805" t="e">
        <f>#REF!</f>
        <v>#REF!</v>
      </c>
      <c r="G64" s="21">
        <f t="shared" si="14"/>
        <v>1</v>
      </c>
      <c r="H64" s="665"/>
      <c r="I64" s="21">
        <f t="shared" si="15"/>
        <v>1</v>
      </c>
      <c r="J64" s="665"/>
      <c r="K64" s="21">
        <f t="shared" si="16"/>
        <v>1</v>
      </c>
      <c r="L64" s="665"/>
      <c r="M64" s="21">
        <f t="shared" si="17"/>
        <v>1</v>
      </c>
      <c r="N64" s="665"/>
      <c r="O64" s="21">
        <f t="shared" si="18"/>
        <v>1</v>
      </c>
      <c r="P64" s="2805" t="e">
        <f>#REF!</f>
        <v>#REF!</v>
      </c>
      <c r="Q64" s="21">
        <f t="shared" si="19"/>
        <v>1</v>
      </c>
      <c r="R64" s="661" t="e">
        <f t="shared" si="20"/>
        <v>#REF!</v>
      </c>
      <c r="S64" s="315" t="e">
        <f t="shared" si="21"/>
        <v>#REF!</v>
      </c>
    </row>
    <row r="65" spans="1:19">
      <c r="A65" s="663" t="e">
        <f>#REF!</f>
        <v>#REF!</v>
      </c>
      <c r="B65" s="663" t="e">
        <f>#REF!</f>
        <v>#REF!</v>
      </c>
      <c r="C65" s="21" t="e">
        <f t="shared" si="12"/>
        <v>#REF!</v>
      </c>
      <c r="D65" s="2805" t="e">
        <f>#REF!</f>
        <v>#REF!</v>
      </c>
      <c r="E65" s="21">
        <f t="shared" si="13"/>
        <v>1</v>
      </c>
      <c r="F65" s="2805" t="e">
        <f>#REF!</f>
        <v>#REF!</v>
      </c>
      <c r="G65" s="21">
        <f t="shared" si="14"/>
        <v>1</v>
      </c>
      <c r="H65" s="665"/>
      <c r="I65" s="21">
        <f t="shared" si="15"/>
        <v>1</v>
      </c>
      <c r="J65" s="665"/>
      <c r="K65" s="21">
        <f t="shared" si="16"/>
        <v>1</v>
      </c>
      <c r="L65" s="665"/>
      <c r="M65" s="21">
        <f t="shared" si="17"/>
        <v>1</v>
      </c>
      <c r="N65" s="665"/>
      <c r="O65" s="21">
        <f t="shared" si="18"/>
        <v>1</v>
      </c>
      <c r="P65" s="2805" t="e">
        <f>#REF!</f>
        <v>#REF!</v>
      </c>
      <c r="Q65" s="21">
        <f t="shared" si="19"/>
        <v>1</v>
      </c>
      <c r="R65" s="661" t="e">
        <f t="shared" si="20"/>
        <v>#REF!</v>
      </c>
      <c r="S65" s="315" t="e">
        <f t="shared" si="21"/>
        <v>#REF!</v>
      </c>
    </row>
    <row r="66" spans="1:19">
      <c r="A66" s="663" t="e">
        <f>#REF!</f>
        <v>#REF!</v>
      </c>
      <c r="B66" s="663" t="e">
        <f>#REF!</f>
        <v>#REF!</v>
      </c>
      <c r="C66" s="21" t="e">
        <f t="shared" si="12"/>
        <v>#REF!</v>
      </c>
      <c r="D66" s="2805" t="e">
        <f>#REF!</f>
        <v>#REF!</v>
      </c>
      <c r="E66" s="21">
        <f t="shared" si="13"/>
        <v>1</v>
      </c>
      <c r="F66" s="2805" t="e">
        <f>#REF!</f>
        <v>#REF!</v>
      </c>
      <c r="G66" s="21">
        <f t="shared" si="14"/>
        <v>1</v>
      </c>
      <c r="H66" s="665"/>
      <c r="I66" s="21">
        <f t="shared" si="15"/>
        <v>1</v>
      </c>
      <c r="J66" s="665"/>
      <c r="K66" s="21">
        <f t="shared" si="16"/>
        <v>1</v>
      </c>
      <c r="L66" s="665"/>
      <c r="M66" s="21">
        <f t="shared" si="17"/>
        <v>1</v>
      </c>
      <c r="N66" s="665"/>
      <c r="O66" s="21">
        <f t="shared" si="18"/>
        <v>1</v>
      </c>
      <c r="P66" s="2805" t="e">
        <f>#REF!</f>
        <v>#REF!</v>
      </c>
      <c r="Q66" s="21">
        <f t="shared" si="19"/>
        <v>1</v>
      </c>
      <c r="R66" s="661" t="e">
        <f t="shared" si="20"/>
        <v>#REF!</v>
      </c>
      <c r="S66" s="315" t="e">
        <f t="shared" si="21"/>
        <v>#REF!</v>
      </c>
    </row>
    <row r="67" spans="1:19">
      <c r="A67" s="663" t="e">
        <f>#REF!</f>
        <v>#REF!</v>
      </c>
      <c r="B67" s="663" t="e">
        <f>#REF!</f>
        <v>#REF!</v>
      </c>
      <c r="C67" s="21" t="e">
        <f t="shared" si="12"/>
        <v>#REF!</v>
      </c>
      <c r="D67" s="2805" t="e">
        <f>#REF!</f>
        <v>#REF!</v>
      </c>
      <c r="E67" s="21">
        <f t="shared" si="13"/>
        <v>1</v>
      </c>
      <c r="F67" s="2805" t="e">
        <f>#REF!</f>
        <v>#REF!</v>
      </c>
      <c r="G67" s="21">
        <f t="shared" si="14"/>
        <v>1</v>
      </c>
      <c r="H67" s="665"/>
      <c r="I67" s="21">
        <f t="shared" si="15"/>
        <v>1</v>
      </c>
      <c r="J67" s="665"/>
      <c r="K67" s="21">
        <f t="shared" si="16"/>
        <v>1</v>
      </c>
      <c r="L67" s="665"/>
      <c r="M67" s="21">
        <f t="shared" si="17"/>
        <v>1</v>
      </c>
      <c r="N67" s="665"/>
      <c r="O67" s="21">
        <f t="shared" si="18"/>
        <v>1</v>
      </c>
      <c r="P67" s="2805" t="e">
        <f>#REF!</f>
        <v>#REF!</v>
      </c>
      <c r="Q67" s="21">
        <f t="shared" si="19"/>
        <v>1</v>
      </c>
      <c r="R67" s="661" t="e">
        <f t="shared" si="20"/>
        <v>#REF!</v>
      </c>
      <c r="S67" s="315" t="e">
        <f t="shared" si="21"/>
        <v>#REF!</v>
      </c>
    </row>
    <row r="68" spans="1:19">
      <c r="A68" s="663" t="e">
        <f>#REF!</f>
        <v>#REF!</v>
      </c>
      <c r="B68" s="663" t="e">
        <f>#REF!</f>
        <v>#REF!</v>
      </c>
      <c r="C68" s="21" t="e">
        <f t="shared" si="12"/>
        <v>#REF!</v>
      </c>
      <c r="D68" s="2805" t="e">
        <f>#REF!</f>
        <v>#REF!</v>
      </c>
      <c r="E68" s="21">
        <f t="shared" si="13"/>
        <v>1</v>
      </c>
      <c r="F68" s="2805" t="e">
        <f>#REF!</f>
        <v>#REF!</v>
      </c>
      <c r="G68" s="21">
        <f t="shared" si="14"/>
        <v>1</v>
      </c>
      <c r="H68" s="665"/>
      <c r="I68" s="21">
        <f t="shared" si="15"/>
        <v>1</v>
      </c>
      <c r="J68" s="665"/>
      <c r="K68" s="21">
        <f t="shared" si="16"/>
        <v>1</v>
      </c>
      <c r="L68" s="665"/>
      <c r="M68" s="21">
        <f t="shared" si="17"/>
        <v>1</v>
      </c>
      <c r="N68" s="665"/>
      <c r="O68" s="21">
        <f t="shared" si="18"/>
        <v>1</v>
      </c>
      <c r="P68" s="2805" t="e">
        <f>#REF!</f>
        <v>#REF!</v>
      </c>
      <c r="Q68" s="21">
        <f t="shared" si="19"/>
        <v>1</v>
      </c>
      <c r="R68" s="661" t="e">
        <f t="shared" si="20"/>
        <v>#REF!</v>
      </c>
      <c r="S68" s="315" t="e">
        <f t="shared" si="21"/>
        <v>#REF!</v>
      </c>
    </row>
    <row r="69" spans="1:19">
      <c r="A69" s="663" t="e">
        <f>#REF!</f>
        <v>#REF!</v>
      </c>
      <c r="B69" s="663" t="e">
        <f>#REF!</f>
        <v>#REF!</v>
      </c>
      <c r="C69" s="21" t="e">
        <f t="shared" si="12"/>
        <v>#REF!</v>
      </c>
      <c r="D69" s="2805" t="e">
        <f>#REF!</f>
        <v>#REF!</v>
      </c>
      <c r="E69" s="21">
        <f t="shared" si="13"/>
        <v>1</v>
      </c>
      <c r="F69" s="2805" t="e">
        <f>#REF!</f>
        <v>#REF!</v>
      </c>
      <c r="G69" s="21">
        <f t="shared" si="14"/>
        <v>1</v>
      </c>
      <c r="H69" s="665"/>
      <c r="I69" s="21">
        <f t="shared" si="15"/>
        <v>1</v>
      </c>
      <c r="J69" s="665"/>
      <c r="K69" s="21">
        <f t="shared" si="16"/>
        <v>1</v>
      </c>
      <c r="L69" s="665"/>
      <c r="M69" s="21">
        <f t="shared" si="17"/>
        <v>1</v>
      </c>
      <c r="N69" s="665"/>
      <c r="O69" s="21">
        <f t="shared" si="18"/>
        <v>1</v>
      </c>
      <c r="P69" s="2805" t="e">
        <f>#REF!</f>
        <v>#REF!</v>
      </c>
      <c r="Q69" s="21">
        <f t="shared" si="19"/>
        <v>1</v>
      </c>
      <c r="R69" s="661" t="e">
        <f t="shared" si="20"/>
        <v>#REF!</v>
      </c>
      <c r="S69" s="315" t="e">
        <f t="shared" si="21"/>
        <v>#REF!</v>
      </c>
    </row>
    <row r="70" spans="1:19">
      <c r="A70" s="663" t="e">
        <f>#REF!</f>
        <v>#REF!</v>
      </c>
      <c r="B70" s="663" t="e">
        <f>#REF!</f>
        <v>#REF!</v>
      </c>
      <c r="C70" s="21" t="e">
        <f t="shared" si="12"/>
        <v>#REF!</v>
      </c>
      <c r="D70" s="2805" t="e">
        <f>#REF!</f>
        <v>#REF!</v>
      </c>
      <c r="E70" s="21">
        <f t="shared" si="13"/>
        <v>1</v>
      </c>
      <c r="F70" s="2805" t="e">
        <f>#REF!</f>
        <v>#REF!</v>
      </c>
      <c r="G70" s="21">
        <f t="shared" si="14"/>
        <v>1</v>
      </c>
      <c r="H70" s="665"/>
      <c r="I70" s="21">
        <f t="shared" si="15"/>
        <v>1</v>
      </c>
      <c r="J70" s="665"/>
      <c r="K70" s="21">
        <f t="shared" si="16"/>
        <v>1</v>
      </c>
      <c r="L70" s="665"/>
      <c r="M70" s="21">
        <f t="shared" si="17"/>
        <v>1</v>
      </c>
      <c r="N70" s="665"/>
      <c r="O70" s="21">
        <f t="shared" si="18"/>
        <v>1</v>
      </c>
      <c r="P70" s="2805" t="e">
        <f>#REF!</f>
        <v>#REF!</v>
      </c>
      <c r="Q70" s="21">
        <f t="shared" si="19"/>
        <v>1</v>
      </c>
      <c r="R70" s="661" t="e">
        <f t="shared" si="20"/>
        <v>#REF!</v>
      </c>
      <c r="S70" s="315" t="e">
        <f t="shared" si="21"/>
        <v>#REF!</v>
      </c>
    </row>
    <row r="71" spans="1:19">
      <c r="A71" s="663" t="e">
        <f>#REF!</f>
        <v>#REF!</v>
      </c>
      <c r="B71" s="663" t="e">
        <f>#REF!</f>
        <v>#REF!</v>
      </c>
      <c r="C71" s="21" t="e">
        <f t="shared" si="12"/>
        <v>#REF!</v>
      </c>
      <c r="D71" s="2805" t="e">
        <f>#REF!</f>
        <v>#REF!</v>
      </c>
      <c r="E71" s="21">
        <f t="shared" si="13"/>
        <v>1</v>
      </c>
      <c r="F71" s="2805" t="e">
        <f>#REF!</f>
        <v>#REF!</v>
      </c>
      <c r="G71" s="21">
        <f t="shared" si="14"/>
        <v>1</v>
      </c>
      <c r="H71" s="665"/>
      <c r="I71" s="21">
        <f t="shared" si="15"/>
        <v>1</v>
      </c>
      <c r="J71" s="665"/>
      <c r="K71" s="21">
        <f t="shared" si="16"/>
        <v>1</v>
      </c>
      <c r="L71" s="665"/>
      <c r="M71" s="21">
        <f t="shared" si="17"/>
        <v>1</v>
      </c>
      <c r="N71" s="665"/>
      <c r="O71" s="21">
        <f t="shared" si="18"/>
        <v>1</v>
      </c>
      <c r="P71" s="2805" t="e">
        <f>#REF!</f>
        <v>#REF!</v>
      </c>
      <c r="Q71" s="21">
        <f t="shared" si="19"/>
        <v>1</v>
      </c>
      <c r="R71" s="661" t="e">
        <f t="shared" si="20"/>
        <v>#REF!</v>
      </c>
      <c r="S71" s="315" t="e">
        <f t="shared" si="21"/>
        <v>#REF!</v>
      </c>
    </row>
    <row r="72" spans="1:19">
      <c r="A72" s="663" t="e">
        <f>#REF!</f>
        <v>#REF!</v>
      </c>
      <c r="B72" s="663" t="e">
        <f>#REF!</f>
        <v>#REF!</v>
      </c>
      <c r="C72" s="21" t="e">
        <f t="shared" si="12"/>
        <v>#REF!</v>
      </c>
      <c r="D72" s="2805" t="e">
        <f>#REF!</f>
        <v>#REF!</v>
      </c>
      <c r="E72" s="21">
        <f t="shared" si="13"/>
        <v>1</v>
      </c>
      <c r="F72" s="2805" t="e">
        <f>#REF!</f>
        <v>#REF!</v>
      </c>
      <c r="G72" s="21">
        <f t="shared" si="14"/>
        <v>1</v>
      </c>
      <c r="H72" s="665"/>
      <c r="I72" s="21">
        <f t="shared" si="15"/>
        <v>1</v>
      </c>
      <c r="J72" s="665"/>
      <c r="K72" s="21">
        <f t="shared" si="16"/>
        <v>1</v>
      </c>
      <c r="L72" s="665"/>
      <c r="M72" s="21">
        <f t="shared" si="17"/>
        <v>1</v>
      </c>
      <c r="N72" s="665"/>
      <c r="O72" s="21">
        <f t="shared" si="18"/>
        <v>1</v>
      </c>
      <c r="P72" s="2805" t="e">
        <f>#REF!</f>
        <v>#REF!</v>
      </c>
      <c r="Q72" s="21">
        <f t="shared" si="19"/>
        <v>1</v>
      </c>
      <c r="R72" s="661" t="e">
        <f t="shared" si="20"/>
        <v>#REF!</v>
      </c>
      <c r="S72" s="315" t="e">
        <f t="shared" si="21"/>
        <v>#REF!</v>
      </c>
    </row>
    <row r="73" spans="1:19">
      <c r="A73" s="663" t="e">
        <f>#REF!</f>
        <v>#REF!</v>
      </c>
      <c r="B73" s="663" t="e">
        <f>#REF!</f>
        <v>#REF!</v>
      </c>
      <c r="C73" s="21" t="e">
        <f t="shared" si="12"/>
        <v>#REF!</v>
      </c>
      <c r="D73" s="2805" t="e">
        <f>#REF!</f>
        <v>#REF!</v>
      </c>
      <c r="E73" s="21">
        <f t="shared" si="13"/>
        <v>1</v>
      </c>
      <c r="F73" s="2805" t="e">
        <f>#REF!</f>
        <v>#REF!</v>
      </c>
      <c r="G73" s="21">
        <f t="shared" si="14"/>
        <v>1</v>
      </c>
      <c r="H73" s="665"/>
      <c r="I73" s="21">
        <f t="shared" si="15"/>
        <v>1</v>
      </c>
      <c r="J73" s="665"/>
      <c r="K73" s="21">
        <f t="shared" si="16"/>
        <v>1</v>
      </c>
      <c r="L73" s="665"/>
      <c r="M73" s="21">
        <f t="shared" si="17"/>
        <v>1</v>
      </c>
      <c r="N73" s="665"/>
      <c r="O73" s="21">
        <f t="shared" si="18"/>
        <v>1</v>
      </c>
      <c r="P73" s="2805" t="e">
        <f>#REF!</f>
        <v>#REF!</v>
      </c>
      <c r="Q73" s="21">
        <f t="shared" si="19"/>
        <v>1</v>
      </c>
      <c r="R73" s="661" t="e">
        <f t="shared" si="20"/>
        <v>#REF!</v>
      </c>
      <c r="S73" s="315" t="e">
        <f t="shared" si="21"/>
        <v>#REF!</v>
      </c>
    </row>
    <row r="74" spans="1:19">
      <c r="A74" s="663" t="e">
        <f>#REF!</f>
        <v>#REF!</v>
      </c>
      <c r="B74" s="663" t="e">
        <f>#REF!</f>
        <v>#REF!</v>
      </c>
      <c r="C74" s="21" t="e">
        <f t="shared" si="12"/>
        <v>#REF!</v>
      </c>
      <c r="D74" s="2805" t="e">
        <f>#REF!</f>
        <v>#REF!</v>
      </c>
      <c r="E74" s="21">
        <f t="shared" si="13"/>
        <v>1</v>
      </c>
      <c r="F74" s="2805" t="e">
        <f>#REF!</f>
        <v>#REF!</v>
      </c>
      <c r="G74" s="21">
        <f t="shared" si="14"/>
        <v>1</v>
      </c>
      <c r="H74" s="665"/>
      <c r="I74" s="21">
        <f t="shared" si="15"/>
        <v>1</v>
      </c>
      <c r="J74" s="665"/>
      <c r="K74" s="21">
        <f t="shared" si="16"/>
        <v>1</v>
      </c>
      <c r="L74" s="665"/>
      <c r="M74" s="21">
        <f t="shared" si="17"/>
        <v>1</v>
      </c>
      <c r="N74" s="665"/>
      <c r="O74" s="21">
        <f t="shared" si="18"/>
        <v>1</v>
      </c>
      <c r="P74" s="2805" t="e">
        <f>#REF!</f>
        <v>#REF!</v>
      </c>
      <c r="Q74" s="21">
        <f t="shared" si="19"/>
        <v>1</v>
      </c>
      <c r="R74" s="661" t="e">
        <f t="shared" si="20"/>
        <v>#REF!</v>
      </c>
      <c r="S74" s="315" t="e">
        <f t="shared" si="21"/>
        <v>#REF!</v>
      </c>
    </row>
    <row r="75" spans="1:19">
      <c r="A75" s="663" t="e">
        <f>#REF!</f>
        <v>#REF!</v>
      </c>
      <c r="B75" s="663" t="e">
        <f>#REF!</f>
        <v>#REF!</v>
      </c>
      <c r="C75" s="21" t="e">
        <f t="shared" si="12"/>
        <v>#REF!</v>
      </c>
      <c r="D75" s="2805" t="e">
        <f>#REF!</f>
        <v>#REF!</v>
      </c>
      <c r="E75" s="21">
        <f t="shared" si="13"/>
        <v>1</v>
      </c>
      <c r="F75" s="2805" t="e">
        <f>#REF!</f>
        <v>#REF!</v>
      </c>
      <c r="G75" s="21">
        <f t="shared" si="14"/>
        <v>1</v>
      </c>
      <c r="H75" s="665"/>
      <c r="I75" s="21">
        <f t="shared" si="15"/>
        <v>1</v>
      </c>
      <c r="J75" s="665"/>
      <c r="K75" s="21">
        <f t="shared" si="16"/>
        <v>1</v>
      </c>
      <c r="L75" s="665"/>
      <c r="M75" s="21">
        <f t="shared" si="17"/>
        <v>1</v>
      </c>
      <c r="N75" s="665"/>
      <c r="O75" s="21">
        <f t="shared" si="18"/>
        <v>1</v>
      </c>
      <c r="P75" s="2805" t="e">
        <f>#REF!</f>
        <v>#REF!</v>
      </c>
      <c r="Q75" s="21">
        <f t="shared" si="19"/>
        <v>1</v>
      </c>
      <c r="R75" s="661" t="e">
        <f t="shared" si="20"/>
        <v>#REF!</v>
      </c>
      <c r="S75" s="315" t="e">
        <f t="shared" si="21"/>
        <v>#REF!</v>
      </c>
    </row>
    <row r="76" spans="1:19">
      <c r="A76" s="663"/>
      <c r="B76" s="663"/>
      <c r="C76" s="21"/>
      <c r="D76" s="2805"/>
      <c r="E76" s="21">
        <f t="shared" si="13"/>
        <v>1</v>
      </c>
      <c r="F76" s="2805" t="e">
        <f>#REF!</f>
        <v>#REF!</v>
      </c>
      <c r="G76" s="21">
        <f t="shared" si="14"/>
        <v>1</v>
      </c>
      <c r="H76" s="665"/>
      <c r="I76" s="21">
        <f t="shared" si="15"/>
        <v>1</v>
      </c>
      <c r="J76" s="665"/>
      <c r="K76" s="21">
        <f t="shared" si="16"/>
        <v>1</v>
      </c>
      <c r="L76" s="665"/>
      <c r="M76" s="21">
        <f t="shared" si="17"/>
        <v>1</v>
      </c>
      <c r="N76" s="665"/>
      <c r="O76" s="21">
        <f t="shared" si="18"/>
        <v>1</v>
      </c>
      <c r="P76" s="2805" t="e">
        <f>#REF!</f>
        <v>#REF!</v>
      </c>
      <c r="Q76" s="21">
        <f t="shared" si="19"/>
        <v>1</v>
      </c>
      <c r="R76" s="661">
        <f t="shared" si="20"/>
        <v>0</v>
      </c>
      <c r="S76" s="315">
        <f t="shared" si="21"/>
        <v>0</v>
      </c>
    </row>
    <row r="77" spans="1:19">
      <c r="A77" s="663"/>
      <c r="B77" s="663"/>
      <c r="C77" s="21"/>
      <c r="D77" s="2805"/>
      <c r="E77" s="21">
        <f t="shared" si="13"/>
        <v>1</v>
      </c>
      <c r="F77" s="2805" t="e">
        <f>#REF!</f>
        <v>#REF!</v>
      </c>
      <c r="G77" s="21">
        <f t="shared" si="14"/>
        <v>1</v>
      </c>
      <c r="H77" s="665"/>
      <c r="I77" s="21">
        <f t="shared" si="15"/>
        <v>1</v>
      </c>
      <c r="J77" s="665"/>
      <c r="K77" s="21">
        <f t="shared" si="16"/>
        <v>1</v>
      </c>
      <c r="L77" s="665"/>
      <c r="M77" s="21">
        <f t="shared" si="17"/>
        <v>1</v>
      </c>
      <c r="N77" s="665"/>
      <c r="O77" s="21">
        <f t="shared" si="18"/>
        <v>1</v>
      </c>
      <c r="P77" s="2805" t="e">
        <f>#REF!</f>
        <v>#REF!</v>
      </c>
      <c r="Q77" s="21">
        <f t="shared" si="19"/>
        <v>1</v>
      </c>
      <c r="R77" s="661">
        <f t="shared" si="20"/>
        <v>0</v>
      </c>
      <c r="S77" s="315">
        <f t="shared" si="21"/>
        <v>0</v>
      </c>
    </row>
    <row r="78" spans="1:19">
      <c r="A78" s="663"/>
      <c r="B78" s="663"/>
      <c r="C78" s="21"/>
      <c r="D78" s="2805"/>
      <c r="E78" s="21">
        <f t="shared" si="13"/>
        <v>1</v>
      </c>
      <c r="F78" s="2805" t="e">
        <f>#REF!</f>
        <v>#REF!</v>
      </c>
      <c r="G78" s="21">
        <f t="shared" si="14"/>
        <v>1</v>
      </c>
      <c r="H78" s="665"/>
      <c r="I78" s="21">
        <f t="shared" si="15"/>
        <v>1</v>
      </c>
      <c r="J78" s="665"/>
      <c r="K78" s="21">
        <f t="shared" si="16"/>
        <v>1</v>
      </c>
      <c r="L78" s="665"/>
      <c r="M78" s="21">
        <f t="shared" si="17"/>
        <v>1</v>
      </c>
      <c r="N78" s="665"/>
      <c r="O78" s="21">
        <f t="shared" si="18"/>
        <v>1</v>
      </c>
      <c r="P78" s="2805" t="e">
        <f>#REF!</f>
        <v>#REF!</v>
      </c>
      <c r="Q78" s="21">
        <f t="shared" si="19"/>
        <v>1</v>
      </c>
      <c r="R78" s="661">
        <f t="shared" si="20"/>
        <v>0</v>
      </c>
      <c r="S78" s="315">
        <f t="shared" ref="S78:S122" si="22">ROUND(R78*B78/10000,0)</f>
        <v>0</v>
      </c>
    </row>
    <row r="79" spans="1:19">
      <c r="A79" s="663"/>
      <c r="B79" s="663"/>
      <c r="C79" s="21"/>
      <c r="D79" s="2805"/>
      <c r="E79" s="21">
        <f t="shared" si="13"/>
        <v>1</v>
      </c>
      <c r="F79" s="2805" t="e">
        <f>#REF!</f>
        <v>#REF!</v>
      </c>
      <c r="G79" s="21">
        <f t="shared" si="14"/>
        <v>1</v>
      </c>
      <c r="H79" s="665"/>
      <c r="I79" s="21">
        <f t="shared" si="15"/>
        <v>1</v>
      </c>
      <c r="J79" s="665"/>
      <c r="K79" s="21">
        <f t="shared" si="16"/>
        <v>1</v>
      </c>
      <c r="L79" s="665"/>
      <c r="M79" s="21">
        <f t="shared" si="17"/>
        <v>1</v>
      </c>
      <c r="N79" s="665"/>
      <c r="O79" s="21">
        <f t="shared" si="18"/>
        <v>1</v>
      </c>
      <c r="P79" s="2805" t="e">
        <f>#REF!</f>
        <v>#REF!</v>
      </c>
      <c r="Q79" s="21">
        <f t="shared" si="19"/>
        <v>1</v>
      </c>
      <c r="R79" s="661">
        <f t="shared" si="20"/>
        <v>0</v>
      </c>
      <c r="S79" s="315">
        <f t="shared" si="22"/>
        <v>0</v>
      </c>
    </row>
    <row r="80" spans="1:19">
      <c r="A80" s="663"/>
      <c r="B80" s="663"/>
      <c r="C80" s="21"/>
      <c r="D80" s="2805"/>
      <c r="E80" s="21">
        <f t="shared" si="13"/>
        <v>1</v>
      </c>
      <c r="F80" s="2805" t="e">
        <f>#REF!</f>
        <v>#REF!</v>
      </c>
      <c r="G80" s="21">
        <f t="shared" si="14"/>
        <v>1</v>
      </c>
      <c r="H80" s="665"/>
      <c r="I80" s="21">
        <f t="shared" si="15"/>
        <v>1</v>
      </c>
      <c r="J80" s="665"/>
      <c r="K80" s="21">
        <f t="shared" si="16"/>
        <v>1</v>
      </c>
      <c r="L80" s="665"/>
      <c r="M80" s="21">
        <f t="shared" si="17"/>
        <v>1</v>
      </c>
      <c r="N80" s="665"/>
      <c r="O80" s="21">
        <f t="shared" si="18"/>
        <v>1</v>
      </c>
      <c r="P80" s="2805" t="e">
        <f>#REF!</f>
        <v>#REF!</v>
      </c>
      <c r="Q80" s="21">
        <f t="shared" si="19"/>
        <v>1</v>
      </c>
      <c r="R80" s="661">
        <f t="shared" si="20"/>
        <v>0</v>
      </c>
      <c r="S80" s="315">
        <f t="shared" si="22"/>
        <v>0</v>
      </c>
    </row>
    <row r="81" spans="1:19">
      <c r="A81" s="663"/>
      <c r="B81" s="663"/>
      <c r="C81" s="21"/>
      <c r="D81" s="2805"/>
      <c r="E81" s="21">
        <f t="shared" si="13"/>
        <v>1</v>
      </c>
      <c r="F81" s="2805" t="e">
        <f>#REF!</f>
        <v>#REF!</v>
      </c>
      <c r="G81" s="21">
        <f t="shared" si="14"/>
        <v>1</v>
      </c>
      <c r="H81" s="665"/>
      <c r="I81" s="21">
        <f t="shared" si="15"/>
        <v>1</v>
      </c>
      <c r="J81" s="665"/>
      <c r="K81" s="21">
        <f t="shared" si="16"/>
        <v>1</v>
      </c>
      <c r="L81" s="665"/>
      <c r="M81" s="21">
        <f t="shared" si="17"/>
        <v>1</v>
      </c>
      <c r="N81" s="665"/>
      <c r="O81" s="21">
        <f t="shared" si="18"/>
        <v>1</v>
      </c>
      <c r="P81" s="2805" t="e">
        <f>#REF!</f>
        <v>#REF!</v>
      </c>
      <c r="Q81" s="21">
        <f t="shared" si="19"/>
        <v>1</v>
      </c>
      <c r="R81" s="661">
        <f t="shared" si="20"/>
        <v>0</v>
      </c>
      <c r="S81" s="315">
        <f t="shared" si="22"/>
        <v>0</v>
      </c>
    </row>
    <row r="82" spans="1:19">
      <c r="A82" s="663"/>
      <c r="B82" s="663"/>
      <c r="C82" s="21"/>
      <c r="D82" s="2805"/>
      <c r="E82" s="21">
        <f t="shared" si="13"/>
        <v>1</v>
      </c>
      <c r="F82" s="2805" t="e">
        <f>#REF!</f>
        <v>#REF!</v>
      </c>
      <c r="G82" s="21">
        <f t="shared" si="14"/>
        <v>1</v>
      </c>
      <c r="H82" s="665"/>
      <c r="I82" s="21">
        <f t="shared" si="15"/>
        <v>1</v>
      </c>
      <c r="J82" s="665"/>
      <c r="K82" s="21">
        <f t="shared" si="16"/>
        <v>1</v>
      </c>
      <c r="L82" s="665"/>
      <c r="M82" s="21">
        <f t="shared" si="17"/>
        <v>1</v>
      </c>
      <c r="N82" s="665"/>
      <c r="O82" s="21">
        <f t="shared" si="18"/>
        <v>1</v>
      </c>
      <c r="P82" s="2805" t="e">
        <f>#REF!</f>
        <v>#REF!</v>
      </c>
      <c r="Q82" s="21">
        <f t="shared" si="19"/>
        <v>1</v>
      </c>
      <c r="R82" s="661">
        <f t="shared" si="20"/>
        <v>0</v>
      </c>
      <c r="S82" s="315">
        <f t="shared" si="22"/>
        <v>0</v>
      </c>
    </row>
    <row r="83" spans="1:19">
      <c r="A83" s="663"/>
      <c r="B83" s="663"/>
      <c r="C83" s="21"/>
      <c r="D83" s="2805"/>
      <c r="E83" s="21">
        <f t="shared" si="13"/>
        <v>1</v>
      </c>
      <c r="F83" s="2805" t="e">
        <f>#REF!</f>
        <v>#REF!</v>
      </c>
      <c r="G83" s="21">
        <f t="shared" si="14"/>
        <v>1</v>
      </c>
      <c r="H83" s="665"/>
      <c r="I83" s="21">
        <f t="shared" si="15"/>
        <v>1</v>
      </c>
      <c r="J83" s="665"/>
      <c r="K83" s="21">
        <f t="shared" si="16"/>
        <v>1</v>
      </c>
      <c r="L83" s="665"/>
      <c r="M83" s="21">
        <f t="shared" si="17"/>
        <v>1</v>
      </c>
      <c r="N83" s="665"/>
      <c r="O83" s="21">
        <f t="shared" si="18"/>
        <v>1</v>
      </c>
      <c r="P83" s="2805" t="e">
        <f>#REF!</f>
        <v>#REF!</v>
      </c>
      <c r="Q83" s="21">
        <f t="shared" si="19"/>
        <v>1</v>
      </c>
      <c r="R83" s="661">
        <f t="shared" si="20"/>
        <v>0</v>
      </c>
      <c r="S83" s="315">
        <f t="shared" si="22"/>
        <v>0</v>
      </c>
    </row>
    <row r="84" spans="1:19">
      <c r="A84" s="663"/>
      <c r="B84" s="663"/>
      <c r="C84" s="21"/>
      <c r="D84" s="2805"/>
      <c r="E84" s="21">
        <f t="shared" si="13"/>
        <v>1</v>
      </c>
      <c r="F84" s="2805" t="e">
        <f>#REF!</f>
        <v>#REF!</v>
      </c>
      <c r="G84" s="21">
        <f t="shared" si="14"/>
        <v>1</v>
      </c>
      <c r="H84" s="665"/>
      <c r="I84" s="21">
        <f t="shared" si="15"/>
        <v>1</v>
      </c>
      <c r="J84" s="665"/>
      <c r="K84" s="21">
        <f t="shared" si="16"/>
        <v>1</v>
      </c>
      <c r="L84" s="665"/>
      <c r="M84" s="21">
        <f t="shared" si="17"/>
        <v>1</v>
      </c>
      <c r="N84" s="665"/>
      <c r="O84" s="21">
        <f t="shared" si="18"/>
        <v>1</v>
      </c>
      <c r="P84" s="2805"/>
      <c r="Q84" s="21">
        <f t="shared" si="19"/>
        <v>1</v>
      </c>
      <c r="R84" s="661">
        <f t="shared" si="20"/>
        <v>0</v>
      </c>
      <c r="S84" s="315">
        <f t="shared" si="22"/>
        <v>0</v>
      </c>
    </row>
    <row r="85" spans="1:19">
      <c r="A85" s="663"/>
      <c r="B85" s="663"/>
      <c r="C85" s="21"/>
      <c r="D85" s="2805"/>
      <c r="E85" s="21">
        <f t="shared" si="13"/>
        <v>1</v>
      </c>
      <c r="F85" s="2805" t="e">
        <f>#REF!</f>
        <v>#REF!</v>
      </c>
      <c r="G85" s="21">
        <f t="shared" si="14"/>
        <v>1</v>
      </c>
      <c r="H85" s="665"/>
      <c r="I85" s="21">
        <f t="shared" si="15"/>
        <v>1</v>
      </c>
      <c r="J85" s="665"/>
      <c r="K85" s="21">
        <f t="shared" si="16"/>
        <v>1</v>
      </c>
      <c r="L85" s="665"/>
      <c r="M85" s="21">
        <f t="shared" si="17"/>
        <v>1</v>
      </c>
      <c r="N85" s="665"/>
      <c r="O85" s="21">
        <f t="shared" si="18"/>
        <v>1</v>
      </c>
      <c r="P85" s="2805"/>
      <c r="Q85" s="21">
        <f t="shared" si="19"/>
        <v>1</v>
      </c>
      <c r="R85" s="661">
        <f t="shared" si="20"/>
        <v>0</v>
      </c>
      <c r="S85" s="315">
        <f t="shared" si="22"/>
        <v>0</v>
      </c>
    </row>
    <row r="86" spans="1:19">
      <c r="A86" s="663"/>
      <c r="B86" s="663"/>
      <c r="C86" s="21"/>
      <c r="D86" s="2805"/>
      <c r="E86" s="21">
        <f t="shared" si="13"/>
        <v>1</v>
      </c>
      <c r="F86" s="2805" t="e">
        <f>#REF!</f>
        <v>#REF!</v>
      </c>
      <c r="G86" s="21">
        <f t="shared" si="14"/>
        <v>1</v>
      </c>
      <c r="H86" s="665"/>
      <c r="I86" s="21">
        <f t="shared" si="15"/>
        <v>1</v>
      </c>
      <c r="J86" s="665"/>
      <c r="K86" s="21">
        <f t="shared" si="16"/>
        <v>1</v>
      </c>
      <c r="L86" s="665"/>
      <c r="M86" s="21">
        <f t="shared" si="17"/>
        <v>1</v>
      </c>
      <c r="N86" s="665"/>
      <c r="O86" s="21">
        <f t="shared" si="18"/>
        <v>1</v>
      </c>
      <c r="P86" s="2805"/>
      <c r="Q86" s="21">
        <f t="shared" si="19"/>
        <v>1</v>
      </c>
      <c r="R86" s="661">
        <f t="shared" si="20"/>
        <v>0</v>
      </c>
      <c r="S86" s="315">
        <f t="shared" si="22"/>
        <v>0</v>
      </c>
    </row>
    <row r="87" spans="1:19">
      <c r="A87" s="663"/>
      <c r="B87" s="663"/>
      <c r="C87" s="21"/>
      <c r="D87" s="2805"/>
      <c r="E87" s="21">
        <f t="shared" si="13"/>
        <v>1</v>
      </c>
      <c r="F87" s="2805" t="e">
        <f>#REF!</f>
        <v>#REF!</v>
      </c>
      <c r="G87" s="21">
        <f t="shared" si="14"/>
        <v>1</v>
      </c>
      <c r="H87" s="665"/>
      <c r="I87" s="21">
        <f t="shared" si="15"/>
        <v>1</v>
      </c>
      <c r="J87" s="665"/>
      <c r="K87" s="21">
        <f t="shared" si="16"/>
        <v>1</v>
      </c>
      <c r="L87" s="665"/>
      <c r="M87" s="21">
        <f t="shared" si="17"/>
        <v>1</v>
      </c>
      <c r="N87" s="665"/>
      <c r="O87" s="21">
        <f t="shared" si="18"/>
        <v>1</v>
      </c>
      <c r="P87" s="2805"/>
      <c r="Q87" s="21">
        <f t="shared" si="19"/>
        <v>1</v>
      </c>
      <c r="R87" s="661">
        <f t="shared" si="20"/>
        <v>0</v>
      </c>
      <c r="S87" s="315">
        <f t="shared" si="22"/>
        <v>0</v>
      </c>
    </row>
    <row r="88" spans="1:19">
      <c r="A88" s="663"/>
      <c r="B88" s="663"/>
      <c r="C88" s="21"/>
      <c r="D88" s="2805"/>
      <c r="E88" s="21">
        <f t="shared" si="13"/>
        <v>1</v>
      </c>
      <c r="F88" s="2805" t="e">
        <f>#REF!</f>
        <v>#REF!</v>
      </c>
      <c r="G88" s="21">
        <f t="shared" si="14"/>
        <v>1</v>
      </c>
      <c r="H88" s="665"/>
      <c r="I88" s="21">
        <f t="shared" si="15"/>
        <v>1</v>
      </c>
      <c r="J88" s="665"/>
      <c r="K88" s="21">
        <f t="shared" si="16"/>
        <v>1</v>
      </c>
      <c r="L88" s="665"/>
      <c r="M88" s="21">
        <f t="shared" si="17"/>
        <v>1</v>
      </c>
      <c r="N88" s="665"/>
      <c r="O88" s="21">
        <f t="shared" si="18"/>
        <v>1</v>
      </c>
      <c r="P88" s="2805"/>
      <c r="Q88" s="21">
        <f t="shared" si="19"/>
        <v>1</v>
      </c>
      <c r="R88" s="661">
        <f t="shared" si="20"/>
        <v>0</v>
      </c>
      <c r="S88" s="315">
        <f t="shared" si="22"/>
        <v>0</v>
      </c>
    </row>
    <row r="89" spans="1:19">
      <c r="A89" s="663"/>
      <c r="B89" s="663"/>
      <c r="C89" s="21"/>
      <c r="D89" s="2805"/>
      <c r="E89" s="21">
        <f t="shared" si="13"/>
        <v>1</v>
      </c>
      <c r="F89" s="2805" t="e">
        <f>#REF!</f>
        <v>#REF!</v>
      </c>
      <c r="G89" s="21">
        <f t="shared" si="14"/>
        <v>1</v>
      </c>
      <c r="H89" s="665"/>
      <c r="I89" s="21">
        <f t="shared" si="15"/>
        <v>1</v>
      </c>
      <c r="J89" s="665"/>
      <c r="K89" s="21">
        <f t="shared" si="16"/>
        <v>1</v>
      </c>
      <c r="L89" s="665"/>
      <c r="M89" s="21">
        <f t="shared" si="17"/>
        <v>1</v>
      </c>
      <c r="N89" s="665"/>
      <c r="O89" s="21">
        <f t="shared" si="18"/>
        <v>1</v>
      </c>
      <c r="P89" s="2805" t="e">
        <f>#REF!</f>
        <v>#REF!</v>
      </c>
      <c r="Q89" s="21">
        <f t="shared" si="19"/>
        <v>1</v>
      </c>
      <c r="R89" s="661">
        <f t="shared" si="20"/>
        <v>0</v>
      </c>
      <c r="S89" s="315">
        <f t="shared" si="22"/>
        <v>0</v>
      </c>
    </row>
    <row r="90" spans="1:19">
      <c r="A90" s="663"/>
      <c r="B90" s="663"/>
      <c r="C90" s="21"/>
      <c r="D90" s="2805"/>
      <c r="E90" s="21">
        <f t="shared" ref="E90:E153" si="23">(SUMIF($5:$5,D90,$6:$6)-SUMIF($5:$5,$D$24,$6:$6)+100)/100</f>
        <v>1</v>
      </c>
      <c r="F90" s="2805"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5"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5"/>
      <c r="E91" s="21">
        <f t="shared" si="23"/>
        <v>1</v>
      </c>
      <c r="F91" s="2805" t="e">
        <f>#REF!</f>
        <v>#REF!</v>
      </c>
      <c r="G91" s="21">
        <f t="shared" si="24"/>
        <v>1</v>
      </c>
      <c r="H91" s="665"/>
      <c r="I91" s="21">
        <f t="shared" si="25"/>
        <v>1</v>
      </c>
      <c r="J91" s="665"/>
      <c r="K91" s="21">
        <f t="shared" si="26"/>
        <v>1</v>
      </c>
      <c r="L91" s="665"/>
      <c r="M91" s="21">
        <f t="shared" si="27"/>
        <v>1</v>
      </c>
      <c r="N91" s="665"/>
      <c r="O91" s="21">
        <f t="shared" si="28"/>
        <v>1</v>
      </c>
      <c r="P91" s="2805" t="e">
        <f>#REF!</f>
        <v>#REF!</v>
      </c>
      <c r="Q91" s="21">
        <f t="shared" si="29"/>
        <v>1</v>
      </c>
      <c r="R91" s="661">
        <f t="shared" si="30"/>
        <v>0</v>
      </c>
      <c r="S91" s="315">
        <f t="shared" si="22"/>
        <v>0</v>
      </c>
    </row>
    <row r="92" spans="1:19">
      <c r="A92" s="663"/>
      <c r="B92" s="663"/>
      <c r="C92" s="21"/>
      <c r="D92" s="2805"/>
      <c r="E92" s="21">
        <f t="shared" si="23"/>
        <v>1</v>
      </c>
      <c r="F92" s="2805" t="e">
        <f>#REF!</f>
        <v>#REF!</v>
      </c>
      <c r="G92" s="21">
        <f t="shared" si="24"/>
        <v>1</v>
      </c>
      <c r="H92" s="665"/>
      <c r="I92" s="21">
        <f t="shared" si="25"/>
        <v>1</v>
      </c>
      <c r="J92" s="665"/>
      <c r="K92" s="21">
        <f t="shared" si="26"/>
        <v>1</v>
      </c>
      <c r="L92" s="665"/>
      <c r="M92" s="21">
        <f t="shared" si="27"/>
        <v>1</v>
      </c>
      <c r="N92" s="665"/>
      <c r="O92" s="21">
        <f t="shared" si="28"/>
        <v>1</v>
      </c>
      <c r="P92" s="2805" t="e">
        <f>#REF!</f>
        <v>#REF!</v>
      </c>
      <c r="Q92" s="21">
        <f t="shared" si="29"/>
        <v>1</v>
      </c>
      <c r="R92" s="661">
        <f t="shared" si="30"/>
        <v>0</v>
      </c>
      <c r="S92" s="315">
        <f t="shared" si="22"/>
        <v>0</v>
      </c>
    </row>
    <row r="93" spans="1:19">
      <c r="A93" s="663"/>
      <c r="B93" s="663"/>
      <c r="C93" s="21"/>
      <c r="D93" s="2805"/>
      <c r="E93" s="21">
        <f t="shared" si="23"/>
        <v>1</v>
      </c>
      <c r="F93" s="2805" t="e">
        <f>#REF!</f>
        <v>#REF!</v>
      </c>
      <c r="G93" s="21">
        <f t="shared" si="24"/>
        <v>1</v>
      </c>
      <c r="H93" s="665"/>
      <c r="I93" s="21">
        <f t="shared" si="25"/>
        <v>1</v>
      </c>
      <c r="J93" s="665"/>
      <c r="K93" s="21">
        <f t="shared" si="26"/>
        <v>1</v>
      </c>
      <c r="L93" s="665"/>
      <c r="M93" s="21">
        <f t="shared" si="27"/>
        <v>1</v>
      </c>
      <c r="N93" s="665"/>
      <c r="O93" s="21">
        <f t="shared" si="28"/>
        <v>1</v>
      </c>
      <c r="P93" s="2805" t="e">
        <f>#REF!</f>
        <v>#REF!</v>
      </c>
      <c r="Q93" s="21">
        <f t="shared" si="29"/>
        <v>1</v>
      </c>
      <c r="R93" s="661">
        <f t="shared" si="30"/>
        <v>0</v>
      </c>
      <c r="S93" s="315">
        <f t="shared" si="22"/>
        <v>0</v>
      </c>
    </row>
    <row r="94" spans="1:19">
      <c r="A94" s="663"/>
      <c r="B94" s="663"/>
      <c r="C94" s="21"/>
      <c r="D94" s="2805"/>
      <c r="E94" s="21">
        <f t="shared" si="23"/>
        <v>1</v>
      </c>
      <c r="F94" s="2805" t="e">
        <f>#REF!</f>
        <v>#REF!</v>
      </c>
      <c r="G94" s="21">
        <f t="shared" si="24"/>
        <v>1</v>
      </c>
      <c r="H94" s="665"/>
      <c r="I94" s="21">
        <f t="shared" si="25"/>
        <v>1</v>
      </c>
      <c r="J94" s="665"/>
      <c r="K94" s="21">
        <f t="shared" si="26"/>
        <v>1</v>
      </c>
      <c r="L94" s="665"/>
      <c r="M94" s="21">
        <f t="shared" si="27"/>
        <v>1</v>
      </c>
      <c r="N94" s="665"/>
      <c r="O94" s="21">
        <f t="shared" si="28"/>
        <v>1</v>
      </c>
      <c r="P94" s="2805" t="e">
        <f>#REF!</f>
        <v>#REF!</v>
      </c>
      <c r="Q94" s="21">
        <f t="shared" si="29"/>
        <v>1</v>
      </c>
      <c r="R94" s="661">
        <f t="shared" si="30"/>
        <v>0</v>
      </c>
      <c r="S94" s="315">
        <f t="shared" si="22"/>
        <v>0</v>
      </c>
    </row>
    <row r="95" spans="1:19">
      <c r="A95" s="663"/>
      <c r="B95" s="663"/>
      <c r="C95" s="21"/>
      <c r="D95" s="2805"/>
      <c r="E95" s="21">
        <f t="shared" si="23"/>
        <v>1</v>
      </c>
      <c r="F95" s="2805" t="e">
        <f>#REF!</f>
        <v>#REF!</v>
      </c>
      <c r="G95" s="21">
        <f t="shared" si="24"/>
        <v>1</v>
      </c>
      <c r="H95" s="665"/>
      <c r="I95" s="21">
        <f t="shared" si="25"/>
        <v>1</v>
      </c>
      <c r="J95" s="665"/>
      <c r="K95" s="21">
        <f t="shared" si="26"/>
        <v>1</v>
      </c>
      <c r="L95" s="665"/>
      <c r="M95" s="21">
        <f t="shared" si="27"/>
        <v>1</v>
      </c>
      <c r="N95" s="665"/>
      <c r="O95" s="21">
        <f t="shared" si="28"/>
        <v>1</v>
      </c>
      <c r="P95" s="2805" t="e">
        <f>#REF!</f>
        <v>#REF!</v>
      </c>
      <c r="Q95" s="21">
        <f t="shared" si="29"/>
        <v>1</v>
      </c>
      <c r="R95" s="661">
        <f t="shared" si="30"/>
        <v>0</v>
      </c>
      <c r="S95" s="315">
        <f t="shared" si="22"/>
        <v>0</v>
      </c>
    </row>
    <row r="96" spans="1:19">
      <c r="A96" s="663"/>
      <c r="B96" s="663"/>
      <c r="C96" s="21"/>
      <c r="D96" s="2805"/>
      <c r="E96" s="21">
        <f t="shared" si="23"/>
        <v>1</v>
      </c>
      <c r="F96" s="2805" t="e">
        <f>#REF!</f>
        <v>#REF!</v>
      </c>
      <c r="G96" s="21">
        <f t="shared" si="24"/>
        <v>1</v>
      </c>
      <c r="H96" s="665"/>
      <c r="I96" s="21">
        <f t="shared" si="25"/>
        <v>1</v>
      </c>
      <c r="J96" s="665"/>
      <c r="K96" s="21">
        <f t="shared" si="26"/>
        <v>1</v>
      </c>
      <c r="L96" s="665"/>
      <c r="M96" s="21">
        <f t="shared" si="27"/>
        <v>1</v>
      </c>
      <c r="N96" s="665"/>
      <c r="O96" s="21">
        <f t="shared" si="28"/>
        <v>1</v>
      </c>
      <c r="P96" s="2805" t="e">
        <f>#REF!</f>
        <v>#REF!</v>
      </c>
      <c r="Q96" s="21">
        <f t="shared" si="29"/>
        <v>1</v>
      </c>
      <c r="R96" s="661">
        <f t="shared" si="30"/>
        <v>0</v>
      </c>
      <c r="S96" s="315">
        <f t="shared" si="22"/>
        <v>0</v>
      </c>
    </row>
    <row r="97" spans="1:19">
      <c r="A97" s="663"/>
      <c r="B97" s="663"/>
      <c r="C97" s="21"/>
      <c r="D97" s="2805"/>
      <c r="E97" s="21">
        <f t="shared" si="23"/>
        <v>1</v>
      </c>
      <c r="F97" s="2805" t="e">
        <f>#REF!</f>
        <v>#REF!</v>
      </c>
      <c r="G97" s="21">
        <f t="shared" si="24"/>
        <v>1</v>
      </c>
      <c r="H97" s="665"/>
      <c r="I97" s="21">
        <f t="shared" si="25"/>
        <v>1</v>
      </c>
      <c r="J97" s="665"/>
      <c r="K97" s="21">
        <f t="shared" si="26"/>
        <v>1</v>
      </c>
      <c r="L97" s="665"/>
      <c r="M97" s="21">
        <f t="shared" si="27"/>
        <v>1</v>
      </c>
      <c r="N97" s="665"/>
      <c r="O97" s="21">
        <f t="shared" si="28"/>
        <v>1</v>
      </c>
      <c r="P97" s="2805" t="e">
        <f>#REF!</f>
        <v>#REF!</v>
      </c>
      <c r="Q97" s="21">
        <f t="shared" si="29"/>
        <v>1</v>
      </c>
      <c r="R97" s="661">
        <f t="shared" si="30"/>
        <v>0</v>
      </c>
      <c r="S97" s="315">
        <f t="shared" si="22"/>
        <v>0</v>
      </c>
    </row>
    <row r="98" spans="1:19">
      <c r="A98" s="663"/>
      <c r="B98" s="663"/>
      <c r="C98" s="21"/>
      <c r="D98" s="2805"/>
      <c r="E98" s="21">
        <f t="shared" si="23"/>
        <v>1</v>
      </c>
      <c r="F98" s="2805" t="e">
        <f>#REF!</f>
        <v>#REF!</v>
      </c>
      <c r="G98" s="21">
        <f t="shared" si="24"/>
        <v>1</v>
      </c>
      <c r="H98" s="665"/>
      <c r="I98" s="21">
        <f t="shared" si="25"/>
        <v>1</v>
      </c>
      <c r="J98" s="665"/>
      <c r="K98" s="21">
        <f t="shared" si="26"/>
        <v>1</v>
      </c>
      <c r="L98" s="665"/>
      <c r="M98" s="21">
        <f t="shared" si="27"/>
        <v>1</v>
      </c>
      <c r="N98" s="665"/>
      <c r="O98" s="21">
        <f t="shared" si="28"/>
        <v>1</v>
      </c>
      <c r="P98" s="2805" t="e">
        <f>#REF!</f>
        <v>#REF!</v>
      </c>
      <c r="Q98" s="21">
        <f t="shared" si="29"/>
        <v>1</v>
      </c>
      <c r="R98" s="661">
        <f t="shared" si="30"/>
        <v>0</v>
      </c>
      <c r="S98" s="315">
        <f t="shared" si="22"/>
        <v>0</v>
      </c>
    </row>
    <row r="99" spans="1:19">
      <c r="A99" s="663"/>
      <c r="B99" s="663"/>
      <c r="C99" s="21"/>
      <c r="D99" s="2805"/>
      <c r="E99" s="21">
        <f t="shared" si="23"/>
        <v>1</v>
      </c>
      <c r="F99" s="2805" t="e">
        <f>#REF!</f>
        <v>#REF!</v>
      </c>
      <c r="G99" s="21">
        <f t="shared" si="24"/>
        <v>1</v>
      </c>
      <c r="H99" s="665"/>
      <c r="I99" s="21">
        <f t="shared" si="25"/>
        <v>1</v>
      </c>
      <c r="J99" s="665"/>
      <c r="K99" s="21">
        <f t="shared" si="26"/>
        <v>1</v>
      </c>
      <c r="L99" s="665"/>
      <c r="M99" s="21">
        <f t="shared" si="27"/>
        <v>1</v>
      </c>
      <c r="N99" s="665"/>
      <c r="O99" s="21">
        <f t="shared" si="28"/>
        <v>1</v>
      </c>
      <c r="P99" s="2805" t="e">
        <f>#REF!</f>
        <v>#REF!</v>
      </c>
      <c r="Q99" s="21">
        <f t="shared" si="29"/>
        <v>1</v>
      </c>
      <c r="R99" s="661">
        <f t="shared" si="30"/>
        <v>0</v>
      </c>
      <c r="S99" s="315">
        <f t="shared" si="22"/>
        <v>0</v>
      </c>
    </row>
    <row r="100" spans="1:19">
      <c r="A100" s="663"/>
      <c r="B100" s="663"/>
      <c r="C100" s="21"/>
      <c r="D100" s="2805"/>
      <c r="E100" s="21">
        <f t="shared" si="23"/>
        <v>1</v>
      </c>
      <c r="F100" s="2805" t="e">
        <f>#REF!</f>
        <v>#REF!</v>
      </c>
      <c r="G100" s="21">
        <f t="shared" si="24"/>
        <v>1</v>
      </c>
      <c r="H100" s="665"/>
      <c r="I100" s="21">
        <f t="shared" si="25"/>
        <v>1</v>
      </c>
      <c r="J100" s="665"/>
      <c r="K100" s="21">
        <f t="shared" si="26"/>
        <v>1</v>
      </c>
      <c r="L100" s="665"/>
      <c r="M100" s="21">
        <f t="shared" si="27"/>
        <v>1</v>
      </c>
      <c r="N100" s="665"/>
      <c r="O100" s="21">
        <f t="shared" si="28"/>
        <v>1</v>
      </c>
      <c r="P100" s="2805" t="e">
        <f>#REF!</f>
        <v>#REF!</v>
      </c>
      <c r="Q100" s="21">
        <f t="shared" si="29"/>
        <v>1</v>
      </c>
      <c r="R100" s="661">
        <f t="shared" si="30"/>
        <v>0</v>
      </c>
      <c r="S100" s="315">
        <f t="shared" si="22"/>
        <v>0</v>
      </c>
    </row>
    <row r="101" spans="1:19">
      <c r="A101" s="663"/>
      <c r="B101" s="663"/>
      <c r="C101" s="21"/>
      <c r="D101" s="2805"/>
      <c r="E101" s="21">
        <f t="shared" si="23"/>
        <v>1</v>
      </c>
      <c r="F101" s="2805" t="e">
        <f>#REF!</f>
        <v>#REF!</v>
      </c>
      <c r="G101" s="21">
        <f t="shared" si="24"/>
        <v>1</v>
      </c>
      <c r="H101" s="665"/>
      <c r="I101" s="21">
        <f t="shared" si="25"/>
        <v>1</v>
      </c>
      <c r="J101" s="665"/>
      <c r="K101" s="21">
        <f t="shared" si="26"/>
        <v>1</v>
      </c>
      <c r="L101" s="665"/>
      <c r="M101" s="21">
        <f t="shared" si="27"/>
        <v>1</v>
      </c>
      <c r="N101" s="665"/>
      <c r="O101" s="21">
        <f t="shared" si="28"/>
        <v>1</v>
      </c>
      <c r="P101" s="2805" t="e">
        <f>#REF!</f>
        <v>#REF!</v>
      </c>
      <c r="Q101" s="21">
        <f t="shared" si="29"/>
        <v>1</v>
      </c>
      <c r="R101" s="661">
        <f t="shared" si="30"/>
        <v>0</v>
      </c>
      <c r="S101" s="315">
        <f t="shared" si="22"/>
        <v>0</v>
      </c>
    </row>
    <row r="102" spans="1:19">
      <c r="A102" s="663"/>
      <c r="B102" s="663"/>
      <c r="C102" s="21"/>
      <c r="D102" s="2805"/>
      <c r="E102" s="21">
        <f t="shared" si="23"/>
        <v>1</v>
      </c>
      <c r="F102" s="2805" t="e">
        <f>#REF!</f>
        <v>#REF!</v>
      </c>
      <c r="G102" s="21">
        <f t="shared" si="24"/>
        <v>1</v>
      </c>
      <c r="H102" s="665"/>
      <c r="I102" s="21">
        <f t="shared" si="25"/>
        <v>1</v>
      </c>
      <c r="J102" s="665"/>
      <c r="K102" s="21">
        <f t="shared" si="26"/>
        <v>1</v>
      </c>
      <c r="L102" s="665"/>
      <c r="M102" s="21">
        <f t="shared" si="27"/>
        <v>1</v>
      </c>
      <c r="N102" s="665"/>
      <c r="O102" s="21">
        <f t="shared" si="28"/>
        <v>1</v>
      </c>
      <c r="P102" s="2805" t="e">
        <f>#REF!</f>
        <v>#REF!</v>
      </c>
      <c r="Q102" s="21">
        <f t="shared" si="29"/>
        <v>1</v>
      </c>
      <c r="R102" s="661">
        <f t="shared" si="30"/>
        <v>0</v>
      </c>
      <c r="S102" s="315">
        <f t="shared" si="22"/>
        <v>0</v>
      </c>
    </row>
    <row r="103" spans="1:19">
      <c r="A103" s="663"/>
      <c r="B103" s="663"/>
      <c r="C103" s="21"/>
      <c r="D103" s="2805"/>
      <c r="E103" s="21">
        <f t="shared" si="23"/>
        <v>1</v>
      </c>
      <c r="F103" s="2805" t="e">
        <f>#REF!</f>
        <v>#REF!</v>
      </c>
      <c r="G103" s="21">
        <f t="shared" si="24"/>
        <v>1</v>
      </c>
      <c r="H103" s="665"/>
      <c r="I103" s="21">
        <f t="shared" si="25"/>
        <v>1</v>
      </c>
      <c r="J103" s="665"/>
      <c r="K103" s="21">
        <f t="shared" si="26"/>
        <v>1</v>
      </c>
      <c r="L103" s="665"/>
      <c r="M103" s="21">
        <f t="shared" si="27"/>
        <v>1</v>
      </c>
      <c r="N103" s="665"/>
      <c r="O103" s="21">
        <f t="shared" si="28"/>
        <v>1</v>
      </c>
      <c r="P103" s="2805" t="e">
        <f>#REF!</f>
        <v>#REF!</v>
      </c>
      <c r="Q103" s="21">
        <f t="shared" si="29"/>
        <v>1</v>
      </c>
      <c r="R103" s="661">
        <f t="shared" si="30"/>
        <v>0</v>
      </c>
      <c r="S103" s="315">
        <f t="shared" si="22"/>
        <v>0</v>
      </c>
    </row>
    <row r="104" spans="1:19">
      <c r="A104" s="663"/>
      <c r="B104" s="663"/>
      <c r="C104" s="21"/>
      <c r="D104" s="2805"/>
      <c r="E104" s="21">
        <f t="shared" si="23"/>
        <v>1</v>
      </c>
      <c r="F104" s="2805" t="e">
        <f>#REF!</f>
        <v>#REF!</v>
      </c>
      <c r="G104" s="21">
        <f t="shared" si="24"/>
        <v>1</v>
      </c>
      <c r="H104" s="665"/>
      <c r="I104" s="21">
        <f t="shared" si="25"/>
        <v>1</v>
      </c>
      <c r="J104" s="665"/>
      <c r="K104" s="21">
        <f t="shared" si="26"/>
        <v>1</v>
      </c>
      <c r="L104" s="665"/>
      <c r="M104" s="21">
        <f t="shared" si="27"/>
        <v>1</v>
      </c>
      <c r="N104" s="665"/>
      <c r="O104" s="21">
        <f t="shared" si="28"/>
        <v>1</v>
      </c>
      <c r="P104" s="2805" t="e">
        <f>#REF!</f>
        <v>#REF!</v>
      </c>
      <c r="Q104" s="21">
        <f t="shared" si="29"/>
        <v>1</v>
      </c>
      <c r="R104" s="661">
        <f t="shared" si="30"/>
        <v>0</v>
      </c>
      <c r="S104" s="315">
        <f t="shared" si="22"/>
        <v>0</v>
      </c>
    </row>
    <row r="105" spans="1:19">
      <c r="A105" s="663"/>
      <c r="B105" s="663"/>
      <c r="C105" s="21"/>
      <c r="D105" s="2805"/>
      <c r="E105" s="21">
        <f t="shared" si="23"/>
        <v>1</v>
      </c>
      <c r="F105" s="2805" t="e">
        <f>#REF!</f>
        <v>#REF!</v>
      </c>
      <c r="G105" s="21">
        <f t="shared" si="24"/>
        <v>1</v>
      </c>
      <c r="H105" s="665"/>
      <c r="I105" s="21">
        <f t="shared" si="25"/>
        <v>1</v>
      </c>
      <c r="J105" s="665"/>
      <c r="K105" s="21">
        <f t="shared" si="26"/>
        <v>1</v>
      </c>
      <c r="L105" s="665"/>
      <c r="M105" s="21">
        <f t="shared" si="27"/>
        <v>1</v>
      </c>
      <c r="N105" s="665"/>
      <c r="O105" s="21">
        <f t="shared" si="28"/>
        <v>1</v>
      </c>
      <c r="P105" s="2805" t="e">
        <f>#REF!</f>
        <v>#REF!</v>
      </c>
      <c r="Q105" s="21">
        <f t="shared" si="29"/>
        <v>1</v>
      </c>
      <c r="R105" s="661">
        <f t="shared" si="30"/>
        <v>0</v>
      </c>
      <c r="S105" s="315">
        <f t="shared" si="22"/>
        <v>0</v>
      </c>
    </row>
    <row r="106" spans="1:19">
      <c r="A106" s="663"/>
      <c r="B106" s="663"/>
      <c r="C106" s="21"/>
      <c r="D106" s="2805"/>
      <c r="E106" s="21">
        <f t="shared" si="23"/>
        <v>1</v>
      </c>
      <c r="F106" s="2805" t="e">
        <f>#REF!</f>
        <v>#REF!</v>
      </c>
      <c r="G106" s="21">
        <f t="shared" si="24"/>
        <v>1</v>
      </c>
      <c r="H106" s="665"/>
      <c r="I106" s="21">
        <f t="shared" si="25"/>
        <v>1</v>
      </c>
      <c r="J106" s="665"/>
      <c r="K106" s="21">
        <f t="shared" si="26"/>
        <v>1</v>
      </c>
      <c r="L106" s="665"/>
      <c r="M106" s="21">
        <f t="shared" si="27"/>
        <v>1</v>
      </c>
      <c r="N106" s="665"/>
      <c r="O106" s="21">
        <f t="shared" si="28"/>
        <v>1</v>
      </c>
      <c r="P106" s="2805" t="e">
        <f>#REF!</f>
        <v>#REF!</v>
      </c>
      <c r="Q106" s="21">
        <f t="shared" si="29"/>
        <v>1</v>
      </c>
      <c r="R106" s="661">
        <f t="shared" si="30"/>
        <v>0</v>
      </c>
      <c r="S106" s="315">
        <f t="shared" si="22"/>
        <v>0</v>
      </c>
    </row>
    <row r="107" spans="1:19">
      <c r="A107" s="663"/>
      <c r="B107" s="663"/>
      <c r="C107" s="21"/>
      <c r="D107" s="2805"/>
      <c r="E107" s="21">
        <f t="shared" si="23"/>
        <v>1</v>
      </c>
      <c r="F107" s="2805" t="e">
        <f>#REF!</f>
        <v>#REF!</v>
      </c>
      <c r="G107" s="21">
        <f t="shared" si="24"/>
        <v>1</v>
      </c>
      <c r="H107" s="665"/>
      <c r="I107" s="21">
        <f t="shared" si="25"/>
        <v>1</v>
      </c>
      <c r="J107" s="665"/>
      <c r="K107" s="21">
        <f t="shared" si="26"/>
        <v>1</v>
      </c>
      <c r="L107" s="665"/>
      <c r="M107" s="21">
        <f t="shared" si="27"/>
        <v>1</v>
      </c>
      <c r="N107" s="665"/>
      <c r="O107" s="21">
        <f t="shared" si="28"/>
        <v>1</v>
      </c>
      <c r="P107" s="2805" t="e">
        <f>#REF!</f>
        <v>#REF!</v>
      </c>
      <c r="Q107" s="21">
        <f t="shared" si="29"/>
        <v>1</v>
      </c>
      <c r="R107" s="661">
        <f t="shared" si="30"/>
        <v>0</v>
      </c>
      <c r="S107" s="315">
        <f t="shared" si="22"/>
        <v>0</v>
      </c>
    </row>
    <row r="108" spans="1:19">
      <c r="A108" s="663"/>
      <c r="B108" s="663"/>
      <c r="C108" s="21"/>
      <c r="D108" s="2805"/>
      <c r="E108" s="21">
        <f t="shared" si="23"/>
        <v>1</v>
      </c>
      <c r="F108" s="2805" t="e">
        <f>#REF!</f>
        <v>#REF!</v>
      </c>
      <c r="G108" s="21">
        <f t="shared" si="24"/>
        <v>1</v>
      </c>
      <c r="H108" s="665"/>
      <c r="I108" s="21">
        <f t="shared" si="25"/>
        <v>1</v>
      </c>
      <c r="J108" s="665"/>
      <c r="K108" s="21">
        <f t="shared" si="26"/>
        <v>1</v>
      </c>
      <c r="L108" s="665"/>
      <c r="M108" s="21">
        <f t="shared" si="27"/>
        <v>1</v>
      </c>
      <c r="N108" s="665"/>
      <c r="O108" s="21">
        <f t="shared" si="28"/>
        <v>1</v>
      </c>
      <c r="P108" s="2805" t="e">
        <f>#REF!</f>
        <v>#REF!</v>
      </c>
      <c r="Q108" s="21">
        <f t="shared" si="29"/>
        <v>1</v>
      </c>
      <c r="R108" s="661">
        <f t="shared" si="30"/>
        <v>0</v>
      </c>
      <c r="S108" s="315">
        <f t="shared" si="22"/>
        <v>0</v>
      </c>
    </row>
    <row r="109" spans="1:19">
      <c r="A109" s="663"/>
      <c r="B109" s="663"/>
      <c r="C109" s="21"/>
      <c r="D109" s="2805"/>
      <c r="E109" s="21">
        <f t="shared" si="23"/>
        <v>1</v>
      </c>
      <c r="F109" s="2805" t="e">
        <f>#REF!</f>
        <v>#REF!</v>
      </c>
      <c r="G109" s="21">
        <f t="shared" si="24"/>
        <v>1</v>
      </c>
      <c r="H109" s="665"/>
      <c r="I109" s="21">
        <f t="shared" si="25"/>
        <v>1</v>
      </c>
      <c r="J109" s="665"/>
      <c r="K109" s="21">
        <f t="shared" si="26"/>
        <v>1</v>
      </c>
      <c r="L109" s="665"/>
      <c r="M109" s="21">
        <f t="shared" si="27"/>
        <v>1</v>
      </c>
      <c r="N109" s="665"/>
      <c r="O109" s="21">
        <f t="shared" si="28"/>
        <v>1</v>
      </c>
      <c r="P109" s="2805" t="e">
        <f>#REF!</f>
        <v>#REF!</v>
      </c>
      <c r="Q109" s="21">
        <f t="shared" si="29"/>
        <v>1</v>
      </c>
      <c r="R109" s="661">
        <f t="shared" si="30"/>
        <v>0</v>
      </c>
      <c r="S109" s="315">
        <f t="shared" si="22"/>
        <v>0</v>
      </c>
    </row>
    <row r="110" spans="1:19">
      <c r="A110" s="663"/>
      <c r="B110" s="663"/>
      <c r="C110" s="21"/>
      <c r="D110" s="2805"/>
      <c r="E110" s="21">
        <f t="shared" si="23"/>
        <v>1</v>
      </c>
      <c r="F110" s="2805" t="e">
        <f>#REF!</f>
        <v>#REF!</v>
      </c>
      <c r="G110" s="21">
        <f t="shared" si="24"/>
        <v>1</v>
      </c>
      <c r="H110" s="665"/>
      <c r="I110" s="21">
        <f t="shared" si="25"/>
        <v>1</v>
      </c>
      <c r="J110" s="665"/>
      <c r="K110" s="21">
        <f t="shared" si="26"/>
        <v>1</v>
      </c>
      <c r="L110" s="665"/>
      <c r="M110" s="21">
        <f t="shared" si="27"/>
        <v>1</v>
      </c>
      <c r="N110" s="665"/>
      <c r="O110" s="21">
        <f t="shared" si="28"/>
        <v>1</v>
      </c>
      <c r="P110" s="2805" t="e">
        <f>#REF!</f>
        <v>#REF!</v>
      </c>
      <c r="Q110" s="21">
        <f t="shared" si="29"/>
        <v>1</v>
      </c>
      <c r="R110" s="661">
        <f t="shared" si="30"/>
        <v>0</v>
      </c>
      <c r="S110" s="315">
        <f t="shared" si="22"/>
        <v>0</v>
      </c>
    </row>
    <row r="111" spans="1:19">
      <c r="A111" s="663"/>
      <c r="B111" s="663"/>
      <c r="C111" s="21"/>
      <c r="D111" s="2805"/>
      <c r="E111" s="21">
        <f t="shared" si="23"/>
        <v>1</v>
      </c>
      <c r="F111" s="2805" t="e">
        <f>#REF!</f>
        <v>#REF!</v>
      </c>
      <c r="G111" s="21">
        <f t="shared" si="24"/>
        <v>1</v>
      </c>
      <c r="H111" s="665"/>
      <c r="I111" s="21">
        <f t="shared" si="25"/>
        <v>1</v>
      </c>
      <c r="J111" s="665"/>
      <c r="K111" s="21">
        <f t="shared" si="26"/>
        <v>1</v>
      </c>
      <c r="L111" s="665"/>
      <c r="M111" s="21">
        <f t="shared" si="27"/>
        <v>1</v>
      </c>
      <c r="N111" s="665"/>
      <c r="O111" s="21">
        <f t="shared" si="28"/>
        <v>1</v>
      </c>
      <c r="P111" s="2805" t="e">
        <f>#REF!</f>
        <v>#REF!</v>
      </c>
      <c r="Q111" s="21">
        <f t="shared" si="29"/>
        <v>1</v>
      </c>
      <c r="R111" s="661">
        <f t="shared" si="30"/>
        <v>0</v>
      </c>
      <c r="S111" s="315">
        <f t="shared" si="22"/>
        <v>0</v>
      </c>
    </row>
    <row r="112" spans="1:19">
      <c r="A112" s="663"/>
      <c r="B112" s="663"/>
      <c r="C112" s="21"/>
      <c r="D112" s="2805"/>
      <c r="E112" s="21">
        <f t="shared" si="23"/>
        <v>1</v>
      </c>
      <c r="F112" s="2805" t="e">
        <f>#REF!</f>
        <v>#REF!</v>
      </c>
      <c r="G112" s="21">
        <f t="shared" si="24"/>
        <v>1</v>
      </c>
      <c r="H112" s="665"/>
      <c r="I112" s="21">
        <f t="shared" si="25"/>
        <v>1</v>
      </c>
      <c r="J112" s="665"/>
      <c r="K112" s="21">
        <f t="shared" si="26"/>
        <v>1</v>
      </c>
      <c r="L112" s="665"/>
      <c r="M112" s="21">
        <f t="shared" si="27"/>
        <v>1</v>
      </c>
      <c r="N112" s="665"/>
      <c r="O112" s="21">
        <f t="shared" si="28"/>
        <v>1</v>
      </c>
      <c r="P112" s="2805" t="e">
        <f>#REF!</f>
        <v>#REF!</v>
      </c>
      <c r="Q112" s="21">
        <f t="shared" si="29"/>
        <v>1</v>
      </c>
      <c r="R112" s="661">
        <f t="shared" si="30"/>
        <v>0</v>
      </c>
      <c r="S112" s="315">
        <f t="shared" si="22"/>
        <v>0</v>
      </c>
    </row>
    <row r="113" spans="1:19">
      <c r="A113" s="663"/>
      <c r="B113" s="663"/>
      <c r="C113" s="21"/>
      <c r="D113" s="2805"/>
      <c r="E113" s="21">
        <f t="shared" si="23"/>
        <v>1</v>
      </c>
      <c r="F113" s="2805" t="e">
        <f>#REF!</f>
        <v>#REF!</v>
      </c>
      <c r="G113" s="21">
        <f t="shared" si="24"/>
        <v>1</v>
      </c>
      <c r="H113" s="665"/>
      <c r="I113" s="21">
        <f t="shared" si="25"/>
        <v>1</v>
      </c>
      <c r="J113" s="665"/>
      <c r="K113" s="21">
        <f t="shared" si="26"/>
        <v>1</v>
      </c>
      <c r="L113" s="665"/>
      <c r="M113" s="21">
        <f t="shared" si="27"/>
        <v>1</v>
      </c>
      <c r="N113" s="665"/>
      <c r="O113" s="21">
        <f t="shared" si="28"/>
        <v>1</v>
      </c>
      <c r="P113" s="2805" t="e">
        <f>#REF!</f>
        <v>#REF!</v>
      </c>
      <c r="Q113" s="21">
        <f t="shared" si="29"/>
        <v>1</v>
      </c>
      <c r="R113" s="661">
        <f t="shared" si="30"/>
        <v>0</v>
      </c>
      <c r="S113" s="315">
        <f t="shared" si="22"/>
        <v>0</v>
      </c>
    </row>
    <row r="114" spans="1:19">
      <c r="A114" s="663"/>
      <c r="B114" s="663"/>
      <c r="C114" s="21"/>
      <c r="D114" s="2805"/>
      <c r="E114" s="21">
        <f t="shared" si="23"/>
        <v>1</v>
      </c>
      <c r="F114" s="2805" t="e">
        <f>#REF!</f>
        <v>#REF!</v>
      </c>
      <c r="G114" s="21">
        <f t="shared" si="24"/>
        <v>1</v>
      </c>
      <c r="H114" s="665"/>
      <c r="I114" s="21">
        <f t="shared" si="25"/>
        <v>1</v>
      </c>
      <c r="J114" s="665"/>
      <c r="K114" s="21">
        <f t="shared" si="26"/>
        <v>1</v>
      </c>
      <c r="L114" s="665"/>
      <c r="M114" s="21">
        <f t="shared" si="27"/>
        <v>1</v>
      </c>
      <c r="N114" s="665"/>
      <c r="O114" s="21">
        <f t="shared" si="28"/>
        <v>1</v>
      </c>
      <c r="P114" s="2805" t="e">
        <f>#REF!</f>
        <v>#REF!</v>
      </c>
      <c r="Q114" s="21">
        <f t="shared" si="29"/>
        <v>1</v>
      </c>
      <c r="R114" s="661">
        <f t="shared" si="30"/>
        <v>0</v>
      </c>
      <c r="S114" s="315">
        <f t="shared" si="22"/>
        <v>0</v>
      </c>
    </row>
    <row r="115" spans="1:19">
      <c r="A115" s="663"/>
      <c r="B115" s="663"/>
      <c r="C115" s="21"/>
      <c r="D115" s="2805"/>
      <c r="E115" s="21">
        <f t="shared" si="23"/>
        <v>1</v>
      </c>
      <c r="F115" s="2805" t="e">
        <f>#REF!</f>
        <v>#REF!</v>
      </c>
      <c r="G115" s="21">
        <f t="shared" si="24"/>
        <v>1</v>
      </c>
      <c r="H115" s="665"/>
      <c r="I115" s="21">
        <f t="shared" si="25"/>
        <v>1</v>
      </c>
      <c r="J115" s="665"/>
      <c r="K115" s="21">
        <f t="shared" si="26"/>
        <v>1</v>
      </c>
      <c r="L115" s="665"/>
      <c r="M115" s="21">
        <f t="shared" si="27"/>
        <v>1</v>
      </c>
      <c r="N115" s="665"/>
      <c r="O115" s="21">
        <f t="shared" si="28"/>
        <v>1</v>
      </c>
      <c r="P115" s="2805" t="e">
        <f>#REF!</f>
        <v>#REF!</v>
      </c>
      <c r="Q115" s="21">
        <f t="shared" si="29"/>
        <v>1</v>
      </c>
      <c r="R115" s="661">
        <f t="shared" si="30"/>
        <v>0</v>
      </c>
      <c r="S115" s="315">
        <f t="shared" si="22"/>
        <v>0</v>
      </c>
    </row>
    <row r="116" spans="1:19">
      <c r="A116" s="663"/>
      <c r="B116" s="663"/>
      <c r="C116" s="21"/>
      <c r="D116" s="2805"/>
      <c r="E116" s="21">
        <f t="shared" si="23"/>
        <v>1</v>
      </c>
      <c r="F116" s="2805" t="e">
        <f>#REF!</f>
        <v>#REF!</v>
      </c>
      <c r="G116" s="21">
        <f t="shared" si="24"/>
        <v>1</v>
      </c>
      <c r="H116" s="665"/>
      <c r="I116" s="21">
        <f t="shared" si="25"/>
        <v>1</v>
      </c>
      <c r="J116" s="665"/>
      <c r="K116" s="21">
        <f t="shared" si="26"/>
        <v>1</v>
      </c>
      <c r="L116" s="665"/>
      <c r="M116" s="21">
        <f t="shared" si="27"/>
        <v>1</v>
      </c>
      <c r="N116" s="665"/>
      <c r="O116" s="21">
        <f t="shared" si="28"/>
        <v>1</v>
      </c>
      <c r="P116" s="2805" t="e">
        <f>#REF!</f>
        <v>#REF!</v>
      </c>
      <c r="Q116" s="21">
        <f t="shared" si="29"/>
        <v>1</v>
      </c>
      <c r="R116" s="661">
        <f t="shared" si="30"/>
        <v>0</v>
      </c>
      <c r="S116" s="315">
        <f t="shared" si="22"/>
        <v>0</v>
      </c>
    </row>
    <row r="117" spans="1:19">
      <c r="A117" s="663"/>
      <c r="B117" s="663"/>
      <c r="C117" s="21"/>
      <c r="D117" s="2805"/>
      <c r="E117" s="21">
        <f t="shared" si="23"/>
        <v>1</v>
      </c>
      <c r="F117" s="2805" t="e">
        <f>#REF!</f>
        <v>#REF!</v>
      </c>
      <c r="G117" s="21">
        <f t="shared" si="24"/>
        <v>1</v>
      </c>
      <c r="H117" s="665"/>
      <c r="I117" s="21">
        <f t="shared" si="25"/>
        <v>1</v>
      </c>
      <c r="J117" s="665"/>
      <c r="K117" s="21">
        <f t="shared" si="26"/>
        <v>1</v>
      </c>
      <c r="L117" s="665"/>
      <c r="M117" s="21">
        <f t="shared" si="27"/>
        <v>1</v>
      </c>
      <c r="N117" s="665"/>
      <c r="O117" s="21">
        <f t="shared" si="28"/>
        <v>1</v>
      </c>
      <c r="P117" s="2805" t="e">
        <f>#REF!</f>
        <v>#REF!</v>
      </c>
      <c r="Q117" s="21">
        <f t="shared" si="29"/>
        <v>1</v>
      </c>
      <c r="R117" s="661">
        <f t="shared" si="30"/>
        <v>0</v>
      </c>
      <c r="S117" s="315">
        <f t="shared" si="22"/>
        <v>0</v>
      </c>
    </row>
    <row r="118" spans="1:19">
      <c r="A118" s="663"/>
      <c r="B118" s="663"/>
      <c r="C118" s="21"/>
      <c r="D118" s="2805"/>
      <c r="E118" s="21">
        <f t="shared" si="23"/>
        <v>1</v>
      </c>
      <c r="F118" s="2805" t="e">
        <f>#REF!</f>
        <v>#REF!</v>
      </c>
      <c r="G118" s="21">
        <f t="shared" si="24"/>
        <v>1</v>
      </c>
      <c r="H118" s="665"/>
      <c r="I118" s="21">
        <f t="shared" si="25"/>
        <v>1</v>
      </c>
      <c r="J118" s="665"/>
      <c r="K118" s="21">
        <f t="shared" si="26"/>
        <v>1</v>
      </c>
      <c r="L118" s="665"/>
      <c r="M118" s="21">
        <f t="shared" si="27"/>
        <v>1</v>
      </c>
      <c r="N118" s="665"/>
      <c r="O118" s="21">
        <f t="shared" si="28"/>
        <v>1</v>
      </c>
      <c r="P118" s="2805" t="e">
        <f>#REF!</f>
        <v>#REF!</v>
      </c>
      <c r="Q118" s="21">
        <f t="shared" si="29"/>
        <v>1</v>
      </c>
      <c r="R118" s="661">
        <f t="shared" si="30"/>
        <v>0</v>
      </c>
      <c r="S118" s="315">
        <f t="shared" si="22"/>
        <v>0</v>
      </c>
    </row>
    <row r="119" spans="1:19">
      <c r="A119" s="663"/>
      <c r="B119" s="663"/>
      <c r="C119" s="21"/>
      <c r="D119" s="2805"/>
      <c r="E119" s="21">
        <f t="shared" si="23"/>
        <v>1</v>
      </c>
      <c r="F119" s="2805" t="e">
        <f>#REF!</f>
        <v>#REF!</v>
      </c>
      <c r="G119" s="21">
        <f t="shared" si="24"/>
        <v>1</v>
      </c>
      <c r="H119" s="665"/>
      <c r="I119" s="21">
        <f t="shared" si="25"/>
        <v>1</v>
      </c>
      <c r="J119" s="665"/>
      <c r="K119" s="21">
        <f t="shared" si="26"/>
        <v>1</v>
      </c>
      <c r="L119" s="665"/>
      <c r="M119" s="21">
        <f t="shared" si="27"/>
        <v>1</v>
      </c>
      <c r="N119" s="665"/>
      <c r="O119" s="21">
        <f t="shared" si="28"/>
        <v>1</v>
      </c>
      <c r="P119" s="2805" t="e">
        <f>#REF!</f>
        <v>#REF!</v>
      </c>
      <c r="Q119" s="21">
        <f t="shared" si="29"/>
        <v>1</v>
      </c>
      <c r="R119" s="661">
        <f t="shared" si="30"/>
        <v>0</v>
      </c>
      <c r="S119" s="315">
        <f t="shared" si="22"/>
        <v>0</v>
      </c>
    </row>
    <row r="120" spans="1:19">
      <c r="A120" s="663"/>
      <c r="B120" s="663"/>
      <c r="C120" s="21"/>
      <c r="D120" s="2805"/>
      <c r="E120" s="21">
        <f t="shared" si="23"/>
        <v>1</v>
      </c>
      <c r="F120" s="2805" t="e">
        <f>#REF!</f>
        <v>#REF!</v>
      </c>
      <c r="G120" s="21">
        <f t="shared" si="24"/>
        <v>1</v>
      </c>
      <c r="H120" s="665"/>
      <c r="I120" s="21">
        <f t="shared" si="25"/>
        <v>1</v>
      </c>
      <c r="J120" s="665"/>
      <c r="K120" s="21">
        <f t="shared" si="26"/>
        <v>1</v>
      </c>
      <c r="L120" s="665"/>
      <c r="M120" s="21">
        <f t="shared" si="27"/>
        <v>1</v>
      </c>
      <c r="N120" s="665"/>
      <c r="O120" s="21">
        <f t="shared" si="28"/>
        <v>1</v>
      </c>
      <c r="P120" s="2805" t="e">
        <f>#REF!</f>
        <v>#REF!</v>
      </c>
      <c r="Q120" s="21">
        <f t="shared" si="29"/>
        <v>1</v>
      </c>
      <c r="R120" s="661">
        <f t="shared" si="30"/>
        <v>0</v>
      </c>
      <c r="S120" s="315">
        <f t="shared" si="22"/>
        <v>0</v>
      </c>
    </row>
    <row r="121" spans="1:19">
      <c r="A121" s="663"/>
      <c r="B121" s="663"/>
      <c r="C121" s="21"/>
      <c r="D121" s="2805"/>
      <c r="E121" s="21">
        <f t="shared" si="23"/>
        <v>1</v>
      </c>
      <c r="F121" s="2805" t="e">
        <f>#REF!</f>
        <v>#REF!</v>
      </c>
      <c r="G121" s="21">
        <f t="shared" si="24"/>
        <v>1</v>
      </c>
      <c r="H121" s="665"/>
      <c r="I121" s="21">
        <f t="shared" si="25"/>
        <v>1</v>
      </c>
      <c r="J121" s="665"/>
      <c r="K121" s="21">
        <f t="shared" si="26"/>
        <v>1</v>
      </c>
      <c r="L121" s="665"/>
      <c r="M121" s="21">
        <f t="shared" si="27"/>
        <v>1</v>
      </c>
      <c r="N121" s="665"/>
      <c r="O121" s="21">
        <f t="shared" si="28"/>
        <v>1</v>
      </c>
      <c r="P121" s="2805" t="e">
        <f>#REF!</f>
        <v>#REF!</v>
      </c>
      <c r="Q121" s="21">
        <f t="shared" si="29"/>
        <v>1</v>
      </c>
      <c r="R121" s="661">
        <f t="shared" si="30"/>
        <v>0</v>
      </c>
      <c r="S121" s="315">
        <f t="shared" si="22"/>
        <v>0</v>
      </c>
    </row>
    <row r="122" spans="1:19">
      <c r="A122" s="663"/>
      <c r="B122" s="663"/>
      <c r="C122" s="21"/>
      <c r="D122" s="2805"/>
      <c r="E122" s="21">
        <f t="shared" si="23"/>
        <v>1</v>
      </c>
      <c r="F122" s="2805" t="e">
        <f>#REF!</f>
        <v>#REF!</v>
      </c>
      <c r="G122" s="21">
        <f t="shared" si="24"/>
        <v>1</v>
      </c>
      <c r="H122" s="665"/>
      <c r="I122" s="21">
        <f t="shared" si="25"/>
        <v>1</v>
      </c>
      <c r="J122" s="665"/>
      <c r="K122" s="21">
        <f t="shared" si="26"/>
        <v>1</v>
      </c>
      <c r="L122" s="665"/>
      <c r="M122" s="21">
        <f t="shared" si="27"/>
        <v>1</v>
      </c>
      <c r="N122" s="665"/>
      <c r="O122" s="21">
        <f t="shared" si="28"/>
        <v>1</v>
      </c>
      <c r="P122" s="2805" t="e">
        <f>#REF!</f>
        <v>#REF!</v>
      </c>
      <c r="Q122" s="21">
        <f t="shared" si="29"/>
        <v>1</v>
      </c>
      <c r="R122" s="661">
        <f t="shared" si="30"/>
        <v>0</v>
      </c>
      <c r="S122" s="315">
        <f t="shared" si="22"/>
        <v>0</v>
      </c>
    </row>
    <row r="123" spans="1:19">
      <c r="A123" s="663"/>
      <c r="B123" s="663"/>
      <c r="C123" s="21"/>
      <c r="D123" s="2805"/>
      <c r="E123" s="21">
        <f t="shared" si="23"/>
        <v>1</v>
      </c>
      <c r="F123" s="2805" t="e">
        <f>#REF!</f>
        <v>#REF!</v>
      </c>
      <c r="G123" s="21">
        <f t="shared" si="24"/>
        <v>1</v>
      </c>
      <c r="H123" s="665"/>
      <c r="I123" s="21">
        <f t="shared" si="25"/>
        <v>1</v>
      </c>
      <c r="J123" s="665"/>
      <c r="K123" s="21">
        <f t="shared" si="26"/>
        <v>1</v>
      </c>
      <c r="L123" s="665"/>
      <c r="M123" s="21">
        <f t="shared" si="27"/>
        <v>1</v>
      </c>
      <c r="N123" s="665"/>
      <c r="O123" s="21">
        <f t="shared" si="28"/>
        <v>1</v>
      </c>
      <c r="P123" s="2805" t="e">
        <f>#REF!</f>
        <v>#REF!</v>
      </c>
      <c r="Q123" s="21">
        <f t="shared" si="29"/>
        <v>1</v>
      </c>
      <c r="R123" s="661">
        <f t="shared" si="30"/>
        <v>0</v>
      </c>
      <c r="S123" s="315">
        <f t="shared" ref="S123:S186" si="31">ROUND(R123*B123/10000,0)</f>
        <v>0</v>
      </c>
    </row>
    <row r="124" spans="1:19">
      <c r="A124" s="663"/>
      <c r="B124" s="663"/>
      <c r="C124" s="21"/>
      <c r="D124" s="2805"/>
      <c r="E124" s="21">
        <f t="shared" si="23"/>
        <v>1</v>
      </c>
      <c r="F124" s="2805" t="e">
        <f>#REF!</f>
        <v>#REF!</v>
      </c>
      <c r="G124" s="21">
        <f t="shared" si="24"/>
        <v>1</v>
      </c>
      <c r="H124" s="665"/>
      <c r="I124" s="21">
        <f t="shared" si="25"/>
        <v>1</v>
      </c>
      <c r="J124" s="665"/>
      <c r="K124" s="21">
        <f t="shared" si="26"/>
        <v>1</v>
      </c>
      <c r="L124" s="665"/>
      <c r="M124" s="21">
        <f t="shared" si="27"/>
        <v>1</v>
      </c>
      <c r="N124" s="665"/>
      <c r="O124" s="21">
        <f t="shared" si="28"/>
        <v>1</v>
      </c>
      <c r="P124" s="2805" t="e">
        <f>#REF!</f>
        <v>#REF!</v>
      </c>
      <c r="Q124" s="21">
        <f t="shared" si="29"/>
        <v>1</v>
      </c>
      <c r="R124" s="661">
        <f t="shared" si="30"/>
        <v>0</v>
      </c>
      <c r="S124" s="315">
        <f t="shared" si="31"/>
        <v>0</v>
      </c>
    </row>
    <row r="125" spans="1:19">
      <c r="A125" s="663"/>
      <c r="B125" s="663"/>
      <c r="C125" s="21"/>
      <c r="D125" s="2805"/>
      <c r="E125" s="21">
        <f t="shared" si="23"/>
        <v>1</v>
      </c>
      <c r="F125" s="2805" t="e">
        <f>#REF!</f>
        <v>#REF!</v>
      </c>
      <c r="G125" s="21">
        <f t="shared" si="24"/>
        <v>1</v>
      </c>
      <c r="H125" s="665"/>
      <c r="I125" s="21">
        <f t="shared" si="25"/>
        <v>1</v>
      </c>
      <c r="J125" s="665"/>
      <c r="K125" s="21">
        <f t="shared" si="26"/>
        <v>1</v>
      </c>
      <c r="L125" s="665"/>
      <c r="M125" s="21">
        <f t="shared" si="27"/>
        <v>1</v>
      </c>
      <c r="N125" s="665"/>
      <c r="O125" s="21">
        <f t="shared" si="28"/>
        <v>1</v>
      </c>
      <c r="P125" s="2805" t="e">
        <f>#REF!</f>
        <v>#REF!</v>
      </c>
      <c r="Q125" s="21">
        <f t="shared" si="29"/>
        <v>1</v>
      </c>
      <c r="R125" s="661">
        <f t="shared" si="30"/>
        <v>0</v>
      </c>
      <c r="S125" s="315">
        <f t="shared" si="31"/>
        <v>0</v>
      </c>
    </row>
    <row r="126" spans="1:19">
      <c r="A126" s="663"/>
      <c r="B126" s="663"/>
      <c r="C126" s="21"/>
      <c r="D126" s="2805"/>
      <c r="E126" s="21">
        <f t="shared" si="23"/>
        <v>1</v>
      </c>
      <c r="F126" s="2805" t="e">
        <f>#REF!</f>
        <v>#REF!</v>
      </c>
      <c r="G126" s="21">
        <f t="shared" si="24"/>
        <v>1</v>
      </c>
      <c r="H126" s="665"/>
      <c r="I126" s="21">
        <f t="shared" si="25"/>
        <v>1</v>
      </c>
      <c r="J126" s="665"/>
      <c r="K126" s="21">
        <f t="shared" si="26"/>
        <v>1</v>
      </c>
      <c r="L126" s="665"/>
      <c r="M126" s="21">
        <f t="shared" si="27"/>
        <v>1</v>
      </c>
      <c r="N126" s="665"/>
      <c r="O126" s="21">
        <f t="shared" si="28"/>
        <v>1</v>
      </c>
      <c r="P126" s="2805" t="e">
        <f>#REF!</f>
        <v>#REF!</v>
      </c>
      <c r="Q126" s="21">
        <f t="shared" si="29"/>
        <v>1</v>
      </c>
      <c r="R126" s="661">
        <f t="shared" si="30"/>
        <v>0</v>
      </c>
      <c r="S126" s="315">
        <f t="shared" si="31"/>
        <v>0</v>
      </c>
    </row>
    <row r="127" spans="1:19">
      <c r="A127" s="663"/>
      <c r="B127" s="663"/>
      <c r="C127" s="21"/>
      <c r="D127" s="2805"/>
      <c r="E127" s="21">
        <f t="shared" si="23"/>
        <v>1</v>
      </c>
      <c r="F127" s="2805" t="e">
        <f>#REF!</f>
        <v>#REF!</v>
      </c>
      <c r="G127" s="21">
        <f t="shared" si="24"/>
        <v>1</v>
      </c>
      <c r="H127" s="665"/>
      <c r="I127" s="21">
        <f t="shared" si="25"/>
        <v>1</v>
      </c>
      <c r="J127" s="665"/>
      <c r="K127" s="21">
        <f t="shared" si="26"/>
        <v>1</v>
      </c>
      <c r="L127" s="665"/>
      <c r="M127" s="21">
        <f t="shared" si="27"/>
        <v>1</v>
      </c>
      <c r="N127" s="665"/>
      <c r="O127" s="21">
        <f t="shared" si="28"/>
        <v>1</v>
      </c>
      <c r="P127" s="2805" t="e">
        <f>#REF!</f>
        <v>#REF!</v>
      </c>
      <c r="Q127" s="21">
        <f t="shared" si="29"/>
        <v>1</v>
      </c>
      <c r="R127" s="661">
        <f t="shared" si="30"/>
        <v>0</v>
      </c>
      <c r="S127" s="315">
        <f t="shared" si="31"/>
        <v>0</v>
      </c>
    </row>
    <row r="128" spans="1:19">
      <c r="A128" s="663"/>
      <c r="B128" s="663"/>
      <c r="C128" s="21"/>
      <c r="D128" s="2805"/>
      <c r="E128" s="21">
        <f t="shared" si="23"/>
        <v>1</v>
      </c>
      <c r="F128" s="2805" t="e">
        <f>#REF!</f>
        <v>#REF!</v>
      </c>
      <c r="G128" s="21">
        <f t="shared" si="24"/>
        <v>1</v>
      </c>
      <c r="H128" s="665"/>
      <c r="I128" s="21">
        <f t="shared" si="25"/>
        <v>1</v>
      </c>
      <c r="J128" s="665"/>
      <c r="K128" s="21">
        <f t="shared" si="26"/>
        <v>1</v>
      </c>
      <c r="L128" s="665"/>
      <c r="M128" s="21">
        <f t="shared" si="27"/>
        <v>1</v>
      </c>
      <c r="N128" s="665"/>
      <c r="O128" s="21">
        <f t="shared" si="28"/>
        <v>1</v>
      </c>
      <c r="P128" s="2805" t="e">
        <f>#REF!</f>
        <v>#REF!</v>
      </c>
      <c r="Q128" s="21">
        <f t="shared" si="29"/>
        <v>1</v>
      </c>
      <c r="R128" s="661">
        <f t="shared" si="30"/>
        <v>0</v>
      </c>
      <c r="S128" s="315">
        <f t="shared" si="31"/>
        <v>0</v>
      </c>
    </row>
    <row r="129" spans="1:19">
      <c r="A129" s="663"/>
      <c r="B129" s="663"/>
      <c r="C129" s="21"/>
      <c r="D129" s="2805"/>
      <c r="E129" s="21">
        <f t="shared" si="23"/>
        <v>1</v>
      </c>
      <c r="F129" s="2805" t="e">
        <f>#REF!</f>
        <v>#REF!</v>
      </c>
      <c r="G129" s="21">
        <f t="shared" si="24"/>
        <v>1</v>
      </c>
      <c r="H129" s="665"/>
      <c r="I129" s="21">
        <f t="shared" si="25"/>
        <v>1</v>
      </c>
      <c r="J129" s="665"/>
      <c r="K129" s="21">
        <f t="shared" si="26"/>
        <v>1</v>
      </c>
      <c r="L129" s="665"/>
      <c r="M129" s="21">
        <f t="shared" si="27"/>
        <v>1</v>
      </c>
      <c r="N129" s="665"/>
      <c r="O129" s="21">
        <f t="shared" si="28"/>
        <v>1</v>
      </c>
      <c r="P129" s="2805" t="e">
        <f>#REF!</f>
        <v>#REF!</v>
      </c>
      <c r="Q129" s="21">
        <f t="shared" si="29"/>
        <v>1</v>
      </c>
      <c r="R129" s="661">
        <f t="shared" si="30"/>
        <v>0</v>
      </c>
      <c r="S129" s="315">
        <f t="shared" si="31"/>
        <v>0</v>
      </c>
    </row>
    <row r="130" spans="1:19">
      <c r="A130" s="663"/>
      <c r="B130" s="663"/>
      <c r="C130" s="21"/>
      <c r="D130" s="2805"/>
      <c r="E130" s="21">
        <f t="shared" si="23"/>
        <v>1</v>
      </c>
      <c r="F130" s="2805" t="e">
        <f>#REF!</f>
        <v>#REF!</v>
      </c>
      <c r="G130" s="21">
        <f t="shared" si="24"/>
        <v>1</v>
      </c>
      <c r="H130" s="665"/>
      <c r="I130" s="21">
        <f t="shared" si="25"/>
        <v>1</v>
      </c>
      <c r="J130" s="665"/>
      <c r="K130" s="21">
        <f t="shared" si="26"/>
        <v>1</v>
      </c>
      <c r="L130" s="665"/>
      <c r="M130" s="21">
        <f t="shared" si="27"/>
        <v>1</v>
      </c>
      <c r="N130" s="665"/>
      <c r="O130" s="21">
        <f t="shared" si="28"/>
        <v>1</v>
      </c>
      <c r="P130" s="2805" t="e">
        <f>#REF!</f>
        <v>#REF!</v>
      </c>
      <c r="Q130" s="21">
        <f t="shared" si="29"/>
        <v>1</v>
      </c>
      <c r="R130" s="661">
        <f t="shared" si="30"/>
        <v>0</v>
      </c>
      <c r="S130" s="315">
        <f t="shared" si="31"/>
        <v>0</v>
      </c>
    </row>
    <row r="131" spans="1:19">
      <c r="A131" s="663"/>
      <c r="B131" s="663"/>
      <c r="C131" s="21"/>
      <c r="D131" s="2805"/>
      <c r="E131" s="21">
        <f t="shared" si="23"/>
        <v>1</v>
      </c>
      <c r="F131" s="2805" t="e">
        <f>#REF!</f>
        <v>#REF!</v>
      </c>
      <c r="G131" s="21">
        <f t="shared" si="24"/>
        <v>1</v>
      </c>
      <c r="H131" s="665"/>
      <c r="I131" s="21">
        <f t="shared" si="25"/>
        <v>1</v>
      </c>
      <c r="J131" s="665"/>
      <c r="K131" s="21">
        <f t="shared" si="26"/>
        <v>1</v>
      </c>
      <c r="L131" s="665"/>
      <c r="M131" s="21">
        <f t="shared" si="27"/>
        <v>1</v>
      </c>
      <c r="N131" s="665"/>
      <c r="O131" s="21">
        <f t="shared" si="28"/>
        <v>1</v>
      </c>
      <c r="P131" s="2805" t="e">
        <f>#REF!</f>
        <v>#REF!</v>
      </c>
      <c r="Q131" s="21">
        <f t="shared" si="29"/>
        <v>1</v>
      </c>
      <c r="R131" s="661">
        <f t="shared" si="30"/>
        <v>0</v>
      </c>
      <c r="S131" s="315">
        <f t="shared" si="31"/>
        <v>0</v>
      </c>
    </row>
    <row r="132" spans="1:19">
      <c r="A132" s="663"/>
      <c r="B132" s="663"/>
      <c r="C132" s="21"/>
      <c r="D132" s="2805"/>
      <c r="E132" s="21">
        <f t="shared" si="23"/>
        <v>1</v>
      </c>
      <c r="F132" s="2805" t="e">
        <f>#REF!</f>
        <v>#REF!</v>
      </c>
      <c r="G132" s="21">
        <f t="shared" si="24"/>
        <v>1</v>
      </c>
      <c r="H132" s="665"/>
      <c r="I132" s="21">
        <f t="shared" si="25"/>
        <v>1</v>
      </c>
      <c r="J132" s="665"/>
      <c r="K132" s="21">
        <f t="shared" si="26"/>
        <v>1</v>
      </c>
      <c r="L132" s="665"/>
      <c r="M132" s="21">
        <f t="shared" si="27"/>
        <v>1</v>
      </c>
      <c r="N132" s="665"/>
      <c r="O132" s="21">
        <f t="shared" si="28"/>
        <v>1</v>
      </c>
      <c r="P132" s="2805" t="e">
        <f>#REF!</f>
        <v>#REF!</v>
      </c>
      <c r="Q132" s="21">
        <f t="shared" si="29"/>
        <v>1</v>
      </c>
      <c r="R132" s="661">
        <f t="shared" si="30"/>
        <v>0</v>
      </c>
      <c r="S132" s="315">
        <f t="shared" si="31"/>
        <v>0</v>
      </c>
    </row>
    <row r="133" spans="1:19">
      <c r="A133" s="663"/>
      <c r="B133" s="663"/>
      <c r="C133" s="21"/>
      <c r="D133" s="2805"/>
      <c r="E133" s="21">
        <f t="shared" si="23"/>
        <v>1</v>
      </c>
      <c r="F133" s="2805" t="e">
        <f>#REF!</f>
        <v>#REF!</v>
      </c>
      <c r="G133" s="21">
        <f t="shared" si="24"/>
        <v>1</v>
      </c>
      <c r="H133" s="665"/>
      <c r="I133" s="21">
        <f t="shared" si="25"/>
        <v>1</v>
      </c>
      <c r="J133" s="665"/>
      <c r="K133" s="21">
        <f t="shared" si="26"/>
        <v>1</v>
      </c>
      <c r="L133" s="665"/>
      <c r="M133" s="21">
        <f t="shared" si="27"/>
        <v>1</v>
      </c>
      <c r="N133" s="665"/>
      <c r="O133" s="21">
        <f t="shared" si="28"/>
        <v>1</v>
      </c>
      <c r="P133" s="2805" t="e">
        <f>#REF!</f>
        <v>#REF!</v>
      </c>
      <c r="Q133" s="21">
        <f t="shared" si="29"/>
        <v>1</v>
      </c>
      <c r="R133" s="661">
        <f t="shared" si="30"/>
        <v>0</v>
      </c>
      <c r="S133" s="315">
        <f t="shared" si="31"/>
        <v>0</v>
      </c>
    </row>
    <row r="134" spans="1:19">
      <c r="A134" s="663"/>
      <c r="B134" s="663"/>
      <c r="C134" s="21"/>
      <c r="D134" s="2805"/>
      <c r="E134" s="21">
        <f t="shared" si="23"/>
        <v>1</v>
      </c>
      <c r="F134" s="2805" t="e">
        <f>#REF!</f>
        <v>#REF!</v>
      </c>
      <c r="G134" s="21">
        <f t="shared" si="24"/>
        <v>1</v>
      </c>
      <c r="H134" s="665"/>
      <c r="I134" s="21">
        <f t="shared" si="25"/>
        <v>1</v>
      </c>
      <c r="J134" s="665"/>
      <c r="K134" s="21">
        <f t="shared" si="26"/>
        <v>1</v>
      </c>
      <c r="L134" s="665"/>
      <c r="M134" s="21">
        <f t="shared" si="27"/>
        <v>1</v>
      </c>
      <c r="N134" s="665"/>
      <c r="O134" s="21">
        <f t="shared" si="28"/>
        <v>1</v>
      </c>
      <c r="P134" s="2805" t="e">
        <f>#REF!</f>
        <v>#REF!</v>
      </c>
      <c r="Q134" s="21">
        <f t="shared" si="29"/>
        <v>1</v>
      </c>
      <c r="R134" s="661">
        <f t="shared" si="30"/>
        <v>0</v>
      </c>
      <c r="S134" s="315">
        <f t="shared" si="31"/>
        <v>0</v>
      </c>
    </row>
    <row r="135" spans="1:19">
      <c r="A135" s="663"/>
      <c r="B135" s="663"/>
      <c r="C135" s="21"/>
      <c r="D135" s="2805"/>
      <c r="E135" s="21">
        <f t="shared" si="23"/>
        <v>1</v>
      </c>
      <c r="F135" s="2805" t="e">
        <f>#REF!</f>
        <v>#REF!</v>
      </c>
      <c r="G135" s="21">
        <f t="shared" si="24"/>
        <v>1</v>
      </c>
      <c r="H135" s="665"/>
      <c r="I135" s="21">
        <f t="shared" si="25"/>
        <v>1</v>
      </c>
      <c r="J135" s="665"/>
      <c r="K135" s="21">
        <f t="shared" si="26"/>
        <v>1</v>
      </c>
      <c r="L135" s="665"/>
      <c r="M135" s="21">
        <f t="shared" si="27"/>
        <v>1</v>
      </c>
      <c r="N135" s="665"/>
      <c r="O135" s="21">
        <f t="shared" si="28"/>
        <v>1</v>
      </c>
      <c r="P135" s="2805" t="e">
        <f>#REF!</f>
        <v>#REF!</v>
      </c>
      <c r="Q135" s="21">
        <f t="shared" si="29"/>
        <v>1</v>
      </c>
      <c r="R135" s="661">
        <f t="shared" si="30"/>
        <v>0</v>
      </c>
      <c r="S135" s="315">
        <f t="shared" si="31"/>
        <v>0</v>
      </c>
    </row>
    <row r="136" spans="1:19">
      <c r="A136" s="663"/>
      <c r="B136" s="663"/>
      <c r="C136" s="21"/>
      <c r="D136" s="2805"/>
      <c r="E136" s="21">
        <f t="shared" si="23"/>
        <v>1</v>
      </c>
      <c r="F136" s="2805" t="e">
        <f>#REF!</f>
        <v>#REF!</v>
      </c>
      <c r="G136" s="21">
        <f t="shared" si="24"/>
        <v>1</v>
      </c>
      <c r="H136" s="665"/>
      <c r="I136" s="21">
        <f t="shared" si="25"/>
        <v>1</v>
      </c>
      <c r="J136" s="665"/>
      <c r="K136" s="21">
        <f t="shared" si="26"/>
        <v>1</v>
      </c>
      <c r="L136" s="665"/>
      <c r="M136" s="21">
        <f t="shared" si="27"/>
        <v>1</v>
      </c>
      <c r="N136" s="665"/>
      <c r="O136" s="21">
        <f t="shared" si="28"/>
        <v>1</v>
      </c>
      <c r="P136" s="2805" t="e">
        <f>#REF!</f>
        <v>#REF!</v>
      </c>
      <c r="Q136" s="21">
        <f t="shared" si="29"/>
        <v>1</v>
      </c>
      <c r="R136" s="661">
        <f t="shared" si="30"/>
        <v>0</v>
      </c>
      <c r="S136" s="315">
        <f t="shared" si="31"/>
        <v>0</v>
      </c>
    </row>
    <row r="137" spans="1:19">
      <c r="A137" s="663"/>
      <c r="B137" s="663"/>
      <c r="C137" s="21"/>
      <c r="D137" s="2805"/>
      <c r="E137" s="21">
        <f t="shared" si="23"/>
        <v>1</v>
      </c>
      <c r="F137" s="2805" t="e">
        <f>#REF!</f>
        <v>#REF!</v>
      </c>
      <c r="G137" s="21">
        <f t="shared" si="24"/>
        <v>1</v>
      </c>
      <c r="H137" s="665"/>
      <c r="I137" s="21">
        <f t="shared" si="25"/>
        <v>1</v>
      </c>
      <c r="J137" s="665"/>
      <c r="K137" s="21">
        <f t="shared" si="26"/>
        <v>1</v>
      </c>
      <c r="L137" s="665"/>
      <c r="M137" s="21">
        <f t="shared" si="27"/>
        <v>1</v>
      </c>
      <c r="N137" s="665"/>
      <c r="O137" s="21">
        <f t="shared" si="28"/>
        <v>1</v>
      </c>
      <c r="P137" s="2805" t="e">
        <f>#REF!</f>
        <v>#REF!</v>
      </c>
      <c r="Q137" s="21">
        <f t="shared" si="29"/>
        <v>1</v>
      </c>
      <c r="R137" s="661">
        <f t="shared" si="30"/>
        <v>0</v>
      </c>
      <c r="S137" s="315">
        <f t="shared" si="31"/>
        <v>0</v>
      </c>
    </row>
    <row r="138" spans="1:19">
      <c r="A138" s="663"/>
      <c r="B138" s="663"/>
      <c r="C138" s="21"/>
      <c r="D138" s="2805"/>
      <c r="E138" s="21">
        <f t="shared" si="23"/>
        <v>1</v>
      </c>
      <c r="F138" s="2805" t="e">
        <f>#REF!</f>
        <v>#REF!</v>
      </c>
      <c r="G138" s="21">
        <f t="shared" si="24"/>
        <v>1</v>
      </c>
      <c r="H138" s="665"/>
      <c r="I138" s="21">
        <f t="shared" si="25"/>
        <v>1</v>
      </c>
      <c r="J138" s="665"/>
      <c r="K138" s="21">
        <f t="shared" si="26"/>
        <v>1</v>
      </c>
      <c r="L138" s="665"/>
      <c r="M138" s="21">
        <f t="shared" si="27"/>
        <v>1</v>
      </c>
      <c r="N138" s="665"/>
      <c r="O138" s="21">
        <f t="shared" si="28"/>
        <v>1</v>
      </c>
      <c r="P138" s="2805" t="e">
        <f>#REF!</f>
        <v>#REF!</v>
      </c>
      <c r="Q138" s="21">
        <f t="shared" si="29"/>
        <v>1</v>
      </c>
      <c r="R138" s="661">
        <f t="shared" si="30"/>
        <v>0</v>
      </c>
      <c r="S138" s="315">
        <f t="shared" si="31"/>
        <v>0</v>
      </c>
    </row>
    <row r="139" spans="1:19">
      <c r="A139" s="663"/>
      <c r="B139" s="663"/>
      <c r="C139" s="21"/>
      <c r="D139" s="2805"/>
      <c r="E139" s="21">
        <f t="shared" si="23"/>
        <v>1</v>
      </c>
      <c r="F139" s="2805" t="e">
        <f>#REF!</f>
        <v>#REF!</v>
      </c>
      <c r="G139" s="21">
        <f t="shared" si="24"/>
        <v>1</v>
      </c>
      <c r="H139" s="665"/>
      <c r="I139" s="21">
        <f t="shared" si="25"/>
        <v>1</v>
      </c>
      <c r="J139" s="665"/>
      <c r="K139" s="21">
        <f t="shared" si="26"/>
        <v>1</v>
      </c>
      <c r="L139" s="665"/>
      <c r="M139" s="21">
        <f t="shared" si="27"/>
        <v>1</v>
      </c>
      <c r="N139" s="665"/>
      <c r="O139" s="21">
        <f t="shared" si="28"/>
        <v>1</v>
      </c>
      <c r="P139" s="2805" t="e">
        <f>#REF!</f>
        <v>#REF!</v>
      </c>
      <c r="Q139" s="21">
        <f t="shared" si="29"/>
        <v>1</v>
      </c>
      <c r="R139" s="661">
        <f t="shared" si="30"/>
        <v>0</v>
      </c>
      <c r="S139" s="315">
        <f t="shared" si="31"/>
        <v>0</v>
      </c>
    </row>
    <row r="140" spans="1:19">
      <c r="A140" s="663"/>
      <c r="B140" s="663"/>
      <c r="C140" s="21"/>
      <c r="D140" s="2805"/>
      <c r="E140" s="21">
        <f t="shared" si="23"/>
        <v>1</v>
      </c>
      <c r="F140" s="2805" t="e">
        <f>#REF!</f>
        <v>#REF!</v>
      </c>
      <c r="G140" s="21">
        <f t="shared" si="24"/>
        <v>1</v>
      </c>
      <c r="H140" s="665"/>
      <c r="I140" s="21">
        <f t="shared" si="25"/>
        <v>1</v>
      </c>
      <c r="J140" s="665"/>
      <c r="K140" s="21">
        <f t="shared" si="26"/>
        <v>1</v>
      </c>
      <c r="L140" s="665"/>
      <c r="M140" s="21">
        <f t="shared" si="27"/>
        <v>1</v>
      </c>
      <c r="N140" s="665"/>
      <c r="O140" s="21">
        <f t="shared" si="28"/>
        <v>1</v>
      </c>
      <c r="P140" s="2805" t="e">
        <f>#REF!</f>
        <v>#REF!</v>
      </c>
      <c r="Q140" s="21">
        <f t="shared" si="29"/>
        <v>1</v>
      </c>
      <c r="R140" s="661">
        <f t="shared" si="30"/>
        <v>0</v>
      </c>
      <c r="S140" s="315">
        <f t="shared" si="31"/>
        <v>0</v>
      </c>
    </row>
    <row r="141" spans="1:19">
      <c r="A141" s="663"/>
      <c r="B141" s="663"/>
      <c r="C141" s="21"/>
      <c r="D141" s="2805"/>
      <c r="E141" s="21">
        <f t="shared" si="23"/>
        <v>1</v>
      </c>
      <c r="F141" s="2805" t="e">
        <f>#REF!</f>
        <v>#REF!</v>
      </c>
      <c r="G141" s="21">
        <f t="shared" si="24"/>
        <v>1</v>
      </c>
      <c r="H141" s="665"/>
      <c r="I141" s="21">
        <f t="shared" si="25"/>
        <v>1</v>
      </c>
      <c r="J141" s="665"/>
      <c r="K141" s="21">
        <f t="shared" si="26"/>
        <v>1</v>
      </c>
      <c r="L141" s="665"/>
      <c r="M141" s="21">
        <f t="shared" si="27"/>
        <v>1</v>
      </c>
      <c r="N141" s="665"/>
      <c r="O141" s="21">
        <f t="shared" si="28"/>
        <v>1</v>
      </c>
      <c r="P141" s="2805" t="e">
        <f>#REF!</f>
        <v>#REF!</v>
      </c>
      <c r="Q141" s="21">
        <f t="shared" si="29"/>
        <v>1</v>
      </c>
      <c r="R141" s="661">
        <f t="shared" si="30"/>
        <v>0</v>
      </c>
      <c r="S141" s="315">
        <f t="shared" si="31"/>
        <v>0</v>
      </c>
    </row>
    <row r="142" spans="1:19">
      <c r="A142" s="663"/>
      <c r="B142" s="663"/>
      <c r="C142" s="21"/>
      <c r="D142" s="2805"/>
      <c r="E142" s="21">
        <f t="shared" si="23"/>
        <v>1</v>
      </c>
      <c r="F142" s="2805" t="e">
        <f>#REF!</f>
        <v>#REF!</v>
      </c>
      <c r="G142" s="21">
        <f t="shared" si="24"/>
        <v>1</v>
      </c>
      <c r="H142" s="665"/>
      <c r="I142" s="21">
        <f t="shared" si="25"/>
        <v>1</v>
      </c>
      <c r="J142" s="665"/>
      <c r="K142" s="21">
        <f t="shared" si="26"/>
        <v>1</v>
      </c>
      <c r="L142" s="665"/>
      <c r="M142" s="21">
        <f t="shared" si="27"/>
        <v>1</v>
      </c>
      <c r="N142" s="665"/>
      <c r="O142" s="21">
        <f t="shared" si="28"/>
        <v>1</v>
      </c>
      <c r="P142" s="2805" t="e">
        <f>#REF!</f>
        <v>#REF!</v>
      </c>
      <c r="Q142" s="21">
        <f t="shared" si="29"/>
        <v>1</v>
      </c>
      <c r="R142" s="661">
        <f t="shared" si="30"/>
        <v>0</v>
      </c>
      <c r="S142" s="315">
        <f t="shared" si="31"/>
        <v>0</v>
      </c>
    </row>
    <row r="143" spans="1:19">
      <c r="A143" s="663"/>
      <c r="B143" s="663"/>
      <c r="C143" s="21"/>
      <c r="D143" s="2805"/>
      <c r="E143" s="21">
        <f t="shared" si="23"/>
        <v>1</v>
      </c>
      <c r="F143" s="2805" t="e">
        <f>#REF!</f>
        <v>#REF!</v>
      </c>
      <c r="G143" s="21">
        <f t="shared" si="24"/>
        <v>1</v>
      </c>
      <c r="H143" s="665"/>
      <c r="I143" s="21">
        <f t="shared" si="25"/>
        <v>1</v>
      </c>
      <c r="J143" s="665"/>
      <c r="K143" s="21">
        <f t="shared" si="26"/>
        <v>1</v>
      </c>
      <c r="L143" s="665"/>
      <c r="M143" s="21">
        <f t="shared" si="27"/>
        <v>1</v>
      </c>
      <c r="N143" s="665"/>
      <c r="O143" s="21">
        <f t="shared" si="28"/>
        <v>1</v>
      </c>
      <c r="P143" s="2805" t="e">
        <f>#REF!</f>
        <v>#REF!</v>
      </c>
      <c r="Q143" s="21">
        <f t="shared" si="29"/>
        <v>1</v>
      </c>
      <c r="R143" s="661">
        <f t="shared" si="30"/>
        <v>0</v>
      </c>
      <c r="S143" s="315">
        <f t="shared" si="31"/>
        <v>0</v>
      </c>
    </row>
    <row r="144" spans="1:19">
      <c r="A144" s="663"/>
      <c r="B144" s="663"/>
      <c r="C144" s="21"/>
      <c r="D144" s="2805"/>
      <c r="E144" s="21">
        <f t="shared" si="23"/>
        <v>1</v>
      </c>
      <c r="F144" s="2805" t="e">
        <f>#REF!</f>
        <v>#REF!</v>
      </c>
      <c r="G144" s="21">
        <f t="shared" si="24"/>
        <v>1</v>
      </c>
      <c r="H144" s="665"/>
      <c r="I144" s="21">
        <f t="shared" si="25"/>
        <v>1</v>
      </c>
      <c r="J144" s="665"/>
      <c r="K144" s="21">
        <f t="shared" si="26"/>
        <v>1</v>
      </c>
      <c r="L144" s="665"/>
      <c r="M144" s="21">
        <f t="shared" si="27"/>
        <v>1</v>
      </c>
      <c r="N144" s="665"/>
      <c r="O144" s="21">
        <f t="shared" si="28"/>
        <v>1</v>
      </c>
      <c r="P144" s="2805" t="e">
        <f>#REF!</f>
        <v>#REF!</v>
      </c>
      <c r="Q144" s="21">
        <f t="shared" si="29"/>
        <v>1</v>
      </c>
      <c r="R144" s="661">
        <f t="shared" si="30"/>
        <v>0</v>
      </c>
      <c r="S144" s="315">
        <f t="shared" si="31"/>
        <v>0</v>
      </c>
    </row>
    <row r="145" spans="1:19">
      <c r="A145" s="663"/>
      <c r="B145" s="663"/>
      <c r="C145" s="21"/>
      <c r="D145" s="2805"/>
      <c r="E145" s="21">
        <f t="shared" si="23"/>
        <v>1</v>
      </c>
      <c r="F145" s="2805" t="e">
        <f>#REF!</f>
        <v>#REF!</v>
      </c>
      <c r="G145" s="21">
        <f t="shared" si="24"/>
        <v>1</v>
      </c>
      <c r="H145" s="665"/>
      <c r="I145" s="21">
        <f t="shared" si="25"/>
        <v>1</v>
      </c>
      <c r="J145" s="665"/>
      <c r="K145" s="21">
        <f t="shared" si="26"/>
        <v>1</v>
      </c>
      <c r="L145" s="665"/>
      <c r="M145" s="21">
        <f t="shared" si="27"/>
        <v>1</v>
      </c>
      <c r="N145" s="665"/>
      <c r="O145" s="21">
        <f t="shared" si="28"/>
        <v>1</v>
      </c>
      <c r="P145" s="2805" t="e">
        <f>#REF!</f>
        <v>#REF!</v>
      </c>
      <c r="Q145" s="21">
        <f t="shared" si="29"/>
        <v>1</v>
      </c>
      <c r="R145" s="661">
        <f t="shared" si="30"/>
        <v>0</v>
      </c>
      <c r="S145" s="315">
        <f t="shared" si="31"/>
        <v>0</v>
      </c>
    </row>
    <row r="146" spans="1:19">
      <c r="A146" s="663"/>
      <c r="B146" s="663"/>
      <c r="C146" s="21"/>
      <c r="D146" s="2805"/>
      <c r="E146" s="21">
        <f t="shared" si="23"/>
        <v>1</v>
      </c>
      <c r="F146" s="2805" t="e">
        <f>#REF!</f>
        <v>#REF!</v>
      </c>
      <c r="G146" s="21">
        <f t="shared" si="24"/>
        <v>1</v>
      </c>
      <c r="H146" s="665"/>
      <c r="I146" s="21">
        <f t="shared" si="25"/>
        <v>1</v>
      </c>
      <c r="J146" s="665"/>
      <c r="K146" s="21">
        <f t="shared" si="26"/>
        <v>1</v>
      </c>
      <c r="L146" s="665"/>
      <c r="M146" s="21">
        <f t="shared" si="27"/>
        <v>1</v>
      </c>
      <c r="N146" s="665"/>
      <c r="O146" s="21">
        <f t="shared" si="28"/>
        <v>1</v>
      </c>
      <c r="P146" s="2805" t="e">
        <f>#REF!</f>
        <v>#REF!</v>
      </c>
      <c r="Q146" s="21">
        <f t="shared" si="29"/>
        <v>1</v>
      </c>
      <c r="R146" s="661">
        <f t="shared" si="30"/>
        <v>0</v>
      </c>
      <c r="S146" s="315">
        <f t="shared" si="31"/>
        <v>0</v>
      </c>
    </row>
    <row r="147" spans="1:19">
      <c r="A147" s="663"/>
      <c r="B147" s="663"/>
      <c r="C147" s="21"/>
      <c r="D147" s="2805"/>
      <c r="E147" s="21">
        <f t="shared" si="23"/>
        <v>1</v>
      </c>
      <c r="F147" s="2805" t="e">
        <f>#REF!</f>
        <v>#REF!</v>
      </c>
      <c r="G147" s="21">
        <f t="shared" si="24"/>
        <v>1</v>
      </c>
      <c r="H147" s="665"/>
      <c r="I147" s="21">
        <f t="shared" si="25"/>
        <v>1</v>
      </c>
      <c r="J147" s="665"/>
      <c r="K147" s="21">
        <f t="shared" si="26"/>
        <v>1</v>
      </c>
      <c r="L147" s="665"/>
      <c r="M147" s="21">
        <f t="shared" si="27"/>
        <v>1</v>
      </c>
      <c r="N147" s="665"/>
      <c r="O147" s="21">
        <f t="shared" si="28"/>
        <v>1</v>
      </c>
      <c r="P147" s="2805" t="e">
        <f>#REF!</f>
        <v>#REF!</v>
      </c>
      <c r="Q147" s="21">
        <f t="shared" si="29"/>
        <v>1</v>
      </c>
      <c r="R147" s="661">
        <f t="shared" si="30"/>
        <v>0</v>
      </c>
      <c r="S147" s="315">
        <f t="shared" si="31"/>
        <v>0</v>
      </c>
    </row>
    <row r="148" spans="1:19">
      <c r="A148" s="663"/>
      <c r="B148" s="663"/>
      <c r="C148" s="21"/>
      <c r="D148" s="2805"/>
      <c r="E148" s="21">
        <f t="shared" si="23"/>
        <v>1</v>
      </c>
      <c r="F148" s="2805" t="e">
        <f>#REF!</f>
        <v>#REF!</v>
      </c>
      <c r="G148" s="21">
        <f t="shared" si="24"/>
        <v>1</v>
      </c>
      <c r="H148" s="665"/>
      <c r="I148" s="21">
        <f t="shared" si="25"/>
        <v>1</v>
      </c>
      <c r="J148" s="665"/>
      <c r="K148" s="21">
        <f t="shared" si="26"/>
        <v>1</v>
      </c>
      <c r="L148" s="665"/>
      <c r="M148" s="21">
        <f t="shared" si="27"/>
        <v>1</v>
      </c>
      <c r="N148" s="665"/>
      <c r="O148" s="21">
        <f t="shared" si="28"/>
        <v>1</v>
      </c>
      <c r="P148" s="2805" t="e">
        <f>#REF!</f>
        <v>#REF!</v>
      </c>
      <c r="Q148" s="21">
        <f t="shared" si="29"/>
        <v>1</v>
      </c>
      <c r="R148" s="661">
        <f t="shared" si="30"/>
        <v>0</v>
      </c>
      <c r="S148" s="315">
        <f t="shared" si="31"/>
        <v>0</v>
      </c>
    </row>
    <row r="149" spans="1:19">
      <c r="A149" s="663"/>
      <c r="B149" s="663"/>
      <c r="C149" s="21"/>
      <c r="D149" s="2805"/>
      <c r="E149" s="21">
        <f t="shared" si="23"/>
        <v>1</v>
      </c>
      <c r="F149" s="2805" t="e">
        <f>#REF!</f>
        <v>#REF!</v>
      </c>
      <c r="G149" s="21">
        <f t="shared" si="24"/>
        <v>1</v>
      </c>
      <c r="H149" s="665"/>
      <c r="I149" s="21">
        <f t="shared" si="25"/>
        <v>1</v>
      </c>
      <c r="J149" s="665"/>
      <c r="K149" s="21">
        <f t="shared" si="26"/>
        <v>1</v>
      </c>
      <c r="L149" s="665"/>
      <c r="M149" s="21">
        <f t="shared" si="27"/>
        <v>1</v>
      </c>
      <c r="N149" s="665"/>
      <c r="O149" s="21">
        <f t="shared" si="28"/>
        <v>1</v>
      </c>
      <c r="P149" s="2805" t="e">
        <f>#REF!</f>
        <v>#REF!</v>
      </c>
      <c r="Q149" s="21">
        <f t="shared" si="29"/>
        <v>1</v>
      </c>
      <c r="R149" s="661">
        <f t="shared" si="30"/>
        <v>0</v>
      </c>
      <c r="S149" s="315">
        <f t="shared" si="31"/>
        <v>0</v>
      </c>
    </row>
    <row r="150" spans="1:19">
      <c r="A150" s="663"/>
      <c r="B150" s="663"/>
      <c r="C150" s="21"/>
      <c r="D150" s="2805"/>
      <c r="E150" s="21">
        <f t="shared" si="23"/>
        <v>1</v>
      </c>
      <c r="F150" s="2805" t="e">
        <f>#REF!</f>
        <v>#REF!</v>
      </c>
      <c r="G150" s="21">
        <f t="shared" si="24"/>
        <v>1</v>
      </c>
      <c r="H150" s="665"/>
      <c r="I150" s="21">
        <f t="shared" si="25"/>
        <v>1</v>
      </c>
      <c r="J150" s="665"/>
      <c r="K150" s="21">
        <f t="shared" si="26"/>
        <v>1</v>
      </c>
      <c r="L150" s="665"/>
      <c r="M150" s="21">
        <f t="shared" si="27"/>
        <v>1</v>
      </c>
      <c r="N150" s="665"/>
      <c r="O150" s="21">
        <f t="shared" si="28"/>
        <v>1</v>
      </c>
      <c r="P150" s="2805" t="e">
        <f>#REF!</f>
        <v>#REF!</v>
      </c>
      <c r="Q150" s="21">
        <f t="shared" si="29"/>
        <v>1</v>
      </c>
      <c r="R150" s="661">
        <f t="shared" si="30"/>
        <v>0</v>
      </c>
      <c r="S150" s="315">
        <f t="shared" si="31"/>
        <v>0</v>
      </c>
    </row>
    <row r="151" spans="1:19">
      <c r="A151" s="663"/>
      <c r="B151" s="663"/>
      <c r="C151" s="21"/>
      <c r="D151" s="2805"/>
      <c r="E151" s="21">
        <f t="shared" si="23"/>
        <v>1</v>
      </c>
      <c r="F151" s="2805" t="e">
        <f>#REF!</f>
        <v>#REF!</v>
      </c>
      <c r="G151" s="21">
        <f t="shared" si="24"/>
        <v>1</v>
      </c>
      <c r="H151" s="665"/>
      <c r="I151" s="21">
        <f t="shared" si="25"/>
        <v>1</v>
      </c>
      <c r="J151" s="665"/>
      <c r="K151" s="21">
        <f t="shared" si="26"/>
        <v>1</v>
      </c>
      <c r="L151" s="665"/>
      <c r="M151" s="21">
        <f t="shared" si="27"/>
        <v>1</v>
      </c>
      <c r="N151" s="665"/>
      <c r="O151" s="21">
        <f t="shared" si="28"/>
        <v>1</v>
      </c>
      <c r="P151" s="2805" t="e">
        <f>#REF!</f>
        <v>#REF!</v>
      </c>
      <c r="Q151" s="21">
        <f t="shared" si="29"/>
        <v>1</v>
      </c>
      <c r="R151" s="661">
        <f t="shared" si="30"/>
        <v>0</v>
      </c>
      <c r="S151" s="315">
        <f t="shared" si="31"/>
        <v>0</v>
      </c>
    </row>
    <row r="152" spans="1:19">
      <c r="A152" s="663"/>
      <c r="B152" s="663"/>
      <c r="C152" s="21"/>
      <c r="D152" s="2805"/>
      <c r="E152" s="21">
        <f t="shared" si="23"/>
        <v>1</v>
      </c>
      <c r="F152" s="2805" t="e">
        <f>#REF!</f>
        <v>#REF!</v>
      </c>
      <c r="G152" s="21">
        <f t="shared" si="24"/>
        <v>1</v>
      </c>
      <c r="H152" s="665"/>
      <c r="I152" s="21">
        <f t="shared" si="25"/>
        <v>1</v>
      </c>
      <c r="J152" s="665"/>
      <c r="K152" s="21">
        <f t="shared" si="26"/>
        <v>1</v>
      </c>
      <c r="L152" s="665"/>
      <c r="M152" s="21">
        <f t="shared" si="27"/>
        <v>1</v>
      </c>
      <c r="N152" s="665"/>
      <c r="O152" s="21">
        <f t="shared" si="28"/>
        <v>1</v>
      </c>
      <c r="P152" s="2805" t="e">
        <f>#REF!</f>
        <v>#REF!</v>
      </c>
      <c r="Q152" s="21">
        <f t="shared" si="29"/>
        <v>1</v>
      </c>
      <c r="R152" s="661">
        <f t="shared" si="30"/>
        <v>0</v>
      </c>
      <c r="S152" s="315">
        <f t="shared" si="31"/>
        <v>0</v>
      </c>
    </row>
    <row r="153" spans="1:19">
      <c r="A153" s="663"/>
      <c r="B153" s="663"/>
      <c r="C153" s="21"/>
      <c r="D153" s="2805"/>
      <c r="E153" s="21">
        <f t="shared" si="23"/>
        <v>1</v>
      </c>
      <c r="F153" s="2805" t="e">
        <f>#REF!</f>
        <v>#REF!</v>
      </c>
      <c r="G153" s="21">
        <f t="shared" si="24"/>
        <v>1</v>
      </c>
      <c r="H153" s="665"/>
      <c r="I153" s="21">
        <f t="shared" si="25"/>
        <v>1</v>
      </c>
      <c r="J153" s="665"/>
      <c r="K153" s="21">
        <f t="shared" si="26"/>
        <v>1</v>
      </c>
      <c r="L153" s="665"/>
      <c r="M153" s="21">
        <f t="shared" si="27"/>
        <v>1</v>
      </c>
      <c r="N153" s="665"/>
      <c r="O153" s="21">
        <f t="shared" si="28"/>
        <v>1</v>
      </c>
      <c r="P153" s="2805" t="e">
        <f>#REF!</f>
        <v>#REF!</v>
      </c>
      <c r="Q153" s="21">
        <f t="shared" si="29"/>
        <v>1</v>
      </c>
      <c r="R153" s="661">
        <f t="shared" si="30"/>
        <v>0</v>
      </c>
      <c r="S153" s="315">
        <f t="shared" si="31"/>
        <v>0</v>
      </c>
    </row>
    <row r="154" spans="1:19">
      <c r="A154" s="663"/>
      <c r="B154" s="663"/>
      <c r="C154" s="21"/>
      <c r="D154" s="2805"/>
      <c r="E154" s="21">
        <f t="shared" ref="E154:E217" si="32">(SUMIF($5:$5,D154,$6:$6)-SUMIF($5:$5,$D$24,$6:$6)+100)/100</f>
        <v>1</v>
      </c>
      <c r="F154" s="2805"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5"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5"/>
      <c r="E155" s="21">
        <f t="shared" si="32"/>
        <v>1</v>
      </c>
      <c r="F155" s="2805" t="e">
        <f>#REF!</f>
        <v>#REF!</v>
      </c>
      <c r="G155" s="21">
        <f t="shared" si="33"/>
        <v>1</v>
      </c>
      <c r="H155" s="665"/>
      <c r="I155" s="21">
        <f t="shared" si="34"/>
        <v>1</v>
      </c>
      <c r="J155" s="665"/>
      <c r="K155" s="21">
        <f t="shared" si="35"/>
        <v>1</v>
      </c>
      <c r="L155" s="665"/>
      <c r="M155" s="21">
        <f t="shared" si="36"/>
        <v>1</v>
      </c>
      <c r="N155" s="665"/>
      <c r="O155" s="21">
        <f t="shared" si="37"/>
        <v>1</v>
      </c>
      <c r="P155" s="2805" t="e">
        <f>#REF!</f>
        <v>#REF!</v>
      </c>
      <c r="Q155" s="21">
        <f t="shared" si="38"/>
        <v>1</v>
      </c>
      <c r="R155" s="661">
        <f t="shared" si="39"/>
        <v>0</v>
      </c>
      <c r="S155" s="315">
        <f t="shared" si="31"/>
        <v>0</v>
      </c>
    </row>
    <row r="156" spans="1:19">
      <c r="A156" s="663"/>
      <c r="B156" s="663"/>
      <c r="C156" s="21"/>
      <c r="D156" s="2805"/>
      <c r="E156" s="21">
        <f t="shared" si="32"/>
        <v>1</v>
      </c>
      <c r="F156" s="2805" t="e">
        <f>#REF!</f>
        <v>#REF!</v>
      </c>
      <c r="G156" s="21">
        <f t="shared" si="33"/>
        <v>1</v>
      </c>
      <c r="H156" s="665"/>
      <c r="I156" s="21">
        <f t="shared" si="34"/>
        <v>1</v>
      </c>
      <c r="J156" s="665"/>
      <c r="K156" s="21">
        <f t="shared" si="35"/>
        <v>1</v>
      </c>
      <c r="L156" s="665"/>
      <c r="M156" s="21">
        <f t="shared" si="36"/>
        <v>1</v>
      </c>
      <c r="N156" s="665"/>
      <c r="O156" s="21">
        <f t="shared" si="37"/>
        <v>1</v>
      </c>
      <c r="P156" s="2805" t="e">
        <f>#REF!</f>
        <v>#REF!</v>
      </c>
      <c r="Q156" s="21">
        <f t="shared" si="38"/>
        <v>1</v>
      </c>
      <c r="R156" s="661">
        <f t="shared" si="39"/>
        <v>0</v>
      </c>
      <c r="S156" s="315">
        <f t="shared" si="31"/>
        <v>0</v>
      </c>
    </row>
    <row r="157" spans="1:19">
      <c r="A157" s="663"/>
      <c r="B157" s="663"/>
      <c r="C157" s="21"/>
      <c r="D157" s="2805"/>
      <c r="E157" s="21">
        <f t="shared" si="32"/>
        <v>1</v>
      </c>
      <c r="F157" s="2805" t="e">
        <f>#REF!</f>
        <v>#REF!</v>
      </c>
      <c r="G157" s="21">
        <f t="shared" si="33"/>
        <v>1</v>
      </c>
      <c r="H157" s="665"/>
      <c r="I157" s="21">
        <f t="shared" si="34"/>
        <v>1</v>
      </c>
      <c r="J157" s="665"/>
      <c r="K157" s="21">
        <f t="shared" si="35"/>
        <v>1</v>
      </c>
      <c r="L157" s="665"/>
      <c r="M157" s="21">
        <f t="shared" si="36"/>
        <v>1</v>
      </c>
      <c r="N157" s="665"/>
      <c r="O157" s="21">
        <f t="shared" si="37"/>
        <v>1</v>
      </c>
      <c r="P157" s="2805" t="e">
        <f>#REF!</f>
        <v>#REF!</v>
      </c>
      <c r="Q157" s="21">
        <f t="shared" si="38"/>
        <v>1</v>
      </c>
      <c r="R157" s="661">
        <f t="shared" si="39"/>
        <v>0</v>
      </c>
      <c r="S157" s="315">
        <f t="shared" si="31"/>
        <v>0</v>
      </c>
    </row>
    <row r="158" spans="1:19">
      <c r="A158" s="663"/>
      <c r="B158" s="663"/>
      <c r="C158" s="21"/>
      <c r="D158" s="2805"/>
      <c r="E158" s="21">
        <f t="shared" si="32"/>
        <v>1</v>
      </c>
      <c r="F158" s="2805" t="e">
        <f>#REF!</f>
        <v>#REF!</v>
      </c>
      <c r="G158" s="21">
        <f t="shared" si="33"/>
        <v>1</v>
      </c>
      <c r="H158" s="665"/>
      <c r="I158" s="21">
        <f t="shared" si="34"/>
        <v>1</v>
      </c>
      <c r="J158" s="665"/>
      <c r="K158" s="21">
        <f t="shared" si="35"/>
        <v>1</v>
      </c>
      <c r="L158" s="665"/>
      <c r="M158" s="21">
        <f t="shared" si="36"/>
        <v>1</v>
      </c>
      <c r="N158" s="665"/>
      <c r="O158" s="21">
        <f t="shared" si="37"/>
        <v>1</v>
      </c>
      <c r="P158" s="2805" t="e">
        <f>#REF!</f>
        <v>#REF!</v>
      </c>
      <c r="Q158" s="21">
        <f t="shared" si="38"/>
        <v>1</v>
      </c>
      <c r="R158" s="661">
        <f t="shared" si="39"/>
        <v>0</v>
      </c>
      <c r="S158" s="315">
        <f t="shared" si="31"/>
        <v>0</v>
      </c>
    </row>
    <row r="159" spans="1:19">
      <c r="A159" s="663"/>
      <c r="B159" s="663"/>
      <c r="C159" s="21"/>
      <c r="D159" s="2805"/>
      <c r="E159" s="21">
        <f t="shared" si="32"/>
        <v>1</v>
      </c>
      <c r="F159" s="2805" t="e">
        <f>#REF!</f>
        <v>#REF!</v>
      </c>
      <c r="G159" s="21">
        <f t="shared" si="33"/>
        <v>1</v>
      </c>
      <c r="H159" s="665"/>
      <c r="I159" s="21">
        <f t="shared" si="34"/>
        <v>1</v>
      </c>
      <c r="J159" s="665"/>
      <c r="K159" s="21">
        <f t="shared" si="35"/>
        <v>1</v>
      </c>
      <c r="L159" s="665"/>
      <c r="M159" s="21">
        <f t="shared" si="36"/>
        <v>1</v>
      </c>
      <c r="N159" s="665"/>
      <c r="O159" s="21">
        <f t="shared" si="37"/>
        <v>1</v>
      </c>
      <c r="P159" s="2805" t="e">
        <f>#REF!</f>
        <v>#REF!</v>
      </c>
      <c r="Q159" s="21">
        <f t="shared" si="38"/>
        <v>1</v>
      </c>
      <c r="R159" s="661">
        <f t="shared" si="39"/>
        <v>0</v>
      </c>
      <c r="S159" s="315">
        <f t="shared" si="31"/>
        <v>0</v>
      </c>
    </row>
    <row r="160" spans="1:19">
      <c r="A160" s="663"/>
      <c r="B160" s="663"/>
      <c r="C160" s="21"/>
      <c r="D160" s="2805"/>
      <c r="E160" s="21">
        <f t="shared" si="32"/>
        <v>1</v>
      </c>
      <c r="F160" s="2805" t="e">
        <f>#REF!</f>
        <v>#REF!</v>
      </c>
      <c r="G160" s="21">
        <f t="shared" si="33"/>
        <v>1</v>
      </c>
      <c r="H160" s="665"/>
      <c r="I160" s="21">
        <f t="shared" si="34"/>
        <v>1</v>
      </c>
      <c r="J160" s="665"/>
      <c r="K160" s="21">
        <f t="shared" si="35"/>
        <v>1</v>
      </c>
      <c r="L160" s="665"/>
      <c r="M160" s="21">
        <f t="shared" si="36"/>
        <v>1</v>
      </c>
      <c r="N160" s="665"/>
      <c r="O160" s="21">
        <f t="shared" si="37"/>
        <v>1</v>
      </c>
      <c r="P160" s="2805" t="e">
        <f>#REF!</f>
        <v>#REF!</v>
      </c>
      <c r="Q160" s="21">
        <f t="shared" si="38"/>
        <v>1</v>
      </c>
      <c r="R160" s="661">
        <f t="shared" si="39"/>
        <v>0</v>
      </c>
      <c r="S160" s="315">
        <f t="shared" si="31"/>
        <v>0</v>
      </c>
    </row>
    <row r="161" spans="1:19">
      <c r="A161" s="663"/>
      <c r="B161" s="663"/>
      <c r="C161" s="21"/>
      <c r="D161" s="2805"/>
      <c r="E161" s="21">
        <f t="shared" si="32"/>
        <v>1</v>
      </c>
      <c r="F161" s="2805" t="e">
        <f>#REF!</f>
        <v>#REF!</v>
      </c>
      <c r="G161" s="21">
        <f t="shared" si="33"/>
        <v>1</v>
      </c>
      <c r="H161" s="665"/>
      <c r="I161" s="21">
        <f t="shared" si="34"/>
        <v>1</v>
      </c>
      <c r="J161" s="665"/>
      <c r="K161" s="21">
        <f t="shared" si="35"/>
        <v>1</v>
      </c>
      <c r="L161" s="665"/>
      <c r="M161" s="21">
        <f t="shared" si="36"/>
        <v>1</v>
      </c>
      <c r="N161" s="665"/>
      <c r="O161" s="21">
        <f t="shared" si="37"/>
        <v>1</v>
      </c>
      <c r="P161" s="2805" t="e">
        <f>#REF!</f>
        <v>#REF!</v>
      </c>
      <c r="Q161" s="21">
        <f t="shared" si="38"/>
        <v>1</v>
      </c>
      <c r="R161" s="661">
        <f t="shared" si="39"/>
        <v>0</v>
      </c>
      <c r="S161" s="315">
        <f t="shared" si="31"/>
        <v>0</v>
      </c>
    </row>
    <row r="162" spans="1:19">
      <c r="A162" s="663"/>
      <c r="B162" s="663"/>
      <c r="C162" s="21"/>
      <c r="D162" s="2805"/>
      <c r="E162" s="21">
        <f t="shared" si="32"/>
        <v>1</v>
      </c>
      <c r="F162" s="2805" t="e">
        <f>#REF!</f>
        <v>#REF!</v>
      </c>
      <c r="G162" s="21">
        <f t="shared" si="33"/>
        <v>1</v>
      </c>
      <c r="H162" s="665"/>
      <c r="I162" s="21">
        <f t="shared" si="34"/>
        <v>1</v>
      </c>
      <c r="J162" s="665"/>
      <c r="K162" s="21">
        <f t="shared" si="35"/>
        <v>1</v>
      </c>
      <c r="L162" s="665"/>
      <c r="M162" s="21">
        <f t="shared" si="36"/>
        <v>1</v>
      </c>
      <c r="N162" s="665"/>
      <c r="O162" s="21">
        <f t="shared" si="37"/>
        <v>1</v>
      </c>
      <c r="P162" s="2805" t="e">
        <f>#REF!</f>
        <v>#REF!</v>
      </c>
      <c r="Q162" s="21">
        <f t="shared" si="38"/>
        <v>1</v>
      </c>
      <c r="R162" s="661">
        <f t="shared" si="39"/>
        <v>0</v>
      </c>
      <c r="S162" s="315">
        <f t="shared" si="31"/>
        <v>0</v>
      </c>
    </row>
    <row r="163" spans="1:19">
      <c r="A163" s="663"/>
      <c r="B163" s="663"/>
      <c r="C163" s="21"/>
      <c r="D163" s="2805"/>
      <c r="E163" s="21">
        <f t="shared" si="32"/>
        <v>1</v>
      </c>
      <c r="F163" s="2805" t="e">
        <f>#REF!</f>
        <v>#REF!</v>
      </c>
      <c r="G163" s="21">
        <f t="shared" si="33"/>
        <v>1</v>
      </c>
      <c r="H163" s="665"/>
      <c r="I163" s="21">
        <f t="shared" si="34"/>
        <v>1</v>
      </c>
      <c r="J163" s="665"/>
      <c r="K163" s="21">
        <f t="shared" si="35"/>
        <v>1</v>
      </c>
      <c r="L163" s="665"/>
      <c r="M163" s="21">
        <f t="shared" si="36"/>
        <v>1</v>
      </c>
      <c r="N163" s="665"/>
      <c r="O163" s="21">
        <f t="shared" si="37"/>
        <v>1</v>
      </c>
      <c r="P163" s="2805" t="e">
        <f>#REF!</f>
        <v>#REF!</v>
      </c>
      <c r="Q163" s="21">
        <f t="shared" si="38"/>
        <v>1</v>
      </c>
      <c r="R163" s="661">
        <f t="shared" si="39"/>
        <v>0</v>
      </c>
      <c r="S163" s="315">
        <f t="shared" si="31"/>
        <v>0</v>
      </c>
    </row>
    <row r="164" spans="1:19">
      <c r="A164" s="663"/>
      <c r="B164" s="663"/>
      <c r="C164" s="21"/>
      <c r="D164" s="2805"/>
      <c r="E164" s="21">
        <f t="shared" si="32"/>
        <v>1</v>
      </c>
      <c r="F164" s="2805" t="e">
        <f>#REF!</f>
        <v>#REF!</v>
      </c>
      <c r="G164" s="21">
        <f t="shared" si="33"/>
        <v>1</v>
      </c>
      <c r="H164" s="665"/>
      <c r="I164" s="21">
        <f t="shared" si="34"/>
        <v>1</v>
      </c>
      <c r="J164" s="665"/>
      <c r="K164" s="21">
        <f t="shared" si="35"/>
        <v>1</v>
      </c>
      <c r="L164" s="665"/>
      <c r="M164" s="21">
        <f t="shared" si="36"/>
        <v>1</v>
      </c>
      <c r="N164" s="665"/>
      <c r="O164" s="21">
        <f t="shared" si="37"/>
        <v>1</v>
      </c>
      <c r="P164" s="2805" t="e">
        <f>#REF!</f>
        <v>#REF!</v>
      </c>
      <c r="Q164" s="21">
        <f t="shared" si="38"/>
        <v>1</v>
      </c>
      <c r="R164" s="661">
        <f t="shared" si="39"/>
        <v>0</v>
      </c>
      <c r="S164" s="315">
        <f t="shared" si="31"/>
        <v>0</v>
      </c>
    </row>
    <row r="165" spans="1:19">
      <c r="A165" s="663"/>
      <c r="B165" s="663"/>
      <c r="C165" s="21"/>
      <c r="D165" s="2805"/>
      <c r="E165" s="21">
        <f t="shared" si="32"/>
        <v>1</v>
      </c>
      <c r="F165" s="2805" t="e">
        <f>#REF!</f>
        <v>#REF!</v>
      </c>
      <c r="G165" s="21">
        <f t="shared" si="33"/>
        <v>1</v>
      </c>
      <c r="H165" s="665"/>
      <c r="I165" s="21">
        <f t="shared" si="34"/>
        <v>1</v>
      </c>
      <c r="J165" s="665"/>
      <c r="K165" s="21">
        <f t="shared" si="35"/>
        <v>1</v>
      </c>
      <c r="L165" s="665"/>
      <c r="M165" s="21">
        <f t="shared" si="36"/>
        <v>1</v>
      </c>
      <c r="N165" s="665"/>
      <c r="O165" s="21">
        <f t="shared" si="37"/>
        <v>1</v>
      </c>
      <c r="P165" s="2805" t="e">
        <f>#REF!</f>
        <v>#REF!</v>
      </c>
      <c r="Q165" s="21">
        <f t="shared" si="38"/>
        <v>1</v>
      </c>
      <c r="R165" s="661">
        <f t="shared" si="39"/>
        <v>0</v>
      </c>
      <c r="S165" s="315">
        <f t="shared" si="31"/>
        <v>0</v>
      </c>
    </row>
    <row r="166" spans="1:19">
      <c r="A166" s="663"/>
      <c r="B166" s="663"/>
      <c r="C166" s="21"/>
      <c r="D166" s="2805"/>
      <c r="E166" s="21">
        <f t="shared" si="32"/>
        <v>1</v>
      </c>
      <c r="F166" s="2805" t="e">
        <f>#REF!</f>
        <v>#REF!</v>
      </c>
      <c r="G166" s="21">
        <f t="shared" si="33"/>
        <v>1</v>
      </c>
      <c r="H166" s="665"/>
      <c r="I166" s="21">
        <f t="shared" si="34"/>
        <v>1</v>
      </c>
      <c r="J166" s="665"/>
      <c r="K166" s="21">
        <f t="shared" si="35"/>
        <v>1</v>
      </c>
      <c r="L166" s="665"/>
      <c r="M166" s="21">
        <f t="shared" si="36"/>
        <v>1</v>
      </c>
      <c r="N166" s="665"/>
      <c r="O166" s="21">
        <f t="shared" si="37"/>
        <v>1</v>
      </c>
      <c r="P166" s="2805" t="e">
        <f>#REF!</f>
        <v>#REF!</v>
      </c>
      <c r="Q166" s="21">
        <f t="shared" si="38"/>
        <v>1</v>
      </c>
      <c r="R166" s="661">
        <f t="shared" si="39"/>
        <v>0</v>
      </c>
      <c r="S166" s="315">
        <f t="shared" si="31"/>
        <v>0</v>
      </c>
    </row>
    <row r="167" spans="1:19">
      <c r="A167" s="663"/>
      <c r="B167" s="663"/>
      <c r="C167" s="21"/>
      <c r="D167" s="2805"/>
      <c r="E167" s="21">
        <f t="shared" si="32"/>
        <v>1</v>
      </c>
      <c r="F167" s="2805" t="e">
        <f>#REF!</f>
        <v>#REF!</v>
      </c>
      <c r="G167" s="21">
        <f t="shared" si="33"/>
        <v>1</v>
      </c>
      <c r="H167" s="665"/>
      <c r="I167" s="21">
        <f t="shared" si="34"/>
        <v>1</v>
      </c>
      <c r="J167" s="665"/>
      <c r="K167" s="21">
        <f t="shared" si="35"/>
        <v>1</v>
      </c>
      <c r="L167" s="665"/>
      <c r="M167" s="21">
        <f t="shared" si="36"/>
        <v>1</v>
      </c>
      <c r="N167" s="665"/>
      <c r="O167" s="21">
        <f t="shared" si="37"/>
        <v>1</v>
      </c>
      <c r="P167" s="2805" t="e">
        <f>#REF!</f>
        <v>#REF!</v>
      </c>
      <c r="Q167" s="21">
        <f t="shared" si="38"/>
        <v>1</v>
      </c>
      <c r="R167" s="661">
        <f t="shared" si="39"/>
        <v>0</v>
      </c>
      <c r="S167" s="315">
        <f t="shared" si="31"/>
        <v>0</v>
      </c>
    </row>
    <row r="168" spans="1:19">
      <c r="A168" s="663"/>
      <c r="B168" s="663"/>
      <c r="C168" s="21"/>
      <c r="D168" s="2805"/>
      <c r="E168" s="21">
        <f t="shared" si="32"/>
        <v>1</v>
      </c>
      <c r="F168" s="2805" t="e">
        <f>#REF!</f>
        <v>#REF!</v>
      </c>
      <c r="G168" s="21">
        <f t="shared" si="33"/>
        <v>1</v>
      </c>
      <c r="H168" s="665"/>
      <c r="I168" s="21">
        <f t="shared" si="34"/>
        <v>1</v>
      </c>
      <c r="J168" s="665"/>
      <c r="K168" s="21">
        <f t="shared" si="35"/>
        <v>1</v>
      </c>
      <c r="L168" s="665"/>
      <c r="M168" s="21">
        <f t="shared" si="36"/>
        <v>1</v>
      </c>
      <c r="N168" s="665"/>
      <c r="O168" s="21">
        <f t="shared" si="37"/>
        <v>1</v>
      </c>
      <c r="P168" s="2805" t="e">
        <f>#REF!</f>
        <v>#REF!</v>
      </c>
      <c r="Q168" s="21">
        <f t="shared" si="38"/>
        <v>1</v>
      </c>
      <c r="R168" s="661">
        <f t="shared" si="39"/>
        <v>0</v>
      </c>
      <c r="S168" s="315">
        <f t="shared" si="31"/>
        <v>0</v>
      </c>
    </row>
    <row r="169" spans="1:19">
      <c r="A169" s="663"/>
      <c r="B169" s="663"/>
      <c r="C169" s="21"/>
      <c r="D169" s="2805"/>
      <c r="E169" s="21">
        <f t="shared" si="32"/>
        <v>1</v>
      </c>
      <c r="F169" s="2805" t="e">
        <f>#REF!</f>
        <v>#REF!</v>
      </c>
      <c r="G169" s="21">
        <f t="shared" si="33"/>
        <v>1</v>
      </c>
      <c r="H169" s="665"/>
      <c r="I169" s="21">
        <f t="shared" si="34"/>
        <v>1</v>
      </c>
      <c r="J169" s="665"/>
      <c r="K169" s="21">
        <f t="shared" si="35"/>
        <v>1</v>
      </c>
      <c r="L169" s="665"/>
      <c r="M169" s="21">
        <f t="shared" si="36"/>
        <v>1</v>
      </c>
      <c r="N169" s="665"/>
      <c r="O169" s="21">
        <f t="shared" si="37"/>
        <v>1</v>
      </c>
      <c r="P169" s="2805" t="e">
        <f>#REF!</f>
        <v>#REF!</v>
      </c>
      <c r="Q169" s="21">
        <f t="shared" si="38"/>
        <v>1</v>
      </c>
      <c r="R169" s="661">
        <f t="shared" si="39"/>
        <v>0</v>
      </c>
      <c r="S169" s="315">
        <f t="shared" si="31"/>
        <v>0</v>
      </c>
    </row>
    <row r="170" spans="1:19">
      <c r="A170" s="663"/>
      <c r="B170" s="663"/>
      <c r="C170" s="21"/>
      <c r="D170" s="2805"/>
      <c r="E170" s="21">
        <f t="shared" si="32"/>
        <v>1</v>
      </c>
      <c r="F170" s="2805" t="e">
        <f>#REF!</f>
        <v>#REF!</v>
      </c>
      <c r="G170" s="21">
        <f t="shared" si="33"/>
        <v>1</v>
      </c>
      <c r="H170" s="665"/>
      <c r="I170" s="21">
        <f t="shared" si="34"/>
        <v>1</v>
      </c>
      <c r="J170" s="665"/>
      <c r="K170" s="21">
        <f t="shared" si="35"/>
        <v>1</v>
      </c>
      <c r="L170" s="665"/>
      <c r="M170" s="21">
        <f t="shared" si="36"/>
        <v>1</v>
      </c>
      <c r="N170" s="665"/>
      <c r="O170" s="21">
        <f t="shared" si="37"/>
        <v>1</v>
      </c>
      <c r="P170" s="2805" t="e">
        <f>#REF!</f>
        <v>#REF!</v>
      </c>
      <c r="Q170" s="21">
        <f t="shared" si="38"/>
        <v>1</v>
      </c>
      <c r="R170" s="661">
        <f t="shared" si="39"/>
        <v>0</v>
      </c>
      <c r="S170" s="315">
        <f t="shared" si="31"/>
        <v>0</v>
      </c>
    </row>
    <row r="171" spans="1:19">
      <c r="A171" s="663"/>
      <c r="B171" s="663"/>
      <c r="C171" s="21"/>
      <c r="D171" s="2805"/>
      <c r="E171" s="21">
        <f t="shared" si="32"/>
        <v>1</v>
      </c>
      <c r="F171" s="2805" t="e">
        <f>#REF!</f>
        <v>#REF!</v>
      </c>
      <c r="G171" s="21">
        <f t="shared" si="33"/>
        <v>1</v>
      </c>
      <c r="H171" s="665"/>
      <c r="I171" s="21">
        <f t="shared" si="34"/>
        <v>1</v>
      </c>
      <c r="J171" s="665"/>
      <c r="K171" s="21">
        <f t="shared" si="35"/>
        <v>1</v>
      </c>
      <c r="L171" s="665"/>
      <c r="M171" s="21">
        <f t="shared" si="36"/>
        <v>1</v>
      </c>
      <c r="N171" s="665"/>
      <c r="O171" s="21">
        <f t="shared" si="37"/>
        <v>1</v>
      </c>
      <c r="P171" s="2805" t="e">
        <f>#REF!</f>
        <v>#REF!</v>
      </c>
      <c r="Q171" s="21">
        <f t="shared" si="38"/>
        <v>1</v>
      </c>
      <c r="R171" s="661">
        <f t="shared" si="39"/>
        <v>0</v>
      </c>
      <c r="S171" s="315">
        <f t="shared" si="31"/>
        <v>0</v>
      </c>
    </row>
    <row r="172" spans="1:19">
      <c r="A172" s="663"/>
      <c r="B172" s="663"/>
      <c r="C172" s="21"/>
      <c r="D172" s="2805"/>
      <c r="E172" s="21">
        <f t="shared" si="32"/>
        <v>1</v>
      </c>
      <c r="F172" s="2805" t="e">
        <f>#REF!</f>
        <v>#REF!</v>
      </c>
      <c r="G172" s="21">
        <f t="shared" si="33"/>
        <v>1</v>
      </c>
      <c r="H172" s="665"/>
      <c r="I172" s="21">
        <f t="shared" si="34"/>
        <v>1</v>
      </c>
      <c r="J172" s="665"/>
      <c r="K172" s="21">
        <f t="shared" si="35"/>
        <v>1</v>
      </c>
      <c r="L172" s="665"/>
      <c r="M172" s="21">
        <f t="shared" si="36"/>
        <v>1</v>
      </c>
      <c r="N172" s="665"/>
      <c r="O172" s="21">
        <f t="shared" si="37"/>
        <v>1</v>
      </c>
      <c r="P172" s="2805" t="e">
        <f>#REF!</f>
        <v>#REF!</v>
      </c>
      <c r="Q172" s="21">
        <f t="shared" si="38"/>
        <v>1</v>
      </c>
      <c r="R172" s="661">
        <f t="shared" si="39"/>
        <v>0</v>
      </c>
      <c r="S172" s="315">
        <f t="shared" si="31"/>
        <v>0</v>
      </c>
    </row>
    <row r="173" spans="1:19">
      <c r="A173" s="663"/>
      <c r="B173" s="663"/>
      <c r="C173" s="21"/>
      <c r="D173" s="2805"/>
      <c r="E173" s="21">
        <f t="shared" si="32"/>
        <v>1</v>
      </c>
      <c r="F173" s="2805" t="e">
        <f>#REF!</f>
        <v>#REF!</v>
      </c>
      <c r="G173" s="21">
        <f t="shared" si="33"/>
        <v>1</v>
      </c>
      <c r="H173" s="665"/>
      <c r="I173" s="21">
        <f t="shared" si="34"/>
        <v>1</v>
      </c>
      <c r="J173" s="665"/>
      <c r="K173" s="21">
        <f t="shared" si="35"/>
        <v>1</v>
      </c>
      <c r="L173" s="665"/>
      <c r="M173" s="21">
        <f t="shared" si="36"/>
        <v>1</v>
      </c>
      <c r="N173" s="665"/>
      <c r="O173" s="21">
        <f t="shared" si="37"/>
        <v>1</v>
      </c>
      <c r="P173" s="2805" t="e">
        <f>#REF!</f>
        <v>#REF!</v>
      </c>
      <c r="Q173" s="21">
        <f t="shared" si="38"/>
        <v>1</v>
      </c>
      <c r="R173" s="661">
        <f t="shared" si="39"/>
        <v>0</v>
      </c>
      <c r="S173" s="315">
        <f t="shared" si="31"/>
        <v>0</v>
      </c>
    </row>
    <row r="174" spans="1:19">
      <c r="A174" s="663"/>
      <c r="B174" s="663"/>
      <c r="C174" s="21"/>
      <c r="D174" s="2805"/>
      <c r="E174" s="21">
        <f t="shared" si="32"/>
        <v>1</v>
      </c>
      <c r="F174" s="2805" t="e">
        <f>#REF!</f>
        <v>#REF!</v>
      </c>
      <c r="G174" s="21">
        <f t="shared" si="33"/>
        <v>1</v>
      </c>
      <c r="H174" s="665"/>
      <c r="I174" s="21">
        <f t="shared" si="34"/>
        <v>1</v>
      </c>
      <c r="J174" s="665"/>
      <c r="K174" s="21">
        <f t="shared" si="35"/>
        <v>1</v>
      </c>
      <c r="L174" s="665"/>
      <c r="M174" s="21">
        <f t="shared" si="36"/>
        <v>1</v>
      </c>
      <c r="N174" s="665"/>
      <c r="O174" s="21">
        <f t="shared" si="37"/>
        <v>1</v>
      </c>
      <c r="P174" s="2805" t="e">
        <f>#REF!</f>
        <v>#REF!</v>
      </c>
      <c r="Q174" s="21">
        <f t="shared" si="38"/>
        <v>1</v>
      </c>
      <c r="R174" s="661">
        <f t="shared" si="39"/>
        <v>0</v>
      </c>
      <c r="S174" s="315">
        <f t="shared" si="31"/>
        <v>0</v>
      </c>
    </row>
    <row r="175" spans="1:19">
      <c r="A175" s="663"/>
      <c r="B175" s="663"/>
      <c r="C175" s="21"/>
      <c r="D175" s="2805"/>
      <c r="E175" s="21">
        <f t="shared" si="32"/>
        <v>1</v>
      </c>
      <c r="F175" s="2805" t="e">
        <f>#REF!</f>
        <v>#REF!</v>
      </c>
      <c r="G175" s="21">
        <f t="shared" si="33"/>
        <v>1</v>
      </c>
      <c r="H175" s="665"/>
      <c r="I175" s="21">
        <f t="shared" si="34"/>
        <v>1</v>
      </c>
      <c r="J175" s="665"/>
      <c r="K175" s="21">
        <f t="shared" si="35"/>
        <v>1</v>
      </c>
      <c r="L175" s="665"/>
      <c r="M175" s="21">
        <f t="shared" si="36"/>
        <v>1</v>
      </c>
      <c r="N175" s="665"/>
      <c r="O175" s="21">
        <f t="shared" si="37"/>
        <v>1</v>
      </c>
      <c r="P175" s="2805" t="e">
        <f>#REF!</f>
        <v>#REF!</v>
      </c>
      <c r="Q175" s="21">
        <f t="shared" si="38"/>
        <v>1</v>
      </c>
      <c r="R175" s="661">
        <f t="shared" si="39"/>
        <v>0</v>
      </c>
      <c r="S175" s="315">
        <f t="shared" si="31"/>
        <v>0</v>
      </c>
    </row>
    <row r="176" spans="1:19">
      <c r="A176" s="663"/>
      <c r="B176" s="663"/>
      <c r="C176" s="21"/>
      <c r="D176" s="2805"/>
      <c r="E176" s="21">
        <f t="shared" si="32"/>
        <v>1</v>
      </c>
      <c r="F176" s="2805" t="e">
        <f>#REF!</f>
        <v>#REF!</v>
      </c>
      <c r="G176" s="21">
        <f t="shared" si="33"/>
        <v>1</v>
      </c>
      <c r="H176" s="665"/>
      <c r="I176" s="21">
        <f t="shared" si="34"/>
        <v>1</v>
      </c>
      <c r="J176" s="665"/>
      <c r="K176" s="21">
        <f t="shared" si="35"/>
        <v>1</v>
      </c>
      <c r="L176" s="665"/>
      <c r="M176" s="21">
        <f t="shared" si="36"/>
        <v>1</v>
      </c>
      <c r="N176" s="665"/>
      <c r="O176" s="21">
        <f t="shared" si="37"/>
        <v>1</v>
      </c>
      <c r="P176" s="2805" t="e">
        <f>#REF!</f>
        <v>#REF!</v>
      </c>
      <c r="Q176" s="21">
        <f t="shared" si="38"/>
        <v>1</v>
      </c>
      <c r="R176" s="661">
        <f t="shared" si="39"/>
        <v>0</v>
      </c>
      <c r="S176" s="315">
        <f t="shared" si="31"/>
        <v>0</v>
      </c>
    </row>
    <row r="177" spans="1:19">
      <c r="A177" s="663"/>
      <c r="B177" s="663"/>
      <c r="C177" s="21"/>
      <c r="D177" s="2805"/>
      <c r="E177" s="21">
        <f t="shared" si="32"/>
        <v>1</v>
      </c>
      <c r="F177" s="2805" t="e">
        <f>#REF!</f>
        <v>#REF!</v>
      </c>
      <c r="G177" s="21">
        <f t="shared" si="33"/>
        <v>1</v>
      </c>
      <c r="H177" s="665"/>
      <c r="I177" s="21">
        <f t="shared" si="34"/>
        <v>1</v>
      </c>
      <c r="J177" s="665"/>
      <c r="K177" s="21">
        <f t="shared" si="35"/>
        <v>1</v>
      </c>
      <c r="L177" s="665"/>
      <c r="M177" s="21">
        <f t="shared" si="36"/>
        <v>1</v>
      </c>
      <c r="N177" s="665"/>
      <c r="O177" s="21">
        <f t="shared" si="37"/>
        <v>1</v>
      </c>
      <c r="P177" s="2805" t="e">
        <f>#REF!</f>
        <v>#REF!</v>
      </c>
      <c r="Q177" s="21">
        <f t="shared" si="38"/>
        <v>1</v>
      </c>
      <c r="R177" s="661">
        <f t="shared" si="39"/>
        <v>0</v>
      </c>
      <c r="S177" s="315">
        <f t="shared" si="31"/>
        <v>0</v>
      </c>
    </row>
    <row r="178" spans="1:19">
      <c r="A178" s="663"/>
      <c r="B178" s="663"/>
      <c r="C178" s="21"/>
      <c r="D178" s="2805"/>
      <c r="E178" s="21">
        <f t="shared" si="32"/>
        <v>1</v>
      </c>
      <c r="F178" s="2805" t="e">
        <f>#REF!</f>
        <v>#REF!</v>
      </c>
      <c r="G178" s="21">
        <f t="shared" si="33"/>
        <v>1</v>
      </c>
      <c r="H178" s="665"/>
      <c r="I178" s="21">
        <f t="shared" si="34"/>
        <v>1</v>
      </c>
      <c r="J178" s="665"/>
      <c r="K178" s="21">
        <f t="shared" si="35"/>
        <v>1</v>
      </c>
      <c r="L178" s="665"/>
      <c r="M178" s="21">
        <f t="shared" si="36"/>
        <v>1</v>
      </c>
      <c r="N178" s="665"/>
      <c r="O178" s="21">
        <f t="shared" si="37"/>
        <v>1</v>
      </c>
      <c r="P178" s="2805" t="e">
        <f>#REF!</f>
        <v>#REF!</v>
      </c>
      <c r="Q178" s="21">
        <f t="shared" si="38"/>
        <v>1</v>
      </c>
      <c r="R178" s="661">
        <f t="shared" si="39"/>
        <v>0</v>
      </c>
      <c r="S178" s="315">
        <f t="shared" si="31"/>
        <v>0</v>
      </c>
    </row>
    <row r="179" spans="1:19">
      <c r="A179" s="663"/>
      <c r="B179" s="663"/>
      <c r="C179" s="21"/>
      <c r="D179" s="2805"/>
      <c r="E179" s="21">
        <f t="shared" si="32"/>
        <v>1</v>
      </c>
      <c r="F179" s="2805" t="e">
        <f>#REF!</f>
        <v>#REF!</v>
      </c>
      <c r="G179" s="21">
        <f t="shared" si="33"/>
        <v>1</v>
      </c>
      <c r="H179" s="665"/>
      <c r="I179" s="21">
        <f t="shared" si="34"/>
        <v>1</v>
      </c>
      <c r="J179" s="665"/>
      <c r="K179" s="21">
        <f t="shared" si="35"/>
        <v>1</v>
      </c>
      <c r="L179" s="665"/>
      <c r="M179" s="21">
        <f t="shared" si="36"/>
        <v>1</v>
      </c>
      <c r="N179" s="665"/>
      <c r="O179" s="21">
        <f t="shared" si="37"/>
        <v>1</v>
      </c>
      <c r="P179" s="2805" t="e">
        <f>#REF!</f>
        <v>#REF!</v>
      </c>
      <c r="Q179" s="21">
        <f t="shared" si="38"/>
        <v>1</v>
      </c>
      <c r="R179" s="661">
        <f t="shared" si="39"/>
        <v>0</v>
      </c>
      <c r="S179" s="315">
        <f t="shared" si="31"/>
        <v>0</v>
      </c>
    </row>
    <row r="180" spans="1:19">
      <c r="A180" s="663"/>
      <c r="B180" s="663"/>
      <c r="C180" s="21"/>
      <c r="D180" s="2805"/>
      <c r="E180" s="21">
        <f t="shared" si="32"/>
        <v>1</v>
      </c>
      <c r="F180" s="2805" t="e">
        <f>#REF!</f>
        <v>#REF!</v>
      </c>
      <c r="G180" s="21">
        <f t="shared" si="33"/>
        <v>1</v>
      </c>
      <c r="H180" s="665"/>
      <c r="I180" s="21">
        <f t="shared" si="34"/>
        <v>1</v>
      </c>
      <c r="J180" s="665"/>
      <c r="K180" s="21">
        <f t="shared" si="35"/>
        <v>1</v>
      </c>
      <c r="L180" s="665"/>
      <c r="M180" s="21">
        <f t="shared" si="36"/>
        <v>1</v>
      </c>
      <c r="N180" s="665"/>
      <c r="O180" s="21">
        <f t="shared" si="37"/>
        <v>1</v>
      </c>
      <c r="P180" s="2805" t="e">
        <f>#REF!</f>
        <v>#REF!</v>
      </c>
      <c r="Q180" s="21">
        <f t="shared" si="38"/>
        <v>1</v>
      </c>
      <c r="R180" s="661">
        <f t="shared" si="39"/>
        <v>0</v>
      </c>
      <c r="S180" s="315">
        <f t="shared" si="31"/>
        <v>0</v>
      </c>
    </row>
    <row r="181" spans="1:19">
      <c r="A181" s="663"/>
      <c r="B181" s="663"/>
      <c r="C181" s="21"/>
      <c r="D181" s="2805"/>
      <c r="E181" s="21">
        <f t="shared" si="32"/>
        <v>1</v>
      </c>
      <c r="F181" s="2805" t="e">
        <f>#REF!</f>
        <v>#REF!</v>
      </c>
      <c r="G181" s="21">
        <f t="shared" si="33"/>
        <v>1</v>
      </c>
      <c r="H181" s="665"/>
      <c r="I181" s="21">
        <f t="shared" si="34"/>
        <v>1</v>
      </c>
      <c r="J181" s="665"/>
      <c r="K181" s="21">
        <f t="shared" si="35"/>
        <v>1</v>
      </c>
      <c r="L181" s="665"/>
      <c r="M181" s="21">
        <f t="shared" si="36"/>
        <v>1</v>
      </c>
      <c r="N181" s="665"/>
      <c r="O181" s="21">
        <f t="shared" si="37"/>
        <v>1</v>
      </c>
      <c r="P181" s="2805" t="e">
        <f>#REF!</f>
        <v>#REF!</v>
      </c>
      <c r="Q181" s="21">
        <f t="shared" si="38"/>
        <v>1</v>
      </c>
      <c r="R181" s="661">
        <f t="shared" si="39"/>
        <v>0</v>
      </c>
      <c r="S181" s="315">
        <f t="shared" si="31"/>
        <v>0</v>
      </c>
    </row>
    <row r="182" spans="1:19">
      <c r="A182" s="663"/>
      <c r="B182" s="663"/>
      <c r="C182" s="21"/>
      <c r="D182" s="2805"/>
      <c r="E182" s="21">
        <f t="shared" si="32"/>
        <v>1</v>
      </c>
      <c r="F182" s="2805" t="e">
        <f>#REF!</f>
        <v>#REF!</v>
      </c>
      <c r="G182" s="21">
        <f t="shared" si="33"/>
        <v>1</v>
      </c>
      <c r="H182" s="665"/>
      <c r="I182" s="21">
        <f t="shared" si="34"/>
        <v>1</v>
      </c>
      <c r="J182" s="665"/>
      <c r="K182" s="21">
        <f t="shared" si="35"/>
        <v>1</v>
      </c>
      <c r="L182" s="665"/>
      <c r="M182" s="21">
        <f t="shared" si="36"/>
        <v>1</v>
      </c>
      <c r="N182" s="665"/>
      <c r="O182" s="21">
        <f t="shared" si="37"/>
        <v>1</v>
      </c>
      <c r="P182" s="2805" t="e">
        <f>#REF!</f>
        <v>#REF!</v>
      </c>
      <c r="Q182" s="21">
        <f t="shared" si="38"/>
        <v>1</v>
      </c>
      <c r="R182" s="661">
        <f t="shared" si="39"/>
        <v>0</v>
      </c>
      <c r="S182" s="315">
        <f t="shared" si="31"/>
        <v>0</v>
      </c>
    </row>
    <row r="183" spans="1:19">
      <c r="A183" s="663"/>
      <c r="B183" s="663"/>
      <c r="C183" s="21"/>
      <c r="D183" s="2805"/>
      <c r="E183" s="21">
        <f t="shared" si="32"/>
        <v>1</v>
      </c>
      <c r="F183" s="2805" t="e">
        <f>#REF!</f>
        <v>#REF!</v>
      </c>
      <c r="G183" s="21">
        <f t="shared" si="33"/>
        <v>1</v>
      </c>
      <c r="H183" s="665"/>
      <c r="I183" s="21">
        <f t="shared" si="34"/>
        <v>1</v>
      </c>
      <c r="J183" s="665"/>
      <c r="K183" s="21">
        <f t="shared" si="35"/>
        <v>1</v>
      </c>
      <c r="L183" s="665"/>
      <c r="M183" s="21">
        <f t="shared" si="36"/>
        <v>1</v>
      </c>
      <c r="N183" s="665"/>
      <c r="O183" s="21">
        <f t="shared" si="37"/>
        <v>1</v>
      </c>
      <c r="P183" s="2805" t="e">
        <f>#REF!</f>
        <v>#REF!</v>
      </c>
      <c r="Q183" s="21">
        <f t="shared" si="38"/>
        <v>1</v>
      </c>
      <c r="R183" s="661">
        <f t="shared" si="39"/>
        <v>0</v>
      </c>
      <c r="S183" s="315">
        <f t="shared" si="31"/>
        <v>0</v>
      </c>
    </row>
    <row r="184" spans="1:19">
      <c r="A184" s="663"/>
      <c r="B184" s="663"/>
      <c r="C184" s="21"/>
      <c r="D184" s="2805"/>
      <c r="E184" s="21">
        <f t="shared" si="32"/>
        <v>1</v>
      </c>
      <c r="F184" s="2805" t="e">
        <f>#REF!</f>
        <v>#REF!</v>
      </c>
      <c r="G184" s="21">
        <f t="shared" si="33"/>
        <v>1</v>
      </c>
      <c r="H184" s="665"/>
      <c r="I184" s="21">
        <f t="shared" si="34"/>
        <v>1</v>
      </c>
      <c r="J184" s="665"/>
      <c r="K184" s="21">
        <f t="shared" si="35"/>
        <v>1</v>
      </c>
      <c r="L184" s="665"/>
      <c r="M184" s="21">
        <f t="shared" si="36"/>
        <v>1</v>
      </c>
      <c r="N184" s="665"/>
      <c r="O184" s="21">
        <f t="shared" si="37"/>
        <v>1</v>
      </c>
      <c r="P184" s="2805" t="e">
        <f>#REF!</f>
        <v>#REF!</v>
      </c>
      <c r="Q184" s="21">
        <f t="shared" si="38"/>
        <v>1</v>
      </c>
      <c r="R184" s="661">
        <f t="shared" si="39"/>
        <v>0</v>
      </c>
      <c r="S184" s="315">
        <f t="shared" si="31"/>
        <v>0</v>
      </c>
    </row>
    <row r="185" spans="1:19">
      <c r="A185" s="663"/>
      <c r="B185" s="663"/>
      <c r="C185" s="21"/>
      <c r="D185" s="2805"/>
      <c r="E185" s="21">
        <f t="shared" si="32"/>
        <v>1</v>
      </c>
      <c r="F185" s="2805" t="e">
        <f>#REF!</f>
        <v>#REF!</v>
      </c>
      <c r="G185" s="21">
        <f t="shared" si="33"/>
        <v>1</v>
      </c>
      <c r="H185" s="665"/>
      <c r="I185" s="21">
        <f t="shared" si="34"/>
        <v>1</v>
      </c>
      <c r="J185" s="665"/>
      <c r="K185" s="21">
        <f t="shared" si="35"/>
        <v>1</v>
      </c>
      <c r="L185" s="665"/>
      <c r="M185" s="21">
        <f t="shared" si="36"/>
        <v>1</v>
      </c>
      <c r="N185" s="665"/>
      <c r="O185" s="21">
        <f t="shared" si="37"/>
        <v>1</v>
      </c>
      <c r="P185" s="2805" t="e">
        <f>#REF!</f>
        <v>#REF!</v>
      </c>
      <c r="Q185" s="21">
        <f t="shared" si="38"/>
        <v>1</v>
      </c>
      <c r="R185" s="661">
        <f t="shared" si="39"/>
        <v>0</v>
      </c>
      <c r="S185" s="315">
        <f t="shared" si="31"/>
        <v>0</v>
      </c>
    </row>
    <row r="186" spans="1:19">
      <c r="A186" s="663"/>
      <c r="B186" s="663"/>
      <c r="C186" s="21"/>
      <c r="D186" s="2805"/>
      <c r="E186" s="21">
        <f t="shared" si="32"/>
        <v>1</v>
      </c>
      <c r="F186" s="2805" t="e">
        <f>#REF!</f>
        <v>#REF!</v>
      </c>
      <c r="G186" s="21">
        <f t="shared" si="33"/>
        <v>1</v>
      </c>
      <c r="H186" s="665"/>
      <c r="I186" s="21">
        <f t="shared" si="34"/>
        <v>1</v>
      </c>
      <c r="J186" s="665"/>
      <c r="K186" s="21">
        <f t="shared" si="35"/>
        <v>1</v>
      </c>
      <c r="L186" s="665"/>
      <c r="M186" s="21">
        <f t="shared" si="36"/>
        <v>1</v>
      </c>
      <c r="N186" s="665"/>
      <c r="O186" s="21">
        <f t="shared" si="37"/>
        <v>1</v>
      </c>
      <c r="P186" s="2805" t="e">
        <f>#REF!</f>
        <v>#REF!</v>
      </c>
      <c r="Q186" s="21">
        <f t="shared" si="38"/>
        <v>1</v>
      </c>
      <c r="R186" s="661">
        <f t="shared" si="39"/>
        <v>0</v>
      </c>
      <c r="S186" s="315">
        <f t="shared" si="31"/>
        <v>0</v>
      </c>
    </row>
    <row r="187" spans="1:19">
      <c r="A187" s="663"/>
      <c r="B187" s="663"/>
      <c r="C187" s="21"/>
      <c r="D187" s="2805"/>
      <c r="E187" s="21">
        <f t="shared" si="32"/>
        <v>1</v>
      </c>
      <c r="F187" s="2805" t="e">
        <f>#REF!</f>
        <v>#REF!</v>
      </c>
      <c r="G187" s="21">
        <f t="shared" si="33"/>
        <v>1</v>
      </c>
      <c r="H187" s="665"/>
      <c r="I187" s="21">
        <f t="shared" si="34"/>
        <v>1</v>
      </c>
      <c r="J187" s="665"/>
      <c r="K187" s="21">
        <f t="shared" si="35"/>
        <v>1</v>
      </c>
      <c r="L187" s="665"/>
      <c r="M187" s="21">
        <f t="shared" si="36"/>
        <v>1</v>
      </c>
      <c r="N187" s="665"/>
      <c r="O187" s="21">
        <f t="shared" si="37"/>
        <v>1</v>
      </c>
      <c r="P187" s="2805" t="e">
        <f>#REF!</f>
        <v>#REF!</v>
      </c>
      <c r="Q187" s="21">
        <f t="shared" si="38"/>
        <v>1</v>
      </c>
      <c r="R187" s="661">
        <f t="shared" si="39"/>
        <v>0</v>
      </c>
      <c r="S187" s="315">
        <f t="shared" ref="S187:S222" si="40">ROUND(R187*B187/10000,0)</f>
        <v>0</v>
      </c>
    </row>
    <row r="188" spans="1:19">
      <c r="A188" s="663"/>
      <c r="B188" s="663"/>
      <c r="C188" s="21"/>
      <c r="D188" s="2805"/>
      <c r="E188" s="21">
        <f t="shared" si="32"/>
        <v>1</v>
      </c>
      <c r="F188" s="2805" t="e">
        <f>#REF!</f>
        <v>#REF!</v>
      </c>
      <c r="G188" s="21">
        <f t="shared" si="33"/>
        <v>1</v>
      </c>
      <c r="H188" s="665"/>
      <c r="I188" s="21">
        <f t="shared" si="34"/>
        <v>1</v>
      </c>
      <c r="J188" s="665"/>
      <c r="K188" s="21">
        <f t="shared" si="35"/>
        <v>1</v>
      </c>
      <c r="L188" s="665"/>
      <c r="M188" s="21">
        <f t="shared" si="36"/>
        <v>1</v>
      </c>
      <c r="N188" s="665"/>
      <c r="O188" s="21">
        <f t="shared" si="37"/>
        <v>1</v>
      </c>
      <c r="P188" s="2805" t="e">
        <f>#REF!</f>
        <v>#REF!</v>
      </c>
      <c r="Q188" s="21">
        <f t="shared" si="38"/>
        <v>1</v>
      </c>
      <c r="R188" s="661">
        <f t="shared" si="39"/>
        <v>0</v>
      </c>
      <c r="S188" s="315">
        <f t="shared" si="40"/>
        <v>0</v>
      </c>
    </row>
    <row r="189" spans="1:19">
      <c r="A189" s="663"/>
      <c r="B189" s="663"/>
      <c r="C189" s="21"/>
      <c r="D189" s="2805"/>
      <c r="E189" s="21">
        <f t="shared" si="32"/>
        <v>1</v>
      </c>
      <c r="F189" s="2805" t="e">
        <f>#REF!</f>
        <v>#REF!</v>
      </c>
      <c r="G189" s="21">
        <f t="shared" si="33"/>
        <v>1</v>
      </c>
      <c r="H189" s="665"/>
      <c r="I189" s="21">
        <f t="shared" si="34"/>
        <v>1</v>
      </c>
      <c r="J189" s="665"/>
      <c r="K189" s="21">
        <f t="shared" si="35"/>
        <v>1</v>
      </c>
      <c r="L189" s="665"/>
      <c r="M189" s="21">
        <f t="shared" si="36"/>
        <v>1</v>
      </c>
      <c r="N189" s="665"/>
      <c r="O189" s="21">
        <f t="shared" si="37"/>
        <v>1</v>
      </c>
      <c r="P189" s="2805" t="e">
        <f>#REF!</f>
        <v>#REF!</v>
      </c>
      <c r="Q189" s="21">
        <f t="shared" si="38"/>
        <v>1</v>
      </c>
      <c r="R189" s="661">
        <f t="shared" si="39"/>
        <v>0</v>
      </c>
      <c r="S189" s="315">
        <f t="shared" si="40"/>
        <v>0</v>
      </c>
    </row>
    <row r="190" spans="1:19">
      <c r="A190" s="663"/>
      <c r="B190" s="663"/>
      <c r="C190" s="21"/>
      <c r="D190" s="2805"/>
      <c r="E190" s="21">
        <f t="shared" si="32"/>
        <v>1</v>
      </c>
      <c r="F190" s="2805" t="e">
        <f>#REF!</f>
        <v>#REF!</v>
      </c>
      <c r="G190" s="21">
        <f t="shared" si="33"/>
        <v>1</v>
      </c>
      <c r="H190" s="665"/>
      <c r="I190" s="21">
        <f t="shared" si="34"/>
        <v>1</v>
      </c>
      <c r="J190" s="665"/>
      <c r="K190" s="21">
        <f t="shared" si="35"/>
        <v>1</v>
      </c>
      <c r="L190" s="665"/>
      <c r="M190" s="21">
        <f t="shared" si="36"/>
        <v>1</v>
      </c>
      <c r="N190" s="665"/>
      <c r="O190" s="21">
        <f t="shared" si="37"/>
        <v>1</v>
      </c>
      <c r="P190" s="2805" t="e">
        <f>#REF!</f>
        <v>#REF!</v>
      </c>
      <c r="Q190" s="21">
        <f t="shared" si="38"/>
        <v>1</v>
      </c>
      <c r="R190" s="661">
        <f t="shared" si="39"/>
        <v>0</v>
      </c>
      <c r="S190" s="315">
        <f t="shared" si="40"/>
        <v>0</v>
      </c>
    </row>
    <row r="191" spans="1:19">
      <c r="A191" s="663"/>
      <c r="B191" s="663"/>
      <c r="C191" s="21"/>
      <c r="D191" s="2805"/>
      <c r="E191" s="21">
        <f t="shared" si="32"/>
        <v>1</v>
      </c>
      <c r="F191" s="2805" t="e">
        <f>#REF!</f>
        <v>#REF!</v>
      </c>
      <c r="G191" s="21">
        <f t="shared" si="33"/>
        <v>1</v>
      </c>
      <c r="H191" s="665"/>
      <c r="I191" s="21">
        <f t="shared" si="34"/>
        <v>1</v>
      </c>
      <c r="J191" s="665"/>
      <c r="K191" s="21">
        <f t="shared" si="35"/>
        <v>1</v>
      </c>
      <c r="L191" s="665"/>
      <c r="M191" s="21">
        <f t="shared" si="36"/>
        <v>1</v>
      </c>
      <c r="N191" s="665"/>
      <c r="O191" s="21">
        <f t="shared" si="37"/>
        <v>1</v>
      </c>
      <c r="P191" s="2805" t="e">
        <f>#REF!</f>
        <v>#REF!</v>
      </c>
      <c r="Q191" s="21">
        <f t="shared" si="38"/>
        <v>1</v>
      </c>
      <c r="R191" s="661">
        <f t="shared" si="39"/>
        <v>0</v>
      </c>
      <c r="S191" s="315">
        <f t="shared" si="40"/>
        <v>0</v>
      </c>
    </row>
    <row r="192" spans="1:19">
      <c r="A192" s="663"/>
      <c r="B192" s="663"/>
      <c r="C192" s="21"/>
      <c r="D192" s="2805"/>
      <c r="E192" s="21">
        <f t="shared" si="32"/>
        <v>1</v>
      </c>
      <c r="F192" s="2805" t="e">
        <f>#REF!</f>
        <v>#REF!</v>
      </c>
      <c r="G192" s="21">
        <f t="shared" si="33"/>
        <v>1</v>
      </c>
      <c r="H192" s="665"/>
      <c r="I192" s="21">
        <f t="shared" si="34"/>
        <v>1</v>
      </c>
      <c r="J192" s="665"/>
      <c r="K192" s="21">
        <f t="shared" si="35"/>
        <v>1</v>
      </c>
      <c r="L192" s="665"/>
      <c r="M192" s="21">
        <f t="shared" si="36"/>
        <v>1</v>
      </c>
      <c r="N192" s="665"/>
      <c r="O192" s="21">
        <f t="shared" si="37"/>
        <v>1</v>
      </c>
      <c r="P192" s="2805" t="e">
        <f>#REF!</f>
        <v>#REF!</v>
      </c>
      <c r="Q192" s="21">
        <f t="shared" si="38"/>
        <v>1</v>
      </c>
      <c r="R192" s="661">
        <f t="shared" si="39"/>
        <v>0</v>
      </c>
      <c r="S192" s="315">
        <f t="shared" si="40"/>
        <v>0</v>
      </c>
    </row>
    <row r="193" spans="1:19">
      <c r="A193" s="663"/>
      <c r="B193" s="663"/>
      <c r="C193" s="21"/>
      <c r="D193" s="2805"/>
      <c r="E193" s="21">
        <f t="shared" si="32"/>
        <v>1</v>
      </c>
      <c r="F193" s="2805" t="e">
        <f>#REF!</f>
        <v>#REF!</v>
      </c>
      <c r="G193" s="21">
        <f t="shared" si="33"/>
        <v>1</v>
      </c>
      <c r="H193" s="665"/>
      <c r="I193" s="21">
        <f t="shared" si="34"/>
        <v>1</v>
      </c>
      <c r="J193" s="665"/>
      <c r="K193" s="21">
        <f t="shared" si="35"/>
        <v>1</v>
      </c>
      <c r="L193" s="665"/>
      <c r="M193" s="21">
        <f t="shared" si="36"/>
        <v>1</v>
      </c>
      <c r="N193" s="665"/>
      <c r="O193" s="21">
        <f t="shared" si="37"/>
        <v>1</v>
      </c>
      <c r="P193" s="2805" t="e">
        <f>#REF!</f>
        <v>#REF!</v>
      </c>
      <c r="Q193" s="21">
        <f t="shared" si="38"/>
        <v>1</v>
      </c>
      <c r="R193" s="661">
        <f t="shared" si="39"/>
        <v>0</v>
      </c>
      <c r="S193" s="315">
        <f t="shared" si="40"/>
        <v>0</v>
      </c>
    </row>
    <row r="194" spans="1:19">
      <c r="A194" s="663"/>
      <c r="B194" s="663"/>
      <c r="C194" s="21"/>
      <c r="D194" s="2805"/>
      <c r="E194" s="21">
        <f t="shared" si="32"/>
        <v>1</v>
      </c>
      <c r="F194" s="2805" t="e">
        <f>#REF!</f>
        <v>#REF!</v>
      </c>
      <c r="G194" s="21">
        <f t="shared" si="33"/>
        <v>1</v>
      </c>
      <c r="H194" s="665"/>
      <c r="I194" s="21">
        <f t="shared" si="34"/>
        <v>1</v>
      </c>
      <c r="J194" s="665"/>
      <c r="K194" s="21">
        <f t="shared" si="35"/>
        <v>1</v>
      </c>
      <c r="L194" s="665"/>
      <c r="M194" s="21">
        <f t="shared" si="36"/>
        <v>1</v>
      </c>
      <c r="N194" s="665"/>
      <c r="O194" s="21">
        <f t="shared" si="37"/>
        <v>1</v>
      </c>
      <c r="P194" s="2805" t="e">
        <f>#REF!</f>
        <v>#REF!</v>
      </c>
      <c r="Q194" s="21">
        <f t="shared" si="38"/>
        <v>1</v>
      </c>
      <c r="R194" s="661">
        <f t="shared" si="39"/>
        <v>0</v>
      </c>
      <c r="S194" s="315">
        <f t="shared" si="40"/>
        <v>0</v>
      </c>
    </row>
    <row r="195" spans="1:19">
      <c r="A195" s="663"/>
      <c r="B195" s="663"/>
      <c r="C195" s="21"/>
      <c r="D195" s="2805"/>
      <c r="E195" s="21">
        <f t="shared" si="32"/>
        <v>1</v>
      </c>
      <c r="F195" s="2805" t="e">
        <f>#REF!</f>
        <v>#REF!</v>
      </c>
      <c r="G195" s="21">
        <f t="shared" si="33"/>
        <v>1</v>
      </c>
      <c r="H195" s="665"/>
      <c r="I195" s="21">
        <f t="shared" si="34"/>
        <v>1</v>
      </c>
      <c r="J195" s="665"/>
      <c r="K195" s="21">
        <f t="shared" si="35"/>
        <v>1</v>
      </c>
      <c r="L195" s="665"/>
      <c r="M195" s="21">
        <f t="shared" si="36"/>
        <v>1</v>
      </c>
      <c r="N195" s="665"/>
      <c r="O195" s="21">
        <f t="shared" si="37"/>
        <v>1</v>
      </c>
      <c r="P195" s="2805" t="e">
        <f>#REF!</f>
        <v>#REF!</v>
      </c>
      <c r="Q195" s="21">
        <f t="shared" si="38"/>
        <v>1</v>
      </c>
      <c r="R195" s="661">
        <f t="shared" si="39"/>
        <v>0</v>
      </c>
      <c r="S195" s="315">
        <f t="shared" si="40"/>
        <v>0</v>
      </c>
    </row>
    <row r="196" spans="1:19">
      <c r="A196" s="663"/>
      <c r="B196" s="663"/>
      <c r="C196" s="21"/>
      <c r="D196" s="2805"/>
      <c r="E196" s="21">
        <f t="shared" si="32"/>
        <v>1</v>
      </c>
      <c r="F196" s="2805" t="e">
        <f>#REF!</f>
        <v>#REF!</v>
      </c>
      <c r="G196" s="21">
        <f t="shared" si="33"/>
        <v>1</v>
      </c>
      <c r="H196" s="665"/>
      <c r="I196" s="21">
        <f t="shared" si="34"/>
        <v>1</v>
      </c>
      <c r="J196" s="665"/>
      <c r="K196" s="21">
        <f t="shared" si="35"/>
        <v>1</v>
      </c>
      <c r="L196" s="665"/>
      <c r="M196" s="21">
        <f t="shared" si="36"/>
        <v>1</v>
      </c>
      <c r="N196" s="665"/>
      <c r="O196" s="21">
        <f t="shared" si="37"/>
        <v>1</v>
      </c>
      <c r="P196" s="2805" t="e">
        <f>#REF!</f>
        <v>#REF!</v>
      </c>
      <c r="Q196" s="21">
        <f t="shared" si="38"/>
        <v>1</v>
      </c>
      <c r="R196" s="661">
        <f t="shared" si="39"/>
        <v>0</v>
      </c>
      <c r="S196" s="315">
        <f t="shared" si="40"/>
        <v>0</v>
      </c>
    </row>
    <row r="197" spans="1:19">
      <c r="A197" s="663"/>
      <c r="B197" s="663"/>
      <c r="C197" s="21"/>
      <c r="D197" s="2805"/>
      <c r="E197" s="21">
        <f t="shared" si="32"/>
        <v>1</v>
      </c>
      <c r="F197" s="2805" t="e">
        <f>#REF!</f>
        <v>#REF!</v>
      </c>
      <c r="G197" s="21">
        <f t="shared" si="33"/>
        <v>1</v>
      </c>
      <c r="H197" s="665"/>
      <c r="I197" s="21">
        <f t="shared" si="34"/>
        <v>1</v>
      </c>
      <c r="J197" s="665"/>
      <c r="K197" s="21">
        <f t="shared" si="35"/>
        <v>1</v>
      </c>
      <c r="L197" s="665"/>
      <c r="M197" s="21">
        <f t="shared" si="36"/>
        <v>1</v>
      </c>
      <c r="N197" s="665"/>
      <c r="O197" s="21">
        <f t="shared" si="37"/>
        <v>1</v>
      </c>
      <c r="P197" s="2805" t="e">
        <f>#REF!</f>
        <v>#REF!</v>
      </c>
      <c r="Q197" s="21">
        <f t="shared" si="38"/>
        <v>1</v>
      </c>
      <c r="R197" s="661">
        <f t="shared" si="39"/>
        <v>0</v>
      </c>
      <c r="S197" s="315">
        <f t="shared" si="40"/>
        <v>0</v>
      </c>
    </row>
    <row r="198" spans="1:19">
      <c r="A198" s="663"/>
      <c r="B198" s="663"/>
      <c r="C198" s="21"/>
      <c r="D198" s="2805"/>
      <c r="E198" s="21">
        <f t="shared" si="32"/>
        <v>1</v>
      </c>
      <c r="F198" s="2805" t="e">
        <f>#REF!</f>
        <v>#REF!</v>
      </c>
      <c r="G198" s="21">
        <f t="shared" si="33"/>
        <v>1</v>
      </c>
      <c r="H198" s="665"/>
      <c r="I198" s="21">
        <f t="shared" si="34"/>
        <v>1</v>
      </c>
      <c r="J198" s="665"/>
      <c r="K198" s="21">
        <f t="shared" si="35"/>
        <v>1</v>
      </c>
      <c r="L198" s="665"/>
      <c r="M198" s="21">
        <f t="shared" si="36"/>
        <v>1</v>
      </c>
      <c r="N198" s="665"/>
      <c r="O198" s="21">
        <f t="shared" si="37"/>
        <v>1</v>
      </c>
      <c r="P198" s="2805" t="e">
        <f>#REF!</f>
        <v>#REF!</v>
      </c>
      <c r="Q198" s="21">
        <f t="shared" si="38"/>
        <v>1</v>
      </c>
      <c r="R198" s="661">
        <f t="shared" si="39"/>
        <v>0</v>
      </c>
      <c r="S198" s="315">
        <f t="shared" si="40"/>
        <v>0</v>
      </c>
    </row>
    <row r="199" spans="1:19">
      <c r="A199" s="663"/>
      <c r="B199" s="663"/>
      <c r="C199" s="21"/>
      <c r="D199" s="2805"/>
      <c r="E199" s="21">
        <f t="shared" si="32"/>
        <v>1</v>
      </c>
      <c r="F199" s="2805" t="e">
        <f>#REF!</f>
        <v>#REF!</v>
      </c>
      <c r="G199" s="21">
        <f t="shared" si="33"/>
        <v>1</v>
      </c>
      <c r="H199" s="665"/>
      <c r="I199" s="21">
        <f t="shared" si="34"/>
        <v>1</v>
      </c>
      <c r="J199" s="665"/>
      <c r="K199" s="21">
        <f t="shared" si="35"/>
        <v>1</v>
      </c>
      <c r="L199" s="665"/>
      <c r="M199" s="21">
        <f t="shared" si="36"/>
        <v>1</v>
      </c>
      <c r="N199" s="665"/>
      <c r="O199" s="21">
        <f t="shared" si="37"/>
        <v>1</v>
      </c>
      <c r="P199" s="2805" t="e">
        <f>#REF!</f>
        <v>#REF!</v>
      </c>
      <c r="Q199" s="21">
        <f t="shared" si="38"/>
        <v>1</v>
      </c>
      <c r="R199" s="661">
        <f t="shared" si="39"/>
        <v>0</v>
      </c>
      <c r="S199" s="315">
        <f t="shared" si="40"/>
        <v>0</v>
      </c>
    </row>
    <row r="200" spans="1:19">
      <c r="A200" s="663"/>
      <c r="B200" s="663"/>
      <c r="C200" s="21"/>
      <c r="D200" s="2805"/>
      <c r="E200" s="21">
        <f t="shared" si="32"/>
        <v>1</v>
      </c>
      <c r="F200" s="2805" t="e">
        <f>#REF!</f>
        <v>#REF!</v>
      </c>
      <c r="G200" s="21">
        <f t="shared" si="33"/>
        <v>1</v>
      </c>
      <c r="H200" s="665"/>
      <c r="I200" s="21">
        <f t="shared" si="34"/>
        <v>1</v>
      </c>
      <c r="J200" s="665"/>
      <c r="K200" s="21">
        <f t="shared" si="35"/>
        <v>1</v>
      </c>
      <c r="L200" s="665"/>
      <c r="M200" s="21">
        <f t="shared" si="36"/>
        <v>1</v>
      </c>
      <c r="N200" s="665"/>
      <c r="O200" s="21">
        <f t="shared" si="37"/>
        <v>1</v>
      </c>
      <c r="P200" s="2805" t="e">
        <f>#REF!</f>
        <v>#REF!</v>
      </c>
      <c r="Q200" s="21">
        <f t="shared" si="38"/>
        <v>1</v>
      </c>
      <c r="R200" s="661">
        <f t="shared" si="39"/>
        <v>0</v>
      </c>
      <c r="S200" s="315">
        <f t="shared" si="40"/>
        <v>0</v>
      </c>
    </row>
    <row r="201" spans="1:19">
      <c r="A201" s="663"/>
      <c r="B201" s="663"/>
      <c r="C201" s="21"/>
      <c r="D201" s="2805"/>
      <c r="E201" s="21">
        <f t="shared" si="32"/>
        <v>1</v>
      </c>
      <c r="F201" s="2805" t="e">
        <f>#REF!</f>
        <v>#REF!</v>
      </c>
      <c r="G201" s="21">
        <f t="shared" si="33"/>
        <v>1</v>
      </c>
      <c r="H201" s="665"/>
      <c r="I201" s="21">
        <f t="shared" si="34"/>
        <v>1</v>
      </c>
      <c r="J201" s="665"/>
      <c r="K201" s="21">
        <f t="shared" si="35"/>
        <v>1</v>
      </c>
      <c r="L201" s="665"/>
      <c r="M201" s="21">
        <f t="shared" si="36"/>
        <v>1</v>
      </c>
      <c r="N201" s="665"/>
      <c r="O201" s="21">
        <f t="shared" si="37"/>
        <v>1</v>
      </c>
      <c r="P201" s="2805" t="e">
        <f>#REF!</f>
        <v>#REF!</v>
      </c>
      <c r="Q201" s="21">
        <f t="shared" si="38"/>
        <v>1</v>
      </c>
      <c r="R201" s="661">
        <f t="shared" si="39"/>
        <v>0</v>
      </c>
      <c r="S201" s="315">
        <f t="shared" si="40"/>
        <v>0</v>
      </c>
    </row>
    <row r="202" spans="1:19">
      <c r="A202" s="663"/>
      <c r="B202" s="663"/>
      <c r="C202" s="21"/>
      <c r="D202" s="2805"/>
      <c r="E202" s="21">
        <f t="shared" si="32"/>
        <v>1</v>
      </c>
      <c r="F202" s="2805" t="e">
        <f>#REF!</f>
        <v>#REF!</v>
      </c>
      <c r="G202" s="21">
        <f t="shared" si="33"/>
        <v>1</v>
      </c>
      <c r="H202" s="665"/>
      <c r="I202" s="21">
        <f t="shared" si="34"/>
        <v>1</v>
      </c>
      <c r="J202" s="665"/>
      <c r="K202" s="21">
        <f t="shared" si="35"/>
        <v>1</v>
      </c>
      <c r="L202" s="665"/>
      <c r="M202" s="21">
        <f t="shared" si="36"/>
        <v>1</v>
      </c>
      <c r="N202" s="665"/>
      <c r="O202" s="21">
        <f t="shared" si="37"/>
        <v>1</v>
      </c>
      <c r="P202" s="2805" t="e">
        <f>#REF!</f>
        <v>#REF!</v>
      </c>
      <c r="Q202" s="21">
        <f t="shared" si="38"/>
        <v>1</v>
      </c>
      <c r="R202" s="661">
        <f t="shared" si="39"/>
        <v>0</v>
      </c>
      <c r="S202" s="315">
        <f t="shared" si="40"/>
        <v>0</v>
      </c>
    </row>
    <row r="203" spans="1:19">
      <c r="A203" s="663"/>
      <c r="B203" s="663"/>
      <c r="C203" s="21"/>
      <c r="D203" s="2805"/>
      <c r="E203" s="21">
        <f t="shared" si="32"/>
        <v>1</v>
      </c>
      <c r="F203" s="2805" t="e">
        <f>#REF!</f>
        <v>#REF!</v>
      </c>
      <c r="G203" s="21">
        <f t="shared" si="33"/>
        <v>1</v>
      </c>
      <c r="H203" s="665"/>
      <c r="I203" s="21">
        <f t="shared" si="34"/>
        <v>1</v>
      </c>
      <c r="J203" s="665"/>
      <c r="K203" s="21">
        <f t="shared" si="35"/>
        <v>1</v>
      </c>
      <c r="L203" s="665"/>
      <c r="M203" s="21">
        <f t="shared" si="36"/>
        <v>1</v>
      </c>
      <c r="N203" s="665"/>
      <c r="O203" s="21">
        <f t="shared" si="37"/>
        <v>1</v>
      </c>
      <c r="P203" s="2805" t="e">
        <f>#REF!</f>
        <v>#REF!</v>
      </c>
      <c r="Q203" s="21">
        <f t="shared" si="38"/>
        <v>1</v>
      </c>
      <c r="R203" s="661">
        <f t="shared" si="39"/>
        <v>0</v>
      </c>
      <c r="S203" s="315">
        <f t="shared" si="40"/>
        <v>0</v>
      </c>
    </row>
    <row r="204" spans="1:19">
      <c r="A204" s="663"/>
      <c r="B204" s="663"/>
      <c r="C204" s="21"/>
      <c r="D204" s="2805"/>
      <c r="E204" s="21">
        <f t="shared" si="32"/>
        <v>1</v>
      </c>
      <c r="F204" s="2805" t="e">
        <f>#REF!</f>
        <v>#REF!</v>
      </c>
      <c r="G204" s="21">
        <f t="shared" si="33"/>
        <v>1</v>
      </c>
      <c r="H204" s="665"/>
      <c r="I204" s="21">
        <f t="shared" si="34"/>
        <v>1</v>
      </c>
      <c r="J204" s="665"/>
      <c r="K204" s="21">
        <f t="shared" si="35"/>
        <v>1</v>
      </c>
      <c r="L204" s="665"/>
      <c r="M204" s="21">
        <f t="shared" si="36"/>
        <v>1</v>
      </c>
      <c r="N204" s="665"/>
      <c r="O204" s="21">
        <f t="shared" si="37"/>
        <v>1</v>
      </c>
      <c r="P204" s="2805" t="e">
        <f>#REF!</f>
        <v>#REF!</v>
      </c>
      <c r="Q204" s="21">
        <f t="shared" si="38"/>
        <v>1</v>
      </c>
      <c r="R204" s="661">
        <f t="shared" si="39"/>
        <v>0</v>
      </c>
      <c r="S204" s="315">
        <f t="shared" si="40"/>
        <v>0</v>
      </c>
    </row>
    <row r="205" spans="1:19">
      <c r="A205" s="663"/>
      <c r="B205" s="663"/>
      <c r="C205" s="21"/>
      <c r="D205" s="2805"/>
      <c r="E205" s="21">
        <f t="shared" si="32"/>
        <v>1</v>
      </c>
      <c r="F205" s="2805" t="e">
        <f>#REF!</f>
        <v>#REF!</v>
      </c>
      <c r="G205" s="21">
        <f t="shared" si="33"/>
        <v>1</v>
      </c>
      <c r="H205" s="665"/>
      <c r="I205" s="21">
        <f t="shared" si="34"/>
        <v>1</v>
      </c>
      <c r="J205" s="665"/>
      <c r="K205" s="21">
        <f t="shared" si="35"/>
        <v>1</v>
      </c>
      <c r="L205" s="665"/>
      <c r="M205" s="21">
        <f t="shared" si="36"/>
        <v>1</v>
      </c>
      <c r="N205" s="665"/>
      <c r="O205" s="21">
        <f t="shared" si="37"/>
        <v>1</v>
      </c>
      <c r="P205" s="2805" t="e">
        <f>#REF!</f>
        <v>#REF!</v>
      </c>
      <c r="Q205" s="21">
        <f t="shared" si="38"/>
        <v>1</v>
      </c>
      <c r="R205" s="661">
        <f t="shared" si="39"/>
        <v>0</v>
      </c>
      <c r="S205" s="315">
        <f t="shared" si="40"/>
        <v>0</v>
      </c>
    </row>
    <row r="206" spans="1:19">
      <c r="A206" s="663"/>
      <c r="B206" s="663"/>
      <c r="C206" s="21"/>
      <c r="D206" s="2805"/>
      <c r="E206" s="21">
        <f t="shared" si="32"/>
        <v>1</v>
      </c>
      <c r="F206" s="2805" t="e">
        <f>#REF!</f>
        <v>#REF!</v>
      </c>
      <c r="G206" s="21">
        <f t="shared" si="33"/>
        <v>1</v>
      </c>
      <c r="H206" s="665"/>
      <c r="I206" s="21">
        <f t="shared" si="34"/>
        <v>1</v>
      </c>
      <c r="J206" s="665"/>
      <c r="K206" s="21">
        <f t="shared" si="35"/>
        <v>1</v>
      </c>
      <c r="L206" s="665"/>
      <c r="M206" s="21">
        <f t="shared" si="36"/>
        <v>1</v>
      </c>
      <c r="N206" s="665"/>
      <c r="O206" s="21">
        <f t="shared" si="37"/>
        <v>1</v>
      </c>
      <c r="P206" s="2805" t="e">
        <f>#REF!</f>
        <v>#REF!</v>
      </c>
      <c r="Q206" s="21">
        <f t="shared" si="38"/>
        <v>1</v>
      </c>
      <c r="R206" s="661">
        <f t="shared" si="39"/>
        <v>0</v>
      </c>
      <c r="S206" s="315">
        <f t="shared" si="40"/>
        <v>0</v>
      </c>
    </row>
    <row r="207" spans="1:19">
      <c r="A207" s="663"/>
      <c r="B207" s="663"/>
      <c r="C207" s="21"/>
      <c r="D207" s="2805"/>
      <c r="E207" s="21">
        <f t="shared" si="32"/>
        <v>1</v>
      </c>
      <c r="F207" s="2805" t="e">
        <f>#REF!</f>
        <v>#REF!</v>
      </c>
      <c r="G207" s="21">
        <f t="shared" si="33"/>
        <v>1</v>
      </c>
      <c r="H207" s="665"/>
      <c r="I207" s="21">
        <f t="shared" si="34"/>
        <v>1</v>
      </c>
      <c r="J207" s="665"/>
      <c r="K207" s="21">
        <f t="shared" si="35"/>
        <v>1</v>
      </c>
      <c r="L207" s="665"/>
      <c r="M207" s="21">
        <f t="shared" si="36"/>
        <v>1</v>
      </c>
      <c r="N207" s="665"/>
      <c r="O207" s="21">
        <f t="shared" si="37"/>
        <v>1</v>
      </c>
      <c r="P207" s="2805" t="e">
        <f>#REF!</f>
        <v>#REF!</v>
      </c>
      <c r="Q207" s="21">
        <f t="shared" si="38"/>
        <v>1</v>
      </c>
      <c r="R207" s="661">
        <f t="shared" si="39"/>
        <v>0</v>
      </c>
      <c r="S207" s="315">
        <f t="shared" si="40"/>
        <v>0</v>
      </c>
    </row>
    <row r="208" spans="1:19">
      <c r="A208" s="663"/>
      <c r="B208" s="663"/>
      <c r="C208" s="21"/>
      <c r="D208" s="2805"/>
      <c r="E208" s="21">
        <f t="shared" si="32"/>
        <v>1</v>
      </c>
      <c r="F208" s="2805" t="e">
        <f>#REF!</f>
        <v>#REF!</v>
      </c>
      <c r="G208" s="21">
        <f t="shared" si="33"/>
        <v>1</v>
      </c>
      <c r="H208" s="665"/>
      <c r="I208" s="21">
        <f t="shared" si="34"/>
        <v>1</v>
      </c>
      <c r="J208" s="665"/>
      <c r="K208" s="21">
        <f t="shared" si="35"/>
        <v>1</v>
      </c>
      <c r="L208" s="665"/>
      <c r="M208" s="21">
        <f t="shared" si="36"/>
        <v>1</v>
      </c>
      <c r="N208" s="665"/>
      <c r="O208" s="21">
        <f t="shared" si="37"/>
        <v>1</v>
      </c>
      <c r="P208" s="2805" t="e">
        <f>#REF!</f>
        <v>#REF!</v>
      </c>
      <c r="Q208" s="21">
        <f t="shared" si="38"/>
        <v>1</v>
      </c>
      <c r="R208" s="661">
        <f t="shared" si="39"/>
        <v>0</v>
      </c>
      <c r="S208" s="315">
        <f t="shared" si="40"/>
        <v>0</v>
      </c>
    </row>
    <row r="209" spans="1:19">
      <c r="A209" s="663"/>
      <c r="B209" s="663"/>
      <c r="C209" s="21"/>
      <c r="D209" s="2805"/>
      <c r="E209" s="21">
        <f t="shared" si="32"/>
        <v>1</v>
      </c>
      <c r="F209" s="2805" t="e">
        <f>#REF!</f>
        <v>#REF!</v>
      </c>
      <c r="G209" s="21">
        <f t="shared" si="33"/>
        <v>1</v>
      </c>
      <c r="H209" s="665"/>
      <c r="I209" s="21">
        <f t="shared" si="34"/>
        <v>1</v>
      </c>
      <c r="J209" s="665"/>
      <c r="K209" s="21">
        <f t="shared" si="35"/>
        <v>1</v>
      </c>
      <c r="L209" s="665"/>
      <c r="M209" s="21">
        <f t="shared" si="36"/>
        <v>1</v>
      </c>
      <c r="N209" s="665"/>
      <c r="O209" s="21">
        <f t="shared" si="37"/>
        <v>1</v>
      </c>
      <c r="P209" s="2805" t="e">
        <f>#REF!</f>
        <v>#REF!</v>
      </c>
      <c r="Q209" s="21">
        <f t="shared" si="38"/>
        <v>1</v>
      </c>
      <c r="R209" s="661">
        <f t="shared" si="39"/>
        <v>0</v>
      </c>
      <c r="S209" s="315">
        <f t="shared" si="40"/>
        <v>0</v>
      </c>
    </row>
    <row r="210" spans="1:19">
      <c r="A210" s="663"/>
      <c r="B210" s="663"/>
      <c r="C210" s="21"/>
      <c r="D210" s="2805"/>
      <c r="E210" s="21">
        <f t="shared" si="32"/>
        <v>1</v>
      </c>
      <c r="F210" s="2805" t="e">
        <f>#REF!</f>
        <v>#REF!</v>
      </c>
      <c r="G210" s="21">
        <f t="shared" si="33"/>
        <v>1</v>
      </c>
      <c r="H210" s="665"/>
      <c r="I210" s="21">
        <f t="shared" si="34"/>
        <v>1</v>
      </c>
      <c r="J210" s="665"/>
      <c r="K210" s="21">
        <f t="shared" si="35"/>
        <v>1</v>
      </c>
      <c r="L210" s="665"/>
      <c r="M210" s="21">
        <f t="shared" si="36"/>
        <v>1</v>
      </c>
      <c r="N210" s="665"/>
      <c r="O210" s="21">
        <f t="shared" si="37"/>
        <v>1</v>
      </c>
      <c r="P210" s="2805" t="e">
        <f>#REF!</f>
        <v>#REF!</v>
      </c>
      <c r="Q210" s="21">
        <f t="shared" si="38"/>
        <v>1</v>
      </c>
      <c r="R210" s="661">
        <f t="shared" si="39"/>
        <v>0</v>
      </c>
      <c r="S210" s="315">
        <f t="shared" si="40"/>
        <v>0</v>
      </c>
    </row>
    <row r="211" spans="1:19">
      <c r="A211" s="663"/>
      <c r="B211" s="663"/>
      <c r="C211" s="21"/>
      <c r="D211" s="2805"/>
      <c r="E211" s="21">
        <f t="shared" si="32"/>
        <v>1</v>
      </c>
      <c r="F211" s="2805" t="e">
        <f>#REF!</f>
        <v>#REF!</v>
      </c>
      <c r="G211" s="21">
        <f t="shared" si="33"/>
        <v>1</v>
      </c>
      <c r="H211" s="665"/>
      <c r="I211" s="21">
        <f t="shared" si="34"/>
        <v>1</v>
      </c>
      <c r="J211" s="665"/>
      <c r="K211" s="21">
        <f t="shared" si="35"/>
        <v>1</v>
      </c>
      <c r="L211" s="665"/>
      <c r="M211" s="21">
        <f t="shared" si="36"/>
        <v>1</v>
      </c>
      <c r="N211" s="665"/>
      <c r="O211" s="21">
        <f t="shared" si="37"/>
        <v>1</v>
      </c>
      <c r="P211" s="2805" t="e">
        <f>#REF!</f>
        <v>#REF!</v>
      </c>
      <c r="Q211" s="21">
        <f t="shared" si="38"/>
        <v>1</v>
      </c>
      <c r="R211" s="661">
        <f t="shared" si="39"/>
        <v>0</v>
      </c>
      <c r="S211" s="315">
        <f t="shared" si="40"/>
        <v>0</v>
      </c>
    </row>
    <row r="212" spans="1:19">
      <c r="A212" s="663"/>
      <c r="B212" s="663"/>
      <c r="C212" s="21"/>
      <c r="D212" s="2805"/>
      <c r="E212" s="21">
        <f t="shared" si="32"/>
        <v>1</v>
      </c>
      <c r="F212" s="2805" t="e">
        <f>#REF!</f>
        <v>#REF!</v>
      </c>
      <c r="G212" s="21">
        <f t="shared" si="33"/>
        <v>1</v>
      </c>
      <c r="H212" s="665"/>
      <c r="I212" s="21">
        <f t="shared" si="34"/>
        <v>1</v>
      </c>
      <c r="J212" s="665"/>
      <c r="K212" s="21">
        <f t="shared" si="35"/>
        <v>1</v>
      </c>
      <c r="L212" s="665"/>
      <c r="M212" s="21">
        <f t="shared" si="36"/>
        <v>1</v>
      </c>
      <c r="N212" s="665"/>
      <c r="O212" s="21">
        <f t="shared" si="37"/>
        <v>1</v>
      </c>
      <c r="P212" s="2805" t="e">
        <f>#REF!</f>
        <v>#REF!</v>
      </c>
      <c r="Q212" s="21">
        <f t="shared" si="38"/>
        <v>1</v>
      </c>
      <c r="R212" s="661">
        <f t="shared" si="39"/>
        <v>0</v>
      </c>
      <c r="S212" s="315">
        <f t="shared" si="40"/>
        <v>0</v>
      </c>
    </row>
    <row r="213" spans="1:19">
      <c r="A213" s="663"/>
      <c r="B213" s="663"/>
      <c r="C213" s="21"/>
      <c r="D213" s="2805"/>
      <c r="E213" s="21">
        <f t="shared" si="32"/>
        <v>1</v>
      </c>
      <c r="F213" s="2805" t="e">
        <f>#REF!</f>
        <v>#REF!</v>
      </c>
      <c r="G213" s="21">
        <f t="shared" si="33"/>
        <v>1</v>
      </c>
      <c r="H213" s="665"/>
      <c r="I213" s="21">
        <f t="shared" si="34"/>
        <v>1</v>
      </c>
      <c r="J213" s="665"/>
      <c r="K213" s="21">
        <f t="shared" si="35"/>
        <v>1</v>
      </c>
      <c r="L213" s="665"/>
      <c r="M213" s="21">
        <f t="shared" si="36"/>
        <v>1</v>
      </c>
      <c r="N213" s="665"/>
      <c r="O213" s="21">
        <f t="shared" si="37"/>
        <v>1</v>
      </c>
      <c r="P213" s="2805" t="e">
        <f>#REF!</f>
        <v>#REF!</v>
      </c>
      <c r="Q213" s="21">
        <f t="shared" si="38"/>
        <v>1</v>
      </c>
      <c r="R213" s="661">
        <f t="shared" si="39"/>
        <v>0</v>
      </c>
      <c r="S213" s="315">
        <f t="shared" si="40"/>
        <v>0</v>
      </c>
    </row>
    <row r="214" spans="1:19">
      <c r="A214" s="663"/>
      <c r="B214" s="663"/>
      <c r="C214" s="21"/>
      <c r="D214" s="2805"/>
      <c r="E214" s="21">
        <f t="shared" si="32"/>
        <v>1</v>
      </c>
      <c r="F214" s="2805" t="e">
        <f>#REF!</f>
        <v>#REF!</v>
      </c>
      <c r="G214" s="21">
        <f t="shared" si="33"/>
        <v>1</v>
      </c>
      <c r="H214" s="665"/>
      <c r="I214" s="21">
        <f t="shared" si="34"/>
        <v>1</v>
      </c>
      <c r="J214" s="665"/>
      <c r="K214" s="21">
        <f t="shared" si="35"/>
        <v>1</v>
      </c>
      <c r="L214" s="665"/>
      <c r="M214" s="21">
        <f t="shared" si="36"/>
        <v>1</v>
      </c>
      <c r="N214" s="665"/>
      <c r="O214" s="21">
        <f t="shared" si="37"/>
        <v>1</v>
      </c>
      <c r="P214" s="2805" t="e">
        <f>#REF!</f>
        <v>#REF!</v>
      </c>
      <c r="Q214" s="21">
        <f t="shared" si="38"/>
        <v>1</v>
      </c>
      <c r="R214" s="661">
        <f t="shared" si="39"/>
        <v>0</v>
      </c>
      <c r="S214" s="315">
        <f t="shared" si="40"/>
        <v>0</v>
      </c>
    </row>
    <row r="215" spans="1:19">
      <c r="A215" s="663"/>
      <c r="B215" s="663"/>
      <c r="C215" s="21"/>
      <c r="D215" s="2805"/>
      <c r="E215" s="21">
        <f t="shared" si="32"/>
        <v>1</v>
      </c>
      <c r="F215" s="2805" t="e">
        <f>#REF!</f>
        <v>#REF!</v>
      </c>
      <c r="G215" s="21">
        <f t="shared" si="33"/>
        <v>1</v>
      </c>
      <c r="H215" s="665"/>
      <c r="I215" s="21">
        <f t="shared" si="34"/>
        <v>1</v>
      </c>
      <c r="J215" s="665"/>
      <c r="K215" s="21">
        <f t="shared" si="35"/>
        <v>1</v>
      </c>
      <c r="L215" s="665"/>
      <c r="M215" s="21">
        <f t="shared" si="36"/>
        <v>1</v>
      </c>
      <c r="N215" s="665"/>
      <c r="O215" s="21">
        <f t="shared" si="37"/>
        <v>1</v>
      </c>
      <c r="P215" s="2805" t="e">
        <f>#REF!</f>
        <v>#REF!</v>
      </c>
      <c r="Q215" s="21">
        <f t="shared" si="38"/>
        <v>1</v>
      </c>
      <c r="R215" s="661">
        <f t="shared" si="39"/>
        <v>0</v>
      </c>
      <c r="S215" s="315">
        <f t="shared" si="40"/>
        <v>0</v>
      </c>
    </row>
    <row r="216" spans="1:19">
      <c r="A216" s="663"/>
      <c r="B216" s="663"/>
      <c r="C216" s="21"/>
      <c r="D216" s="2805"/>
      <c r="E216" s="21">
        <f t="shared" si="32"/>
        <v>1</v>
      </c>
      <c r="F216" s="2805" t="e">
        <f>#REF!</f>
        <v>#REF!</v>
      </c>
      <c r="G216" s="21">
        <f t="shared" si="33"/>
        <v>1</v>
      </c>
      <c r="H216" s="665"/>
      <c r="I216" s="21">
        <f t="shared" si="34"/>
        <v>1</v>
      </c>
      <c r="J216" s="665"/>
      <c r="K216" s="21">
        <f t="shared" si="35"/>
        <v>1</v>
      </c>
      <c r="L216" s="665"/>
      <c r="M216" s="21">
        <f t="shared" si="36"/>
        <v>1</v>
      </c>
      <c r="N216" s="665"/>
      <c r="O216" s="21">
        <f t="shared" si="37"/>
        <v>1</v>
      </c>
      <c r="P216" s="2805" t="e">
        <f>#REF!</f>
        <v>#REF!</v>
      </c>
      <c r="Q216" s="21">
        <f t="shared" si="38"/>
        <v>1</v>
      </c>
      <c r="R216" s="661">
        <f t="shared" si="39"/>
        <v>0</v>
      </c>
      <c r="S216" s="315">
        <f t="shared" si="40"/>
        <v>0</v>
      </c>
    </row>
    <row r="217" spans="1:19">
      <c r="A217" s="663"/>
      <c r="B217" s="663"/>
      <c r="C217" s="21"/>
      <c r="D217" s="2805"/>
      <c r="E217" s="21">
        <f t="shared" si="32"/>
        <v>1</v>
      </c>
      <c r="F217" s="2805" t="e">
        <f>#REF!</f>
        <v>#REF!</v>
      </c>
      <c r="G217" s="21">
        <f t="shared" si="33"/>
        <v>1</v>
      </c>
      <c r="H217" s="665"/>
      <c r="I217" s="21">
        <f t="shared" si="34"/>
        <v>1</v>
      </c>
      <c r="J217" s="665"/>
      <c r="K217" s="21">
        <f t="shared" si="35"/>
        <v>1</v>
      </c>
      <c r="L217" s="665"/>
      <c r="M217" s="21">
        <f t="shared" si="36"/>
        <v>1</v>
      </c>
      <c r="N217" s="665"/>
      <c r="O217" s="21">
        <f t="shared" si="37"/>
        <v>1</v>
      </c>
      <c r="P217" s="2805" t="e">
        <f>#REF!</f>
        <v>#REF!</v>
      </c>
      <c r="Q217" s="21">
        <f t="shared" si="38"/>
        <v>1</v>
      </c>
      <c r="R217" s="661">
        <f t="shared" si="39"/>
        <v>0</v>
      </c>
      <c r="S217" s="315">
        <f t="shared" si="40"/>
        <v>0</v>
      </c>
    </row>
    <row r="218" spans="1:19">
      <c r="A218" s="663"/>
      <c r="B218" s="663"/>
      <c r="C218" s="21"/>
      <c r="D218" s="2805"/>
      <c r="E218" s="21">
        <f t="shared" ref="E218:E281" si="41">(SUMIF($5:$5,D218,$6:$6)-SUMIF($5:$5,$D$24,$6:$6)+100)/100</f>
        <v>1</v>
      </c>
      <c r="F218" s="2805"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5"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5"/>
      <c r="E219" s="21">
        <f t="shared" si="41"/>
        <v>1</v>
      </c>
      <c r="F219" s="2805" t="e">
        <f>#REF!</f>
        <v>#REF!</v>
      </c>
      <c r="G219" s="21">
        <f t="shared" si="42"/>
        <v>1</v>
      </c>
      <c r="H219" s="665"/>
      <c r="I219" s="21">
        <f t="shared" si="43"/>
        <v>1</v>
      </c>
      <c r="J219" s="665"/>
      <c r="K219" s="21">
        <f t="shared" si="44"/>
        <v>1</v>
      </c>
      <c r="L219" s="665"/>
      <c r="M219" s="21">
        <f t="shared" si="45"/>
        <v>1</v>
      </c>
      <c r="N219" s="665"/>
      <c r="O219" s="21">
        <f t="shared" si="46"/>
        <v>1</v>
      </c>
      <c r="P219" s="2805" t="e">
        <f>#REF!</f>
        <v>#REF!</v>
      </c>
      <c r="Q219" s="21">
        <f t="shared" si="47"/>
        <v>1</v>
      </c>
      <c r="R219" s="661">
        <f t="shared" si="48"/>
        <v>0</v>
      </c>
      <c r="S219" s="315">
        <f t="shared" si="40"/>
        <v>0</v>
      </c>
    </row>
    <row r="220" spans="1:19">
      <c r="A220" s="663"/>
      <c r="B220" s="663"/>
      <c r="C220" s="21"/>
      <c r="D220" s="2805"/>
      <c r="E220" s="21">
        <f t="shared" si="41"/>
        <v>1</v>
      </c>
      <c r="F220" s="2805" t="e">
        <f>#REF!</f>
        <v>#REF!</v>
      </c>
      <c r="G220" s="21">
        <f t="shared" si="42"/>
        <v>1</v>
      </c>
      <c r="H220" s="665"/>
      <c r="I220" s="21">
        <f t="shared" si="43"/>
        <v>1</v>
      </c>
      <c r="J220" s="665"/>
      <c r="K220" s="21">
        <f t="shared" si="44"/>
        <v>1</v>
      </c>
      <c r="L220" s="665"/>
      <c r="M220" s="21">
        <f t="shared" si="45"/>
        <v>1</v>
      </c>
      <c r="N220" s="665"/>
      <c r="O220" s="21">
        <f t="shared" si="46"/>
        <v>1</v>
      </c>
      <c r="P220" s="2805" t="e">
        <f>#REF!</f>
        <v>#REF!</v>
      </c>
      <c r="Q220" s="21">
        <f t="shared" si="47"/>
        <v>1</v>
      </c>
      <c r="R220" s="661">
        <f t="shared" si="48"/>
        <v>0</v>
      </c>
      <c r="S220" s="315">
        <f t="shared" si="40"/>
        <v>0</v>
      </c>
    </row>
    <row r="221" spans="1:19">
      <c r="A221" s="663"/>
      <c r="B221" s="663"/>
      <c r="C221" s="21"/>
      <c r="D221" s="2805"/>
      <c r="E221" s="21">
        <f t="shared" si="41"/>
        <v>1</v>
      </c>
      <c r="F221" s="2805" t="e">
        <f>#REF!</f>
        <v>#REF!</v>
      </c>
      <c r="G221" s="21">
        <f t="shared" si="42"/>
        <v>1</v>
      </c>
      <c r="H221" s="665"/>
      <c r="I221" s="21">
        <f t="shared" si="43"/>
        <v>1</v>
      </c>
      <c r="J221" s="665"/>
      <c r="K221" s="21">
        <f t="shared" si="44"/>
        <v>1</v>
      </c>
      <c r="L221" s="665"/>
      <c r="M221" s="21">
        <f t="shared" si="45"/>
        <v>1</v>
      </c>
      <c r="N221" s="665"/>
      <c r="O221" s="21">
        <f t="shared" si="46"/>
        <v>1</v>
      </c>
      <c r="P221" s="2805" t="e">
        <f>#REF!</f>
        <v>#REF!</v>
      </c>
      <c r="Q221" s="21">
        <f t="shared" si="47"/>
        <v>1</v>
      </c>
      <c r="R221" s="661">
        <f t="shared" si="48"/>
        <v>0</v>
      </c>
      <c r="S221" s="315">
        <f t="shared" si="40"/>
        <v>0</v>
      </c>
    </row>
    <row r="222" spans="1:19">
      <c r="A222" s="663"/>
      <c r="B222" s="663"/>
      <c r="C222" s="21"/>
      <c r="D222" s="2805"/>
      <c r="E222" s="21">
        <f t="shared" si="41"/>
        <v>1</v>
      </c>
      <c r="F222" s="2805" t="e">
        <f>#REF!</f>
        <v>#REF!</v>
      </c>
      <c r="G222" s="21">
        <f t="shared" si="42"/>
        <v>1</v>
      </c>
      <c r="H222" s="665"/>
      <c r="I222" s="21">
        <f t="shared" si="43"/>
        <v>1</v>
      </c>
      <c r="J222" s="665"/>
      <c r="K222" s="21">
        <f t="shared" si="44"/>
        <v>1</v>
      </c>
      <c r="L222" s="665"/>
      <c r="M222" s="21">
        <f t="shared" si="45"/>
        <v>1</v>
      </c>
      <c r="N222" s="665"/>
      <c r="O222" s="21">
        <f t="shared" si="46"/>
        <v>1</v>
      </c>
      <c r="P222" s="2805" t="e">
        <f>#REF!</f>
        <v>#REF!</v>
      </c>
      <c r="Q222" s="21">
        <f t="shared" si="47"/>
        <v>1</v>
      </c>
      <c r="R222" s="661">
        <f t="shared" si="48"/>
        <v>0</v>
      </c>
      <c r="S222" s="315">
        <f t="shared" si="40"/>
        <v>0</v>
      </c>
    </row>
    <row r="223" spans="1:19">
      <c r="A223" s="663"/>
      <c r="B223" s="663"/>
      <c r="C223" s="21"/>
      <c r="D223" s="2805"/>
      <c r="E223" s="21">
        <f t="shared" si="41"/>
        <v>1</v>
      </c>
      <c r="F223" s="2805" t="e">
        <f>#REF!</f>
        <v>#REF!</v>
      </c>
      <c r="G223" s="21">
        <f t="shared" si="42"/>
        <v>1</v>
      </c>
      <c r="H223" s="665"/>
      <c r="I223" s="21">
        <f t="shared" si="43"/>
        <v>1</v>
      </c>
      <c r="J223" s="665"/>
      <c r="K223" s="21">
        <f t="shared" si="44"/>
        <v>1</v>
      </c>
      <c r="L223" s="665"/>
      <c r="M223" s="21">
        <f t="shared" si="45"/>
        <v>1</v>
      </c>
      <c r="N223" s="665"/>
      <c r="O223" s="21">
        <f t="shared" si="46"/>
        <v>1</v>
      </c>
      <c r="P223" s="2805" t="e">
        <f>#REF!</f>
        <v>#REF!</v>
      </c>
      <c r="Q223" s="21">
        <f t="shared" si="47"/>
        <v>1</v>
      </c>
      <c r="R223" s="661">
        <f t="shared" si="48"/>
        <v>0</v>
      </c>
      <c r="S223" s="315">
        <f t="shared" ref="S223:S286" si="49">ROUND(R223*B223/10000,0)</f>
        <v>0</v>
      </c>
    </row>
    <row r="224" spans="1:19">
      <c r="A224" s="663"/>
      <c r="B224" s="663"/>
      <c r="C224" s="21"/>
      <c r="D224" s="2805"/>
      <c r="E224" s="21">
        <f t="shared" si="41"/>
        <v>1</v>
      </c>
      <c r="F224" s="2805" t="e">
        <f>#REF!</f>
        <v>#REF!</v>
      </c>
      <c r="G224" s="21">
        <f t="shared" si="42"/>
        <v>1</v>
      </c>
      <c r="H224" s="665"/>
      <c r="I224" s="21">
        <f t="shared" si="43"/>
        <v>1</v>
      </c>
      <c r="J224" s="665"/>
      <c r="K224" s="21">
        <f t="shared" si="44"/>
        <v>1</v>
      </c>
      <c r="L224" s="665"/>
      <c r="M224" s="21">
        <f t="shared" si="45"/>
        <v>1</v>
      </c>
      <c r="N224" s="665"/>
      <c r="O224" s="21">
        <f t="shared" si="46"/>
        <v>1</v>
      </c>
      <c r="P224" s="2805" t="e">
        <f>#REF!</f>
        <v>#REF!</v>
      </c>
      <c r="Q224" s="21">
        <f t="shared" si="47"/>
        <v>1</v>
      </c>
      <c r="R224" s="661">
        <f t="shared" si="48"/>
        <v>0</v>
      </c>
      <c r="S224" s="315">
        <f t="shared" si="49"/>
        <v>0</v>
      </c>
    </row>
    <row r="225" spans="1:19">
      <c r="A225" s="663"/>
      <c r="B225" s="663"/>
      <c r="C225" s="21"/>
      <c r="D225" s="2805"/>
      <c r="E225" s="21">
        <f t="shared" si="41"/>
        <v>1</v>
      </c>
      <c r="F225" s="2805" t="e">
        <f>#REF!</f>
        <v>#REF!</v>
      </c>
      <c r="G225" s="21">
        <f t="shared" si="42"/>
        <v>1</v>
      </c>
      <c r="H225" s="665"/>
      <c r="I225" s="21">
        <f t="shared" si="43"/>
        <v>1</v>
      </c>
      <c r="J225" s="665"/>
      <c r="K225" s="21">
        <f t="shared" si="44"/>
        <v>1</v>
      </c>
      <c r="L225" s="665"/>
      <c r="M225" s="21">
        <f t="shared" si="45"/>
        <v>1</v>
      </c>
      <c r="N225" s="665"/>
      <c r="O225" s="21">
        <f t="shared" si="46"/>
        <v>1</v>
      </c>
      <c r="P225" s="2805" t="e">
        <f>#REF!</f>
        <v>#REF!</v>
      </c>
      <c r="Q225" s="21">
        <f t="shared" si="47"/>
        <v>1</v>
      </c>
      <c r="R225" s="661">
        <f t="shared" si="48"/>
        <v>0</v>
      </c>
      <c r="S225" s="315">
        <f t="shared" si="49"/>
        <v>0</v>
      </c>
    </row>
    <row r="226" spans="1:19">
      <c r="A226" s="663"/>
      <c r="B226" s="663"/>
      <c r="C226" s="21"/>
      <c r="D226" s="2805"/>
      <c r="E226" s="21">
        <f t="shared" si="41"/>
        <v>1</v>
      </c>
      <c r="F226" s="2805" t="e">
        <f>#REF!</f>
        <v>#REF!</v>
      </c>
      <c r="G226" s="21">
        <f t="shared" si="42"/>
        <v>1</v>
      </c>
      <c r="H226" s="665"/>
      <c r="I226" s="21">
        <f t="shared" si="43"/>
        <v>1</v>
      </c>
      <c r="J226" s="665"/>
      <c r="K226" s="21">
        <f t="shared" si="44"/>
        <v>1</v>
      </c>
      <c r="L226" s="665"/>
      <c r="M226" s="21">
        <f t="shared" si="45"/>
        <v>1</v>
      </c>
      <c r="N226" s="665"/>
      <c r="O226" s="21">
        <f t="shared" si="46"/>
        <v>1</v>
      </c>
      <c r="P226" s="2805" t="e">
        <f>#REF!</f>
        <v>#REF!</v>
      </c>
      <c r="Q226" s="21">
        <f t="shared" si="47"/>
        <v>1</v>
      </c>
      <c r="R226" s="661">
        <f t="shared" si="48"/>
        <v>0</v>
      </c>
      <c r="S226" s="315">
        <f t="shared" si="49"/>
        <v>0</v>
      </c>
    </row>
    <row r="227" spans="1:19">
      <c r="A227" s="663"/>
      <c r="B227" s="663"/>
      <c r="C227" s="21"/>
      <c r="D227" s="2805"/>
      <c r="E227" s="21">
        <f t="shared" si="41"/>
        <v>1</v>
      </c>
      <c r="F227" s="2805" t="e">
        <f>#REF!</f>
        <v>#REF!</v>
      </c>
      <c r="G227" s="21">
        <f t="shared" si="42"/>
        <v>1</v>
      </c>
      <c r="H227" s="665"/>
      <c r="I227" s="21">
        <f t="shared" si="43"/>
        <v>1</v>
      </c>
      <c r="J227" s="665"/>
      <c r="K227" s="21">
        <f t="shared" si="44"/>
        <v>1</v>
      </c>
      <c r="L227" s="665"/>
      <c r="M227" s="21">
        <f t="shared" si="45"/>
        <v>1</v>
      </c>
      <c r="N227" s="665"/>
      <c r="O227" s="21">
        <f t="shared" si="46"/>
        <v>1</v>
      </c>
      <c r="P227" s="2805" t="e">
        <f>#REF!</f>
        <v>#REF!</v>
      </c>
      <c r="Q227" s="21">
        <f t="shared" si="47"/>
        <v>1</v>
      </c>
      <c r="R227" s="661">
        <f t="shared" si="48"/>
        <v>0</v>
      </c>
      <c r="S227" s="315">
        <f t="shared" si="49"/>
        <v>0</v>
      </c>
    </row>
    <row r="228" spans="1:19">
      <c r="A228" s="663"/>
      <c r="B228" s="663"/>
      <c r="C228" s="21"/>
      <c r="D228" s="2805"/>
      <c r="E228" s="21">
        <f t="shared" si="41"/>
        <v>1</v>
      </c>
      <c r="F228" s="2805" t="e">
        <f>#REF!</f>
        <v>#REF!</v>
      </c>
      <c r="G228" s="21">
        <f t="shared" si="42"/>
        <v>1</v>
      </c>
      <c r="H228" s="665"/>
      <c r="I228" s="21">
        <f t="shared" si="43"/>
        <v>1</v>
      </c>
      <c r="J228" s="665"/>
      <c r="K228" s="21">
        <f t="shared" si="44"/>
        <v>1</v>
      </c>
      <c r="L228" s="665"/>
      <c r="M228" s="21">
        <f t="shared" si="45"/>
        <v>1</v>
      </c>
      <c r="N228" s="665"/>
      <c r="O228" s="21">
        <f t="shared" si="46"/>
        <v>1</v>
      </c>
      <c r="P228" s="2805" t="e">
        <f>#REF!</f>
        <v>#REF!</v>
      </c>
      <c r="Q228" s="21">
        <f t="shared" si="47"/>
        <v>1</v>
      </c>
      <c r="R228" s="661">
        <f t="shared" si="48"/>
        <v>0</v>
      </c>
      <c r="S228" s="315">
        <f t="shared" si="49"/>
        <v>0</v>
      </c>
    </row>
    <row r="229" spans="1:19">
      <c r="A229" s="663"/>
      <c r="B229" s="663"/>
      <c r="C229" s="21"/>
      <c r="D229" s="2805"/>
      <c r="E229" s="21">
        <f t="shared" si="41"/>
        <v>1</v>
      </c>
      <c r="F229" s="2805" t="e">
        <f>#REF!</f>
        <v>#REF!</v>
      </c>
      <c r="G229" s="21">
        <f t="shared" si="42"/>
        <v>1</v>
      </c>
      <c r="H229" s="665"/>
      <c r="I229" s="21">
        <f t="shared" si="43"/>
        <v>1</v>
      </c>
      <c r="J229" s="665"/>
      <c r="K229" s="21">
        <f t="shared" si="44"/>
        <v>1</v>
      </c>
      <c r="L229" s="665"/>
      <c r="M229" s="21">
        <f t="shared" si="45"/>
        <v>1</v>
      </c>
      <c r="N229" s="665"/>
      <c r="O229" s="21">
        <f t="shared" si="46"/>
        <v>1</v>
      </c>
      <c r="P229" s="2805" t="e">
        <f>#REF!</f>
        <v>#REF!</v>
      </c>
      <c r="Q229" s="21">
        <f t="shared" si="47"/>
        <v>1</v>
      </c>
      <c r="R229" s="661">
        <f t="shared" si="48"/>
        <v>0</v>
      </c>
      <c r="S229" s="315">
        <f t="shared" si="49"/>
        <v>0</v>
      </c>
    </row>
    <row r="230" spans="1:19">
      <c r="A230" s="663"/>
      <c r="B230" s="663"/>
      <c r="C230" s="21"/>
      <c r="D230" s="2805"/>
      <c r="E230" s="21">
        <f t="shared" si="41"/>
        <v>1</v>
      </c>
      <c r="F230" s="2805" t="e">
        <f>#REF!</f>
        <v>#REF!</v>
      </c>
      <c r="G230" s="21">
        <f t="shared" si="42"/>
        <v>1</v>
      </c>
      <c r="H230" s="665"/>
      <c r="I230" s="21">
        <f t="shared" si="43"/>
        <v>1</v>
      </c>
      <c r="J230" s="665"/>
      <c r="K230" s="21">
        <f t="shared" si="44"/>
        <v>1</v>
      </c>
      <c r="L230" s="665"/>
      <c r="M230" s="21">
        <f t="shared" si="45"/>
        <v>1</v>
      </c>
      <c r="N230" s="665"/>
      <c r="O230" s="21">
        <f t="shared" si="46"/>
        <v>1</v>
      </c>
      <c r="P230" s="2805" t="e">
        <f>#REF!</f>
        <v>#REF!</v>
      </c>
      <c r="Q230" s="21">
        <f t="shared" si="47"/>
        <v>1</v>
      </c>
      <c r="R230" s="661">
        <f t="shared" si="48"/>
        <v>0</v>
      </c>
      <c r="S230" s="315">
        <f t="shared" si="49"/>
        <v>0</v>
      </c>
    </row>
    <row r="231" spans="1:19">
      <c r="A231" s="663"/>
      <c r="B231" s="663"/>
      <c r="C231" s="21"/>
      <c r="D231" s="2805"/>
      <c r="E231" s="21">
        <f t="shared" si="41"/>
        <v>1</v>
      </c>
      <c r="F231" s="2805" t="e">
        <f>#REF!</f>
        <v>#REF!</v>
      </c>
      <c r="G231" s="21">
        <f t="shared" si="42"/>
        <v>1</v>
      </c>
      <c r="H231" s="665"/>
      <c r="I231" s="21">
        <f t="shared" si="43"/>
        <v>1</v>
      </c>
      <c r="J231" s="665"/>
      <c r="K231" s="21">
        <f t="shared" si="44"/>
        <v>1</v>
      </c>
      <c r="L231" s="665"/>
      <c r="M231" s="21">
        <f t="shared" si="45"/>
        <v>1</v>
      </c>
      <c r="N231" s="665"/>
      <c r="O231" s="21">
        <f t="shared" si="46"/>
        <v>1</v>
      </c>
      <c r="P231" s="2805" t="e">
        <f>#REF!</f>
        <v>#REF!</v>
      </c>
      <c r="Q231" s="21">
        <f t="shared" si="47"/>
        <v>1</v>
      </c>
      <c r="R231" s="661">
        <f t="shared" si="48"/>
        <v>0</v>
      </c>
      <c r="S231" s="315">
        <f t="shared" si="49"/>
        <v>0</v>
      </c>
    </row>
    <row r="232" spans="1:19">
      <c r="A232" s="663"/>
      <c r="B232" s="663"/>
      <c r="C232" s="21"/>
      <c r="D232" s="2805"/>
      <c r="E232" s="21">
        <f t="shared" si="41"/>
        <v>1</v>
      </c>
      <c r="F232" s="2805" t="e">
        <f>#REF!</f>
        <v>#REF!</v>
      </c>
      <c r="G232" s="21">
        <f t="shared" si="42"/>
        <v>1</v>
      </c>
      <c r="H232" s="665"/>
      <c r="I232" s="21">
        <f t="shared" si="43"/>
        <v>1</v>
      </c>
      <c r="J232" s="665"/>
      <c r="K232" s="21">
        <f t="shared" si="44"/>
        <v>1</v>
      </c>
      <c r="L232" s="665"/>
      <c r="M232" s="21">
        <f t="shared" si="45"/>
        <v>1</v>
      </c>
      <c r="N232" s="665"/>
      <c r="O232" s="21">
        <f t="shared" si="46"/>
        <v>1</v>
      </c>
      <c r="P232" s="2805" t="e">
        <f>#REF!</f>
        <v>#REF!</v>
      </c>
      <c r="Q232" s="21">
        <f t="shared" si="47"/>
        <v>1</v>
      </c>
      <c r="R232" s="661">
        <f t="shared" si="48"/>
        <v>0</v>
      </c>
      <c r="S232" s="315">
        <f t="shared" si="49"/>
        <v>0</v>
      </c>
    </row>
    <row r="233" spans="1:19">
      <c r="A233" s="663"/>
      <c r="B233" s="663"/>
      <c r="C233" s="21"/>
      <c r="D233" s="2805"/>
      <c r="E233" s="21">
        <f t="shared" si="41"/>
        <v>1</v>
      </c>
      <c r="F233" s="2805" t="e">
        <f>#REF!</f>
        <v>#REF!</v>
      </c>
      <c r="G233" s="21">
        <f t="shared" si="42"/>
        <v>1</v>
      </c>
      <c r="H233" s="665"/>
      <c r="I233" s="21">
        <f t="shared" si="43"/>
        <v>1</v>
      </c>
      <c r="J233" s="665"/>
      <c r="K233" s="21">
        <f t="shared" si="44"/>
        <v>1</v>
      </c>
      <c r="L233" s="665"/>
      <c r="M233" s="21">
        <f t="shared" si="45"/>
        <v>1</v>
      </c>
      <c r="N233" s="665"/>
      <c r="O233" s="21">
        <f t="shared" si="46"/>
        <v>1</v>
      </c>
      <c r="P233" s="2805" t="e">
        <f>#REF!</f>
        <v>#REF!</v>
      </c>
      <c r="Q233" s="21">
        <f t="shared" si="47"/>
        <v>1</v>
      </c>
      <c r="R233" s="661">
        <f t="shared" si="48"/>
        <v>0</v>
      </c>
      <c r="S233" s="315">
        <f t="shared" si="49"/>
        <v>0</v>
      </c>
    </row>
    <row r="234" spans="1:19">
      <c r="A234" s="663"/>
      <c r="B234" s="663"/>
      <c r="C234" s="21"/>
      <c r="D234" s="2805"/>
      <c r="E234" s="21">
        <f t="shared" si="41"/>
        <v>1</v>
      </c>
      <c r="F234" s="2805" t="e">
        <f>#REF!</f>
        <v>#REF!</v>
      </c>
      <c r="G234" s="21">
        <f t="shared" si="42"/>
        <v>1</v>
      </c>
      <c r="H234" s="665"/>
      <c r="I234" s="21">
        <f t="shared" si="43"/>
        <v>1</v>
      </c>
      <c r="J234" s="665"/>
      <c r="K234" s="21">
        <f t="shared" si="44"/>
        <v>1</v>
      </c>
      <c r="L234" s="665"/>
      <c r="M234" s="21">
        <f t="shared" si="45"/>
        <v>1</v>
      </c>
      <c r="N234" s="665"/>
      <c r="O234" s="21">
        <f t="shared" si="46"/>
        <v>1</v>
      </c>
      <c r="P234" s="2805" t="e">
        <f>#REF!</f>
        <v>#REF!</v>
      </c>
      <c r="Q234" s="21">
        <f t="shared" si="47"/>
        <v>1</v>
      </c>
      <c r="R234" s="661">
        <f t="shared" si="48"/>
        <v>0</v>
      </c>
      <c r="S234" s="315">
        <f t="shared" si="49"/>
        <v>0</v>
      </c>
    </row>
    <row r="235" spans="1:19">
      <c r="A235" s="663"/>
      <c r="B235" s="663"/>
      <c r="C235" s="21"/>
      <c r="D235" s="2805"/>
      <c r="E235" s="21">
        <f t="shared" si="41"/>
        <v>1</v>
      </c>
      <c r="F235" s="2805" t="e">
        <f>#REF!</f>
        <v>#REF!</v>
      </c>
      <c r="G235" s="21">
        <f t="shared" si="42"/>
        <v>1</v>
      </c>
      <c r="H235" s="665"/>
      <c r="I235" s="21">
        <f t="shared" si="43"/>
        <v>1</v>
      </c>
      <c r="J235" s="665"/>
      <c r="K235" s="21">
        <f t="shared" si="44"/>
        <v>1</v>
      </c>
      <c r="L235" s="665"/>
      <c r="M235" s="21">
        <f t="shared" si="45"/>
        <v>1</v>
      </c>
      <c r="N235" s="665"/>
      <c r="O235" s="21">
        <f t="shared" si="46"/>
        <v>1</v>
      </c>
      <c r="P235" s="2805" t="e">
        <f>#REF!</f>
        <v>#REF!</v>
      </c>
      <c r="Q235" s="21">
        <f t="shared" si="47"/>
        <v>1</v>
      </c>
      <c r="R235" s="661">
        <f t="shared" si="48"/>
        <v>0</v>
      </c>
      <c r="S235" s="315">
        <f t="shared" si="49"/>
        <v>0</v>
      </c>
    </row>
    <row r="236" spans="1:19">
      <c r="A236" s="663"/>
      <c r="B236" s="663"/>
      <c r="C236" s="21"/>
      <c r="D236" s="2805"/>
      <c r="E236" s="21">
        <f t="shared" si="41"/>
        <v>1</v>
      </c>
      <c r="F236" s="2805" t="e">
        <f>#REF!</f>
        <v>#REF!</v>
      </c>
      <c r="G236" s="21">
        <f t="shared" si="42"/>
        <v>1</v>
      </c>
      <c r="H236" s="665"/>
      <c r="I236" s="21">
        <f t="shared" si="43"/>
        <v>1</v>
      </c>
      <c r="J236" s="665"/>
      <c r="K236" s="21">
        <f t="shared" si="44"/>
        <v>1</v>
      </c>
      <c r="L236" s="665"/>
      <c r="M236" s="21">
        <f t="shared" si="45"/>
        <v>1</v>
      </c>
      <c r="N236" s="665"/>
      <c r="O236" s="21">
        <f t="shared" si="46"/>
        <v>1</v>
      </c>
      <c r="P236" s="2805" t="e">
        <f>#REF!</f>
        <v>#REF!</v>
      </c>
      <c r="Q236" s="21">
        <f t="shared" si="47"/>
        <v>1</v>
      </c>
      <c r="R236" s="661">
        <f t="shared" si="48"/>
        <v>0</v>
      </c>
      <c r="S236" s="315">
        <f t="shared" si="49"/>
        <v>0</v>
      </c>
    </row>
    <row r="237" spans="1:19">
      <c r="A237" s="663"/>
      <c r="B237" s="663"/>
      <c r="C237" s="21"/>
      <c r="D237" s="2805"/>
      <c r="E237" s="21">
        <f t="shared" si="41"/>
        <v>1</v>
      </c>
      <c r="F237" s="2805" t="e">
        <f>#REF!</f>
        <v>#REF!</v>
      </c>
      <c r="G237" s="21">
        <f t="shared" si="42"/>
        <v>1</v>
      </c>
      <c r="H237" s="665"/>
      <c r="I237" s="21">
        <f t="shared" si="43"/>
        <v>1</v>
      </c>
      <c r="J237" s="665"/>
      <c r="K237" s="21">
        <f t="shared" si="44"/>
        <v>1</v>
      </c>
      <c r="L237" s="665"/>
      <c r="M237" s="21">
        <f t="shared" si="45"/>
        <v>1</v>
      </c>
      <c r="N237" s="665"/>
      <c r="O237" s="21">
        <f t="shared" si="46"/>
        <v>1</v>
      </c>
      <c r="P237" s="2805" t="e">
        <f>#REF!</f>
        <v>#REF!</v>
      </c>
      <c r="Q237" s="21">
        <f t="shared" si="47"/>
        <v>1</v>
      </c>
      <c r="R237" s="661">
        <f t="shared" si="48"/>
        <v>0</v>
      </c>
      <c r="S237" s="315">
        <f t="shared" si="49"/>
        <v>0</v>
      </c>
    </row>
    <row r="238" spans="1:19">
      <c r="A238" s="663"/>
      <c r="B238" s="663"/>
      <c r="C238" s="21"/>
      <c r="D238" s="2805"/>
      <c r="E238" s="21">
        <f t="shared" si="41"/>
        <v>1</v>
      </c>
      <c r="F238" s="2805" t="e">
        <f>#REF!</f>
        <v>#REF!</v>
      </c>
      <c r="G238" s="21">
        <f t="shared" si="42"/>
        <v>1</v>
      </c>
      <c r="H238" s="665"/>
      <c r="I238" s="21">
        <f t="shared" si="43"/>
        <v>1</v>
      </c>
      <c r="J238" s="665"/>
      <c r="K238" s="21">
        <f t="shared" si="44"/>
        <v>1</v>
      </c>
      <c r="L238" s="665"/>
      <c r="M238" s="21">
        <f t="shared" si="45"/>
        <v>1</v>
      </c>
      <c r="N238" s="665"/>
      <c r="O238" s="21">
        <f t="shared" si="46"/>
        <v>1</v>
      </c>
      <c r="P238" s="2805" t="e">
        <f>#REF!</f>
        <v>#REF!</v>
      </c>
      <c r="Q238" s="21">
        <f t="shared" si="47"/>
        <v>1</v>
      </c>
      <c r="R238" s="661">
        <f t="shared" si="48"/>
        <v>0</v>
      </c>
      <c r="S238" s="315">
        <f t="shared" si="49"/>
        <v>0</v>
      </c>
    </row>
    <row r="239" spans="1:19">
      <c r="A239" s="663"/>
      <c r="B239" s="663"/>
      <c r="C239" s="21"/>
      <c r="D239" s="2805"/>
      <c r="E239" s="21">
        <f t="shared" si="41"/>
        <v>1</v>
      </c>
      <c r="F239" s="2805" t="e">
        <f>#REF!</f>
        <v>#REF!</v>
      </c>
      <c r="G239" s="21">
        <f t="shared" si="42"/>
        <v>1</v>
      </c>
      <c r="H239" s="665"/>
      <c r="I239" s="21">
        <f t="shared" si="43"/>
        <v>1</v>
      </c>
      <c r="J239" s="665"/>
      <c r="K239" s="21">
        <f t="shared" si="44"/>
        <v>1</v>
      </c>
      <c r="L239" s="665"/>
      <c r="M239" s="21">
        <f t="shared" si="45"/>
        <v>1</v>
      </c>
      <c r="N239" s="665"/>
      <c r="O239" s="21">
        <f t="shared" si="46"/>
        <v>1</v>
      </c>
      <c r="P239" s="2805" t="e">
        <f>#REF!</f>
        <v>#REF!</v>
      </c>
      <c r="Q239" s="21">
        <f t="shared" si="47"/>
        <v>1</v>
      </c>
      <c r="R239" s="661">
        <f t="shared" si="48"/>
        <v>0</v>
      </c>
      <c r="S239" s="315">
        <f t="shared" si="49"/>
        <v>0</v>
      </c>
    </row>
    <row r="240" spans="1:19">
      <c r="A240" s="663"/>
      <c r="B240" s="663"/>
      <c r="C240" s="21"/>
      <c r="D240" s="2805"/>
      <c r="E240" s="21">
        <f t="shared" si="41"/>
        <v>1</v>
      </c>
      <c r="F240" s="2805" t="e">
        <f>#REF!</f>
        <v>#REF!</v>
      </c>
      <c r="G240" s="21">
        <f t="shared" si="42"/>
        <v>1</v>
      </c>
      <c r="H240" s="665"/>
      <c r="I240" s="21">
        <f t="shared" si="43"/>
        <v>1</v>
      </c>
      <c r="J240" s="665"/>
      <c r="K240" s="21">
        <f t="shared" si="44"/>
        <v>1</v>
      </c>
      <c r="L240" s="665"/>
      <c r="M240" s="21">
        <f t="shared" si="45"/>
        <v>1</v>
      </c>
      <c r="N240" s="665"/>
      <c r="O240" s="21">
        <f t="shared" si="46"/>
        <v>1</v>
      </c>
      <c r="P240" s="2805" t="e">
        <f>#REF!</f>
        <v>#REF!</v>
      </c>
      <c r="Q240" s="21">
        <f t="shared" si="47"/>
        <v>1</v>
      </c>
      <c r="R240" s="661">
        <f t="shared" si="48"/>
        <v>0</v>
      </c>
      <c r="S240" s="315">
        <f t="shared" si="49"/>
        <v>0</v>
      </c>
    </row>
    <row r="241" spans="1:19">
      <c r="A241" s="663"/>
      <c r="B241" s="663"/>
      <c r="C241" s="21"/>
      <c r="D241" s="2805"/>
      <c r="E241" s="21">
        <f t="shared" si="41"/>
        <v>1</v>
      </c>
      <c r="F241" s="2805" t="e">
        <f>#REF!</f>
        <v>#REF!</v>
      </c>
      <c r="G241" s="21">
        <f t="shared" si="42"/>
        <v>1</v>
      </c>
      <c r="H241" s="665"/>
      <c r="I241" s="21">
        <f t="shared" si="43"/>
        <v>1</v>
      </c>
      <c r="J241" s="665"/>
      <c r="K241" s="21">
        <f t="shared" si="44"/>
        <v>1</v>
      </c>
      <c r="L241" s="665"/>
      <c r="M241" s="21">
        <f t="shared" si="45"/>
        <v>1</v>
      </c>
      <c r="N241" s="665"/>
      <c r="O241" s="21">
        <f t="shared" si="46"/>
        <v>1</v>
      </c>
      <c r="P241" s="2805" t="e">
        <f>#REF!</f>
        <v>#REF!</v>
      </c>
      <c r="Q241" s="21">
        <f t="shared" si="47"/>
        <v>1</v>
      </c>
      <c r="R241" s="661">
        <f t="shared" si="48"/>
        <v>0</v>
      </c>
      <c r="S241" s="315">
        <f t="shared" si="49"/>
        <v>0</v>
      </c>
    </row>
    <row r="242" spans="1:19">
      <c r="A242" s="663"/>
      <c r="B242" s="663"/>
      <c r="C242" s="21"/>
      <c r="D242" s="2805"/>
      <c r="E242" s="21">
        <f t="shared" si="41"/>
        <v>1</v>
      </c>
      <c r="F242" s="2805" t="e">
        <f>#REF!</f>
        <v>#REF!</v>
      </c>
      <c r="G242" s="21">
        <f t="shared" si="42"/>
        <v>1</v>
      </c>
      <c r="H242" s="665"/>
      <c r="I242" s="21">
        <f t="shared" si="43"/>
        <v>1</v>
      </c>
      <c r="J242" s="665"/>
      <c r="K242" s="21">
        <f t="shared" si="44"/>
        <v>1</v>
      </c>
      <c r="L242" s="665"/>
      <c r="M242" s="21">
        <f t="shared" si="45"/>
        <v>1</v>
      </c>
      <c r="N242" s="665"/>
      <c r="O242" s="21">
        <f t="shared" si="46"/>
        <v>1</v>
      </c>
      <c r="P242" s="2805" t="e">
        <f>#REF!</f>
        <v>#REF!</v>
      </c>
      <c r="Q242" s="21">
        <f t="shared" si="47"/>
        <v>1</v>
      </c>
      <c r="R242" s="661">
        <f t="shared" si="48"/>
        <v>0</v>
      </c>
      <c r="S242" s="315">
        <f t="shared" si="49"/>
        <v>0</v>
      </c>
    </row>
    <row r="243" spans="1:19">
      <c r="A243" s="663"/>
      <c r="B243" s="663"/>
      <c r="C243" s="21"/>
      <c r="D243" s="2805"/>
      <c r="E243" s="21">
        <f t="shared" si="41"/>
        <v>1</v>
      </c>
      <c r="F243" s="2805" t="e">
        <f>#REF!</f>
        <v>#REF!</v>
      </c>
      <c r="G243" s="21">
        <f t="shared" si="42"/>
        <v>1</v>
      </c>
      <c r="H243" s="665"/>
      <c r="I243" s="21">
        <f t="shared" si="43"/>
        <v>1</v>
      </c>
      <c r="J243" s="665"/>
      <c r="K243" s="21">
        <f t="shared" si="44"/>
        <v>1</v>
      </c>
      <c r="L243" s="665"/>
      <c r="M243" s="21">
        <f t="shared" si="45"/>
        <v>1</v>
      </c>
      <c r="N243" s="665"/>
      <c r="O243" s="21">
        <f t="shared" si="46"/>
        <v>1</v>
      </c>
      <c r="P243" s="2805" t="e">
        <f>#REF!</f>
        <v>#REF!</v>
      </c>
      <c r="Q243" s="21">
        <f t="shared" si="47"/>
        <v>1</v>
      </c>
      <c r="R243" s="661">
        <f t="shared" si="48"/>
        <v>0</v>
      </c>
      <c r="S243" s="315">
        <f t="shared" si="49"/>
        <v>0</v>
      </c>
    </row>
    <row r="244" spans="1:19">
      <c r="A244" s="663"/>
      <c r="B244" s="663"/>
      <c r="C244" s="21"/>
      <c r="D244" s="2805"/>
      <c r="E244" s="21">
        <f t="shared" si="41"/>
        <v>1</v>
      </c>
      <c r="F244" s="2805" t="e">
        <f>#REF!</f>
        <v>#REF!</v>
      </c>
      <c r="G244" s="21">
        <f t="shared" si="42"/>
        <v>1</v>
      </c>
      <c r="H244" s="665"/>
      <c r="I244" s="21">
        <f t="shared" si="43"/>
        <v>1</v>
      </c>
      <c r="J244" s="665"/>
      <c r="K244" s="21">
        <f t="shared" si="44"/>
        <v>1</v>
      </c>
      <c r="L244" s="665"/>
      <c r="M244" s="21">
        <f t="shared" si="45"/>
        <v>1</v>
      </c>
      <c r="N244" s="665"/>
      <c r="O244" s="21">
        <f t="shared" si="46"/>
        <v>1</v>
      </c>
      <c r="P244" s="2805" t="e">
        <f>#REF!</f>
        <v>#REF!</v>
      </c>
      <c r="Q244" s="21">
        <f t="shared" si="47"/>
        <v>1</v>
      </c>
      <c r="R244" s="661">
        <f t="shared" si="48"/>
        <v>0</v>
      </c>
      <c r="S244" s="315">
        <f t="shared" si="49"/>
        <v>0</v>
      </c>
    </row>
    <row r="245" spans="1:19">
      <c r="A245" s="663"/>
      <c r="B245" s="663"/>
      <c r="C245" s="21"/>
      <c r="D245" s="2805"/>
      <c r="E245" s="21">
        <f t="shared" si="41"/>
        <v>1</v>
      </c>
      <c r="F245" s="2805" t="e">
        <f>#REF!</f>
        <v>#REF!</v>
      </c>
      <c r="G245" s="21">
        <f t="shared" si="42"/>
        <v>1</v>
      </c>
      <c r="H245" s="665"/>
      <c r="I245" s="21">
        <f t="shared" si="43"/>
        <v>1</v>
      </c>
      <c r="J245" s="665"/>
      <c r="K245" s="21">
        <f t="shared" si="44"/>
        <v>1</v>
      </c>
      <c r="L245" s="665"/>
      <c r="M245" s="21">
        <f t="shared" si="45"/>
        <v>1</v>
      </c>
      <c r="N245" s="665"/>
      <c r="O245" s="21">
        <f t="shared" si="46"/>
        <v>1</v>
      </c>
      <c r="P245" s="2805" t="e">
        <f>#REF!</f>
        <v>#REF!</v>
      </c>
      <c r="Q245" s="21">
        <f t="shared" si="47"/>
        <v>1</v>
      </c>
      <c r="R245" s="661">
        <f t="shared" si="48"/>
        <v>0</v>
      </c>
      <c r="S245" s="315">
        <f t="shared" si="49"/>
        <v>0</v>
      </c>
    </row>
    <row r="246" spans="1:19">
      <c r="A246" s="663"/>
      <c r="B246" s="663"/>
      <c r="C246" s="21"/>
      <c r="D246" s="2805"/>
      <c r="E246" s="21">
        <f t="shared" si="41"/>
        <v>1</v>
      </c>
      <c r="F246" s="2805" t="e">
        <f>#REF!</f>
        <v>#REF!</v>
      </c>
      <c r="G246" s="21">
        <f t="shared" si="42"/>
        <v>1</v>
      </c>
      <c r="H246" s="665"/>
      <c r="I246" s="21">
        <f t="shared" si="43"/>
        <v>1</v>
      </c>
      <c r="J246" s="665"/>
      <c r="K246" s="21">
        <f t="shared" si="44"/>
        <v>1</v>
      </c>
      <c r="L246" s="665"/>
      <c r="M246" s="21">
        <f t="shared" si="45"/>
        <v>1</v>
      </c>
      <c r="N246" s="665"/>
      <c r="O246" s="21">
        <f t="shared" si="46"/>
        <v>1</v>
      </c>
      <c r="P246" s="2805" t="e">
        <f>#REF!</f>
        <v>#REF!</v>
      </c>
      <c r="Q246" s="21">
        <f t="shared" si="47"/>
        <v>1</v>
      </c>
      <c r="R246" s="661">
        <f t="shared" si="48"/>
        <v>0</v>
      </c>
      <c r="S246" s="315">
        <f t="shared" si="49"/>
        <v>0</v>
      </c>
    </row>
    <row r="247" spans="1:19">
      <c r="A247" s="663"/>
      <c r="B247" s="663"/>
      <c r="C247" s="21"/>
      <c r="D247" s="2805"/>
      <c r="E247" s="21">
        <f t="shared" si="41"/>
        <v>1</v>
      </c>
      <c r="F247" s="2805" t="e">
        <f>#REF!</f>
        <v>#REF!</v>
      </c>
      <c r="G247" s="21">
        <f t="shared" si="42"/>
        <v>1</v>
      </c>
      <c r="H247" s="665"/>
      <c r="I247" s="21">
        <f t="shared" si="43"/>
        <v>1</v>
      </c>
      <c r="J247" s="665"/>
      <c r="K247" s="21">
        <f t="shared" si="44"/>
        <v>1</v>
      </c>
      <c r="L247" s="665"/>
      <c r="M247" s="21">
        <f t="shared" si="45"/>
        <v>1</v>
      </c>
      <c r="N247" s="665"/>
      <c r="O247" s="21">
        <f t="shared" si="46"/>
        <v>1</v>
      </c>
      <c r="P247" s="2805" t="e">
        <f>#REF!</f>
        <v>#REF!</v>
      </c>
      <c r="Q247" s="21">
        <f t="shared" si="47"/>
        <v>1</v>
      </c>
      <c r="R247" s="661">
        <f t="shared" si="48"/>
        <v>0</v>
      </c>
      <c r="S247" s="315">
        <f t="shared" si="49"/>
        <v>0</v>
      </c>
    </row>
    <row r="248" spans="1:19">
      <c r="A248" s="663"/>
      <c r="B248" s="663"/>
      <c r="C248" s="21"/>
      <c r="D248" s="2805"/>
      <c r="E248" s="21">
        <f t="shared" si="41"/>
        <v>1</v>
      </c>
      <c r="F248" s="2805" t="e">
        <f>#REF!</f>
        <v>#REF!</v>
      </c>
      <c r="G248" s="21">
        <f t="shared" si="42"/>
        <v>1</v>
      </c>
      <c r="H248" s="665"/>
      <c r="I248" s="21">
        <f t="shared" si="43"/>
        <v>1</v>
      </c>
      <c r="J248" s="665"/>
      <c r="K248" s="21">
        <f t="shared" si="44"/>
        <v>1</v>
      </c>
      <c r="L248" s="665"/>
      <c r="M248" s="21">
        <f t="shared" si="45"/>
        <v>1</v>
      </c>
      <c r="N248" s="665"/>
      <c r="O248" s="21">
        <f t="shared" si="46"/>
        <v>1</v>
      </c>
      <c r="P248" s="2805" t="e">
        <f>#REF!</f>
        <v>#REF!</v>
      </c>
      <c r="Q248" s="21">
        <f t="shared" si="47"/>
        <v>1</v>
      </c>
      <c r="R248" s="661">
        <f t="shared" si="48"/>
        <v>0</v>
      </c>
      <c r="S248" s="315">
        <f t="shared" si="49"/>
        <v>0</v>
      </c>
    </row>
    <row r="249" spans="1:19">
      <c r="A249" s="663"/>
      <c r="B249" s="663"/>
      <c r="C249" s="21"/>
      <c r="D249" s="2805"/>
      <c r="E249" s="21">
        <f t="shared" si="41"/>
        <v>1</v>
      </c>
      <c r="F249" s="2805" t="e">
        <f>#REF!</f>
        <v>#REF!</v>
      </c>
      <c r="G249" s="21">
        <f t="shared" si="42"/>
        <v>1</v>
      </c>
      <c r="H249" s="665"/>
      <c r="I249" s="21">
        <f t="shared" si="43"/>
        <v>1</v>
      </c>
      <c r="J249" s="665"/>
      <c r="K249" s="21">
        <f t="shared" si="44"/>
        <v>1</v>
      </c>
      <c r="L249" s="665"/>
      <c r="M249" s="21">
        <f t="shared" si="45"/>
        <v>1</v>
      </c>
      <c r="N249" s="665"/>
      <c r="O249" s="21">
        <f t="shared" si="46"/>
        <v>1</v>
      </c>
      <c r="P249" s="2805" t="e">
        <f>#REF!</f>
        <v>#REF!</v>
      </c>
      <c r="Q249" s="21">
        <f t="shared" si="47"/>
        <v>1</v>
      </c>
      <c r="R249" s="661">
        <f t="shared" si="48"/>
        <v>0</v>
      </c>
      <c r="S249" s="315">
        <f t="shared" si="49"/>
        <v>0</v>
      </c>
    </row>
    <row r="250" spans="1:19">
      <c r="A250" s="663"/>
      <c r="B250" s="663"/>
      <c r="C250" s="21"/>
      <c r="D250" s="2805"/>
      <c r="E250" s="21">
        <f t="shared" si="41"/>
        <v>1</v>
      </c>
      <c r="F250" s="2805" t="e">
        <f>#REF!</f>
        <v>#REF!</v>
      </c>
      <c r="G250" s="21">
        <f t="shared" si="42"/>
        <v>1</v>
      </c>
      <c r="H250" s="665"/>
      <c r="I250" s="21">
        <f t="shared" si="43"/>
        <v>1</v>
      </c>
      <c r="J250" s="665"/>
      <c r="K250" s="21">
        <f t="shared" si="44"/>
        <v>1</v>
      </c>
      <c r="L250" s="665"/>
      <c r="M250" s="21">
        <f t="shared" si="45"/>
        <v>1</v>
      </c>
      <c r="N250" s="665"/>
      <c r="O250" s="21">
        <f t="shared" si="46"/>
        <v>1</v>
      </c>
      <c r="P250" s="2805" t="e">
        <f>#REF!</f>
        <v>#REF!</v>
      </c>
      <c r="Q250" s="21">
        <f t="shared" si="47"/>
        <v>1</v>
      </c>
      <c r="R250" s="661">
        <f t="shared" si="48"/>
        <v>0</v>
      </c>
      <c r="S250" s="315">
        <f t="shared" si="49"/>
        <v>0</v>
      </c>
    </row>
    <row r="251" spans="1:19">
      <c r="A251" s="663"/>
      <c r="B251" s="663"/>
      <c r="C251" s="21"/>
      <c r="D251" s="2805"/>
      <c r="E251" s="21">
        <f t="shared" si="41"/>
        <v>1</v>
      </c>
      <c r="F251" s="2805" t="e">
        <f>#REF!</f>
        <v>#REF!</v>
      </c>
      <c r="G251" s="21">
        <f t="shared" si="42"/>
        <v>1</v>
      </c>
      <c r="H251" s="665"/>
      <c r="I251" s="21">
        <f t="shared" si="43"/>
        <v>1</v>
      </c>
      <c r="J251" s="665"/>
      <c r="K251" s="21">
        <f t="shared" si="44"/>
        <v>1</v>
      </c>
      <c r="L251" s="665"/>
      <c r="M251" s="21">
        <f t="shared" si="45"/>
        <v>1</v>
      </c>
      <c r="N251" s="665"/>
      <c r="O251" s="21">
        <f t="shared" si="46"/>
        <v>1</v>
      </c>
      <c r="P251" s="2805" t="e">
        <f>#REF!</f>
        <v>#REF!</v>
      </c>
      <c r="Q251" s="21">
        <f t="shared" si="47"/>
        <v>1</v>
      </c>
      <c r="R251" s="661">
        <f t="shared" si="48"/>
        <v>0</v>
      </c>
      <c r="S251" s="315">
        <f t="shared" si="49"/>
        <v>0</v>
      </c>
    </row>
    <row r="252" spans="1:19">
      <c r="A252" s="663"/>
      <c r="B252" s="663"/>
      <c r="C252" s="21"/>
      <c r="D252" s="2805"/>
      <c r="E252" s="21">
        <f t="shared" si="41"/>
        <v>1</v>
      </c>
      <c r="F252" s="2805" t="e">
        <f>#REF!</f>
        <v>#REF!</v>
      </c>
      <c r="G252" s="21">
        <f t="shared" si="42"/>
        <v>1</v>
      </c>
      <c r="H252" s="665"/>
      <c r="I252" s="21">
        <f t="shared" si="43"/>
        <v>1</v>
      </c>
      <c r="J252" s="665"/>
      <c r="K252" s="21">
        <f t="shared" si="44"/>
        <v>1</v>
      </c>
      <c r="L252" s="665"/>
      <c r="M252" s="21">
        <f t="shared" si="45"/>
        <v>1</v>
      </c>
      <c r="N252" s="665"/>
      <c r="O252" s="21">
        <f t="shared" si="46"/>
        <v>1</v>
      </c>
      <c r="P252" s="2805" t="e">
        <f>#REF!</f>
        <v>#REF!</v>
      </c>
      <c r="Q252" s="21">
        <f t="shared" si="47"/>
        <v>1</v>
      </c>
      <c r="R252" s="661">
        <f t="shared" si="48"/>
        <v>0</v>
      </c>
      <c r="S252" s="315">
        <f t="shared" si="49"/>
        <v>0</v>
      </c>
    </row>
    <row r="253" spans="1:19">
      <c r="A253" s="663"/>
      <c r="B253" s="663"/>
      <c r="C253" s="21"/>
      <c r="D253" s="2805"/>
      <c r="E253" s="21">
        <f t="shared" si="41"/>
        <v>1</v>
      </c>
      <c r="F253" s="2805" t="e">
        <f>#REF!</f>
        <v>#REF!</v>
      </c>
      <c r="G253" s="21">
        <f t="shared" si="42"/>
        <v>1</v>
      </c>
      <c r="H253" s="665"/>
      <c r="I253" s="21">
        <f t="shared" si="43"/>
        <v>1</v>
      </c>
      <c r="J253" s="665"/>
      <c r="K253" s="21">
        <f t="shared" si="44"/>
        <v>1</v>
      </c>
      <c r="L253" s="665"/>
      <c r="M253" s="21">
        <f t="shared" si="45"/>
        <v>1</v>
      </c>
      <c r="N253" s="665"/>
      <c r="O253" s="21">
        <f t="shared" si="46"/>
        <v>1</v>
      </c>
      <c r="P253" s="2805" t="e">
        <f>#REF!</f>
        <v>#REF!</v>
      </c>
      <c r="Q253" s="21">
        <f t="shared" si="47"/>
        <v>1</v>
      </c>
      <c r="R253" s="661">
        <f t="shared" si="48"/>
        <v>0</v>
      </c>
      <c r="S253" s="315">
        <f t="shared" si="49"/>
        <v>0</v>
      </c>
    </row>
    <row r="254" spans="1:19">
      <c r="A254" s="663"/>
      <c r="B254" s="663"/>
      <c r="C254" s="21"/>
      <c r="D254" s="2805"/>
      <c r="E254" s="21">
        <f t="shared" si="41"/>
        <v>1</v>
      </c>
      <c r="F254" s="2805" t="e">
        <f>#REF!</f>
        <v>#REF!</v>
      </c>
      <c r="G254" s="21">
        <f t="shared" si="42"/>
        <v>1</v>
      </c>
      <c r="H254" s="665"/>
      <c r="I254" s="21">
        <f t="shared" si="43"/>
        <v>1</v>
      </c>
      <c r="J254" s="665"/>
      <c r="K254" s="21">
        <f t="shared" si="44"/>
        <v>1</v>
      </c>
      <c r="L254" s="665"/>
      <c r="M254" s="21">
        <f t="shared" si="45"/>
        <v>1</v>
      </c>
      <c r="N254" s="665"/>
      <c r="O254" s="21">
        <f t="shared" si="46"/>
        <v>1</v>
      </c>
      <c r="P254" s="2805" t="e">
        <f>#REF!</f>
        <v>#REF!</v>
      </c>
      <c r="Q254" s="21">
        <f t="shared" si="47"/>
        <v>1</v>
      </c>
      <c r="R254" s="661">
        <f t="shared" si="48"/>
        <v>0</v>
      </c>
      <c r="S254" s="315">
        <f t="shared" si="49"/>
        <v>0</v>
      </c>
    </row>
    <row r="255" spans="1:19">
      <c r="A255" s="663"/>
      <c r="B255" s="663"/>
      <c r="C255" s="21"/>
      <c r="D255" s="2805"/>
      <c r="E255" s="21">
        <f t="shared" si="41"/>
        <v>1</v>
      </c>
      <c r="F255" s="2805" t="e">
        <f>#REF!</f>
        <v>#REF!</v>
      </c>
      <c r="G255" s="21">
        <f t="shared" si="42"/>
        <v>1</v>
      </c>
      <c r="H255" s="665"/>
      <c r="I255" s="21">
        <f t="shared" si="43"/>
        <v>1</v>
      </c>
      <c r="J255" s="665"/>
      <c r="K255" s="21">
        <f t="shared" si="44"/>
        <v>1</v>
      </c>
      <c r="L255" s="665"/>
      <c r="M255" s="21">
        <f t="shared" si="45"/>
        <v>1</v>
      </c>
      <c r="N255" s="665"/>
      <c r="O255" s="21">
        <f t="shared" si="46"/>
        <v>1</v>
      </c>
      <c r="P255" s="2805" t="e">
        <f>#REF!</f>
        <v>#REF!</v>
      </c>
      <c r="Q255" s="21">
        <f t="shared" si="47"/>
        <v>1</v>
      </c>
      <c r="R255" s="661">
        <f t="shared" si="48"/>
        <v>0</v>
      </c>
      <c r="S255" s="315">
        <f t="shared" si="49"/>
        <v>0</v>
      </c>
    </row>
    <row r="256" spans="1:19">
      <c r="A256" s="663"/>
      <c r="B256" s="663"/>
      <c r="C256" s="21"/>
      <c r="D256" s="2805"/>
      <c r="E256" s="21">
        <f t="shared" si="41"/>
        <v>1</v>
      </c>
      <c r="F256" s="2805" t="e">
        <f>#REF!</f>
        <v>#REF!</v>
      </c>
      <c r="G256" s="21">
        <f t="shared" si="42"/>
        <v>1</v>
      </c>
      <c r="H256" s="665"/>
      <c r="I256" s="21">
        <f t="shared" si="43"/>
        <v>1</v>
      </c>
      <c r="J256" s="665"/>
      <c r="K256" s="21">
        <f t="shared" si="44"/>
        <v>1</v>
      </c>
      <c r="L256" s="665"/>
      <c r="M256" s="21">
        <f t="shared" si="45"/>
        <v>1</v>
      </c>
      <c r="N256" s="665"/>
      <c r="O256" s="21">
        <f t="shared" si="46"/>
        <v>1</v>
      </c>
      <c r="P256" s="2805" t="e">
        <f>#REF!</f>
        <v>#REF!</v>
      </c>
      <c r="Q256" s="21">
        <f t="shared" si="47"/>
        <v>1</v>
      </c>
      <c r="R256" s="661">
        <f t="shared" si="48"/>
        <v>0</v>
      </c>
      <c r="S256" s="315">
        <f t="shared" si="49"/>
        <v>0</v>
      </c>
    </row>
    <row r="257" spans="1:19">
      <c r="A257" s="663"/>
      <c r="B257" s="663"/>
      <c r="C257" s="21"/>
      <c r="D257" s="2805"/>
      <c r="E257" s="21">
        <f t="shared" si="41"/>
        <v>1</v>
      </c>
      <c r="F257" s="2805" t="e">
        <f>#REF!</f>
        <v>#REF!</v>
      </c>
      <c r="G257" s="21">
        <f t="shared" si="42"/>
        <v>1</v>
      </c>
      <c r="H257" s="665"/>
      <c r="I257" s="21">
        <f t="shared" si="43"/>
        <v>1</v>
      </c>
      <c r="J257" s="665"/>
      <c r="K257" s="21">
        <f t="shared" si="44"/>
        <v>1</v>
      </c>
      <c r="L257" s="665"/>
      <c r="M257" s="21">
        <f t="shared" si="45"/>
        <v>1</v>
      </c>
      <c r="N257" s="665"/>
      <c r="O257" s="21">
        <f t="shared" si="46"/>
        <v>1</v>
      </c>
      <c r="P257" s="2805" t="e">
        <f>#REF!</f>
        <v>#REF!</v>
      </c>
      <c r="Q257" s="21">
        <f t="shared" si="47"/>
        <v>1</v>
      </c>
      <c r="R257" s="661">
        <f t="shared" si="48"/>
        <v>0</v>
      </c>
      <c r="S257" s="315">
        <f t="shared" si="49"/>
        <v>0</v>
      </c>
    </row>
    <row r="258" spans="1:19">
      <c r="A258" s="663"/>
      <c r="B258" s="663"/>
      <c r="C258" s="21"/>
      <c r="D258" s="2805"/>
      <c r="E258" s="21">
        <f t="shared" si="41"/>
        <v>1</v>
      </c>
      <c r="F258" s="2805" t="e">
        <f>#REF!</f>
        <v>#REF!</v>
      </c>
      <c r="G258" s="21">
        <f t="shared" si="42"/>
        <v>1</v>
      </c>
      <c r="H258" s="665"/>
      <c r="I258" s="21">
        <f t="shared" si="43"/>
        <v>1</v>
      </c>
      <c r="J258" s="665"/>
      <c r="K258" s="21">
        <f t="shared" si="44"/>
        <v>1</v>
      </c>
      <c r="L258" s="665"/>
      <c r="M258" s="21">
        <f t="shared" si="45"/>
        <v>1</v>
      </c>
      <c r="N258" s="665"/>
      <c r="O258" s="21">
        <f t="shared" si="46"/>
        <v>1</v>
      </c>
      <c r="P258" s="2805" t="e">
        <f>#REF!</f>
        <v>#REF!</v>
      </c>
      <c r="Q258" s="21">
        <f t="shared" si="47"/>
        <v>1</v>
      </c>
      <c r="R258" s="661">
        <f t="shared" si="48"/>
        <v>0</v>
      </c>
      <c r="S258" s="315">
        <f t="shared" si="49"/>
        <v>0</v>
      </c>
    </row>
    <row r="259" spans="1:19">
      <c r="A259" s="663"/>
      <c r="B259" s="663"/>
      <c r="C259" s="21"/>
      <c r="D259" s="2805"/>
      <c r="E259" s="21">
        <f t="shared" si="41"/>
        <v>1</v>
      </c>
      <c r="F259" s="2805" t="e">
        <f>#REF!</f>
        <v>#REF!</v>
      </c>
      <c r="G259" s="21">
        <f t="shared" si="42"/>
        <v>1</v>
      </c>
      <c r="H259" s="665"/>
      <c r="I259" s="21">
        <f t="shared" si="43"/>
        <v>1</v>
      </c>
      <c r="J259" s="665"/>
      <c r="K259" s="21">
        <f t="shared" si="44"/>
        <v>1</v>
      </c>
      <c r="L259" s="665"/>
      <c r="M259" s="21">
        <f t="shared" si="45"/>
        <v>1</v>
      </c>
      <c r="N259" s="665"/>
      <c r="O259" s="21">
        <f t="shared" si="46"/>
        <v>1</v>
      </c>
      <c r="P259" s="2805" t="e">
        <f>#REF!</f>
        <v>#REF!</v>
      </c>
      <c r="Q259" s="21">
        <f t="shared" si="47"/>
        <v>1</v>
      </c>
      <c r="R259" s="661">
        <f t="shared" si="48"/>
        <v>0</v>
      </c>
      <c r="S259" s="315">
        <f t="shared" si="49"/>
        <v>0</v>
      </c>
    </row>
    <row r="260" spans="1:19">
      <c r="A260" s="663"/>
      <c r="B260" s="663"/>
      <c r="C260" s="21"/>
      <c r="D260" s="2805"/>
      <c r="E260" s="21">
        <f t="shared" si="41"/>
        <v>1</v>
      </c>
      <c r="F260" s="2805" t="e">
        <f>#REF!</f>
        <v>#REF!</v>
      </c>
      <c r="G260" s="21">
        <f t="shared" si="42"/>
        <v>1</v>
      </c>
      <c r="H260" s="665"/>
      <c r="I260" s="21">
        <f t="shared" si="43"/>
        <v>1</v>
      </c>
      <c r="J260" s="665"/>
      <c r="K260" s="21">
        <f t="shared" si="44"/>
        <v>1</v>
      </c>
      <c r="L260" s="665"/>
      <c r="M260" s="21">
        <f t="shared" si="45"/>
        <v>1</v>
      </c>
      <c r="N260" s="665"/>
      <c r="O260" s="21">
        <f t="shared" si="46"/>
        <v>1</v>
      </c>
      <c r="P260" s="2805" t="e">
        <f>#REF!</f>
        <v>#REF!</v>
      </c>
      <c r="Q260" s="21">
        <f t="shared" si="47"/>
        <v>1</v>
      </c>
      <c r="R260" s="661">
        <f t="shared" si="48"/>
        <v>0</v>
      </c>
      <c r="S260" s="315">
        <f t="shared" si="49"/>
        <v>0</v>
      </c>
    </row>
    <row r="261" spans="1:19">
      <c r="A261" s="663"/>
      <c r="B261" s="663"/>
      <c r="C261" s="21"/>
      <c r="D261" s="2805"/>
      <c r="E261" s="21">
        <f t="shared" si="41"/>
        <v>1</v>
      </c>
      <c r="F261" s="2805" t="e">
        <f>#REF!</f>
        <v>#REF!</v>
      </c>
      <c r="G261" s="21">
        <f t="shared" si="42"/>
        <v>1</v>
      </c>
      <c r="H261" s="665"/>
      <c r="I261" s="21">
        <f t="shared" si="43"/>
        <v>1</v>
      </c>
      <c r="J261" s="665"/>
      <c r="K261" s="21">
        <f t="shared" si="44"/>
        <v>1</v>
      </c>
      <c r="L261" s="665"/>
      <c r="M261" s="21">
        <f t="shared" si="45"/>
        <v>1</v>
      </c>
      <c r="N261" s="665"/>
      <c r="O261" s="21">
        <f t="shared" si="46"/>
        <v>1</v>
      </c>
      <c r="P261" s="2805" t="e">
        <f>#REF!</f>
        <v>#REF!</v>
      </c>
      <c r="Q261" s="21">
        <f t="shared" si="47"/>
        <v>1</v>
      </c>
      <c r="R261" s="661">
        <f t="shared" si="48"/>
        <v>0</v>
      </c>
      <c r="S261" s="315">
        <f t="shared" si="49"/>
        <v>0</v>
      </c>
    </row>
    <row r="262" spans="1:19">
      <c r="A262" s="663"/>
      <c r="B262" s="663"/>
      <c r="C262" s="21"/>
      <c r="D262" s="2805"/>
      <c r="E262" s="21">
        <f t="shared" si="41"/>
        <v>1</v>
      </c>
      <c r="F262" s="2805" t="e">
        <f>#REF!</f>
        <v>#REF!</v>
      </c>
      <c r="G262" s="21">
        <f t="shared" si="42"/>
        <v>1</v>
      </c>
      <c r="H262" s="665"/>
      <c r="I262" s="21">
        <f t="shared" si="43"/>
        <v>1</v>
      </c>
      <c r="J262" s="665"/>
      <c r="K262" s="21">
        <f t="shared" si="44"/>
        <v>1</v>
      </c>
      <c r="L262" s="665"/>
      <c r="M262" s="21">
        <f t="shared" si="45"/>
        <v>1</v>
      </c>
      <c r="N262" s="665"/>
      <c r="O262" s="21">
        <f t="shared" si="46"/>
        <v>1</v>
      </c>
      <c r="P262" s="2805" t="e">
        <f>#REF!</f>
        <v>#REF!</v>
      </c>
      <c r="Q262" s="21">
        <f t="shared" si="47"/>
        <v>1</v>
      </c>
      <c r="R262" s="661">
        <f t="shared" si="48"/>
        <v>0</v>
      </c>
      <c r="S262" s="315">
        <f t="shared" si="49"/>
        <v>0</v>
      </c>
    </row>
    <row r="263" spans="1:19">
      <c r="A263" s="663"/>
      <c r="B263" s="663"/>
      <c r="C263" s="21"/>
      <c r="D263" s="2805"/>
      <c r="E263" s="21">
        <f t="shared" si="41"/>
        <v>1</v>
      </c>
      <c r="F263" s="2805" t="e">
        <f>#REF!</f>
        <v>#REF!</v>
      </c>
      <c r="G263" s="21">
        <f t="shared" si="42"/>
        <v>1</v>
      </c>
      <c r="H263" s="665"/>
      <c r="I263" s="21">
        <f t="shared" si="43"/>
        <v>1</v>
      </c>
      <c r="J263" s="665"/>
      <c r="K263" s="21">
        <f t="shared" si="44"/>
        <v>1</v>
      </c>
      <c r="L263" s="665"/>
      <c r="M263" s="21">
        <f t="shared" si="45"/>
        <v>1</v>
      </c>
      <c r="N263" s="665"/>
      <c r="O263" s="21">
        <f t="shared" si="46"/>
        <v>1</v>
      </c>
      <c r="P263" s="2805" t="e">
        <f>#REF!</f>
        <v>#REF!</v>
      </c>
      <c r="Q263" s="21">
        <f t="shared" si="47"/>
        <v>1</v>
      </c>
      <c r="R263" s="661">
        <f t="shared" si="48"/>
        <v>0</v>
      </c>
      <c r="S263" s="315">
        <f t="shared" si="49"/>
        <v>0</v>
      </c>
    </row>
    <row r="264" spans="1:19">
      <c r="A264" s="663"/>
      <c r="B264" s="663"/>
      <c r="C264" s="21"/>
      <c r="D264" s="2805"/>
      <c r="E264" s="21">
        <f t="shared" si="41"/>
        <v>1</v>
      </c>
      <c r="F264" s="2805" t="e">
        <f>#REF!</f>
        <v>#REF!</v>
      </c>
      <c r="G264" s="21">
        <f t="shared" si="42"/>
        <v>1</v>
      </c>
      <c r="H264" s="665"/>
      <c r="I264" s="21">
        <f t="shared" si="43"/>
        <v>1</v>
      </c>
      <c r="J264" s="665"/>
      <c r="K264" s="21">
        <f t="shared" si="44"/>
        <v>1</v>
      </c>
      <c r="L264" s="665"/>
      <c r="M264" s="21">
        <f t="shared" si="45"/>
        <v>1</v>
      </c>
      <c r="N264" s="665"/>
      <c r="O264" s="21">
        <f t="shared" si="46"/>
        <v>1</v>
      </c>
      <c r="P264" s="2805" t="e">
        <f>#REF!</f>
        <v>#REF!</v>
      </c>
      <c r="Q264" s="21">
        <f t="shared" si="47"/>
        <v>1</v>
      </c>
      <c r="R264" s="661">
        <f t="shared" si="48"/>
        <v>0</v>
      </c>
      <c r="S264" s="315">
        <f t="shared" si="49"/>
        <v>0</v>
      </c>
    </row>
    <row r="265" spans="1:19">
      <c r="A265" s="663"/>
      <c r="B265" s="663"/>
      <c r="C265" s="21"/>
      <c r="D265" s="2805"/>
      <c r="E265" s="21">
        <f t="shared" si="41"/>
        <v>1</v>
      </c>
      <c r="F265" s="2805" t="e">
        <f>#REF!</f>
        <v>#REF!</v>
      </c>
      <c r="G265" s="21">
        <f t="shared" si="42"/>
        <v>1</v>
      </c>
      <c r="H265" s="665"/>
      <c r="I265" s="21">
        <f t="shared" si="43"/>
        <v>1</v>
      </c>
      <c r="J265" s="665"/>
      <c r="K265" s="21">
        <f t="shared" si="44"/>
        <v>1</v>
      </c>
      <c r="L265" s="665"/>
      <c r="M265" s="21">
        <f t="shared" si="45"/>
        <v>1</v>
      </c>
      <c r="N265" s="665"/>
      <c r="O265" s="21">
        <f t="shared" si="46"/>
        <v>1</v>
      </c>
      <c r="P265" s="2805" t="e">
        <f>#REF!</f>
        <v>#REF!</v>
      </c>
      <c r="Q265" s="21">
        <f t="shared" si="47"/>
        <v>1</v>
      </c>
      <c r="R265" s="661">
        <f t="shared" si="48"/>
        <v>0</v>
      </c>
      <c r="S265" s="315">
        <f t="shared" si="49"/>
        <v>0</v>
      </c>
    </row>
    <row r="266" spans="1:19">
      <c r="A266" s="663"/>
      <c r="B266" s="663"/>
      <c r="C266" s="21"/>
      <c r="D266" s="2805"/>
      <c r="E266" s="21">
        <f t="shared" si="41"/>
        <v>1</v>
      </c>
      <c r="F266" s="2805" t="e">
        <f>#REF!</f>
        <v>#REF!</v>
      </c>
      <c r="G266" s="21">
        <f t="shared" si="42"/>
        <v>1</v>
      </c>
      <c r="H266" s="665"/>
      <c r="I266" s="21">
        <f t="shared" si="43"/>
        <v>1</v>
      </c>
      <c r="J266" s="665"/>
      <c r="K266" s="21">
        <f t="shared" si="44"/>
        <v>1</v>
      </c>
      <c r="L266" s="665"/>
      <c r="M266" s="21">
        <f t="shared" si="45"/>
        <v>1</v>
      </c>
      <c r="N266" s="665"/>
      <c r="O266" s="21">
        <f t="shared" si="46"/>
        <v>1</v>
      </c>
      <c r="P266" s="2805" t="e">
        <f>#REF!</f>
        <v>#REF!</v>
      </c>
      <c r="Q266" s="21">
        <f t="shared" si="47"/>
        <v>1</v>
      </c>
      <c r="R266" s="661">
        <f t="shared" si="48"/>
        <v>0</v>
      </c>
      <c r="S266" s="315">
        <f t="shared" si="49"/>
        <v>0</v>
      </c>
    </row>
    <row r="267" spans="1:19">
      <c r="A267" s="663"/>
      <c r="B267" s="663"/>
      <c r="C267" s="21"/>
      <c r="D267" s="2805"/>
      <c r="E267" s="21">
        <f t="shared" si="41"/>
        <v>1</v>
      </c>
      <c r="F267" s="2805" t="e">
        <f>#REF!</f>
        <v>#REF!</v>
      </c>
      <c r="G267" s="21">
        <f t="shared" si="42"/>
        <v>1</v>
      </c>
      <c r="H267" s="665"/>
      <c r="I267" s="21">
        <f t="shared" si="43"/>
        <v>1</v>
      </c>
      <c r="J267" s="665"/>
      <c r="K267" s="21">
        <f t="shared" si="44"/>
        <v>1</v>
      </c>
      <c r="L267" s="665"/>
      <c r="M267" s="21">
        <f t="shared" si="45"/>
        <v>1</v>
      </c>
      <c r="N267" s="665"/>
      <c r="O267" s="21">
        <f t="shared" si="46"/>
        <v>1</v>
      </c>
      <c r="P267" s="2805" t="e">
        <f>#REF!</f>
        <v>#REF!</v>
      </c>
      <c r="Q267" s="21">
        <f t="shared" si="47"/>
        <v>1</v>
      </c>
      <c r="R267" s="661">
        <f t="shared" si="48"/>
        <v>0</v>
      </c>
      <c r="S267" s="315">
        <f t="shared" si="49"/>
        <v>0</v>
      </c>
    </row>
    <row r="268" spans="1:19">
      <c r="A268" s="663"/>
      <c r="B268" s="663"/>
      <c r="C268" s="21"/>
      <c r="D268" s="2805"/>
      <c r="E268" s="21">
        <f t="shared" si="41"/>
        <v>1</v>
      </c>
      <c r="F268" s="2805" t="e">
        <f>#REF!</f>
        <v>#REF!</v>
      </c>
      <c r="G268" s="21">
        <f t="shared" si="42"/>
        <v>1</v>
      </c>
      <c r="H268" s="665"/>
      <c r="I268" s="21">
        <f t="shared" si="43"/>
        <v>1</v>
      </c>
      <c r="J268" s="665"/>
      <c r="K268" s="21">
        <f t="shared" si="44"/>
        <v>1</v>
      </c>
      <c r="L268" s="665"/>
      <c r="M268" s="21">
        <f t="shared" si="45"/>
        <v>1</v>
      </c>
      <c r="N268" s="665"/>
      <c r="O268" s="21">
        <f t="shared" si="46"/>
        <v>1</v>
      </c>
      <c r="P268" s="2805" t="e">
        <f>#REF!</f>
        <v>#REF!</v>
      </c>
      <c r="Q268" s="21">
        <f t="shared" si="47"/>
        <v>1</v>
      </c>
      <c r="R268" s="661">
        <f t="shared" si="48"/>
        <v>0</v>
      </c>
      <c r="S268" s="315">
        <f t="shared" si="49"/>
        <v>0</v>
      </c>
    </row>
    <row r="269" spans="1:19">
      <c r="A269" s="663"/>
      <c r="B269" s="663"/>
      <c r="C269" s="21"/>
      <c r="D269" s="2805"/>
      <c r="E269" s="21">
        <f t="shared" si="41"/>
        <v>1</v>
      </c>
      <c r="F269" s="2805" t="e">
        <f>#REF!</f>
        <v>#REF!</v>
      </c>
      <c r="G269" s="21">
        <f t="shared" si="42"/>
        <v>1</v>
      </c>
      <c r="H269" s="665"/>
      <c r="I269" s="21">
        <f t="shared" si="43"/>
        <v>1</v>
      </c>
      <c r="J269" s="665"/>
      <c r="K269" s="21">
        <f t="shared" si="44"/>
        <v>1</v>
      </c>
      <c r="L269" s="665"/>
      <c r="M269" s="21">
        <f t="shared" si="45"/>
        <v>1</v>
      </c>
      <c r="N269" s="665"/>
      <c r="O269" s="21">
        <f t="shared" si="46"/>
        <v>1</v>
      </c>
      <c r="P269" s="2805" t="e">
        <f>#REF!</f>
        <v>#REF!</v>
      </c>
      <c r="Q269" s="21">
        <f t="shared" si="47"/>
        <v>1</v>
      </c>
      <c r="R269" s="661">
        <f t="shared" si="48"/>
        <v>0</v>
      </c>
      <c r="S269" s="315">
        <f t="shared" si="49"/>
        <v>0</v>
      </c>
    </row>
    <row r="270" spans="1:19">
      <c r="A270" s="663"/>
      <c r="B270" s="663"/>
      <c r="C270" s="21"/>
      <c r="D270" s="2805"/>
      <c r="E270" s="21">
        <f t="shared" si="41"/>
        <v>1</v>
      </c>
      <c r="F270" s="2805" t="e">
        <f>#REF!</f>
        <v>#REF!</v>
      </c>
      <c r="G270" s="21">
        <f t="shared" si="42"/>
        <v>1</v>
      </c>
      <c r="H270" s="665"/>
      <c r="I270" s="21">
        <f t="shared" si="43"/>
        <v>1</v>
      </c>
      <c r="J270" s="665"/>
      <c r="K270" s="21">
        <f t="shared" si="44"/>
        <v>1</v>
      </c>
      <c r="L270" s="665"/>
      <c r="M270" s="21">
        <f t="shared" si="45"/>
        <v>1</v>
      </c>
      <c r="N270" s="665"/>
      <c r="O270" s="21">
        <f t="shared" si="46"/>
        <v>1</v>
      </c>
      <c r="P270" s="2805" t="e">
        <f>#REF!</f>
        <v>#REF!</v>
      </c>
      <c r="Q270" s="21">
        <f t="shared" si="47"/>
        <v>1</v>
      </c>
      <c r="R270" s="661">
        <f t="shared" si="48"/>
        <v>0</v>
      </c>
      <c r="S270" s="315">
        <f t="shared" si="49"/>
        <v>0</v>
      </c>
    </row>
    <row r="271" spans="1:19">
      <c r="A271" s="663"/>
      <c r="B271" s="663"/>
      <c r="C271" s="21"/>
      <c r="D271" s="2805"/>
      <c r="E271" s="21">
        <f t="shared" si="41"/>
        <v>1</v>
      </c>
      <c r="F271" s="2805" t="e">
        <f>#REF!</f>
        <v>#REF!</v>
      </c>
      <c r="G271" s="21">
        <f t="shared" si="42"/>
        <v>1</v>
      </c>
      <c r="H271" s="665"/>
      <c r="I271" s="21">
        <f t="shared" si="43"/>
        <v>1</v>
      </c>
      <c r="J271" s="665"/>
      <c r="K271" s="21">
        <f t="shared" si="44"/>
        <v>1</v>
      </c>
      <c r="L271" s="665"/>
      <c r="M271" s="21">
        <f t="shared" si="45"/>
        <v>1</v>
      </c>
      <c r="N271" s="665"/>
      <c r="O271" s="21">
        <f t="shared" si="46"/>
        <v>1</v>
      </c>
      <c r="P271" s="2805" t="e">
        <f>#REF!</f>
        <v>#REF!</v>
      </c>
      <c r="Q271" s="21">
        <f t="shared" si="47"/>
        <v>1</v>
      </c>
      <c r="R271" s="661">
        <f t="shared" si="48"/>
        <v>0</v>
      </c>
      <c r="S271" s="315">
        <f t="shared" si="49"/>
        <v>0</v>
      </c>
    </row>
    <row r="272" spans="1:19">
      <c r="A272" s="663"/>
      <c r="B272" s="663"/>
      <c r="C272" s="21"/>
      <c r="D272" s="2805"/>
      <c r="E272" s="21">
        <f t="shared" si="41"/>
        <v>1</v>
      </c>
      <c r="F272" s="2805" t="e">
        <f>#REF!</f>
        <v>#REF!</v>
      </c>
      <c r="G272" s="21">
        <f t="shared" si="42"/>
        <v>1</v>
      </c>
      <c r="H272" s="665"/>
      <c r="I272" s="21">
        <f t="shared" si="43"/>
        <v>1</v>
      </c>
      <c r="J272" s="665"/>
      <c r="K272" s="21">
        <f t="shared" si="44"/>
        <v>1</v>
      </c>
      <c r="L272" s="665"/>
      <c r="M272" s="21">
        <f t="shared" si="45"/>
        <v>1</v>
      </c>
      <c r="N272" s="665"/>
      <c r="O272" s="21">
        <f t="shared" si="46"/>
        <v>1</v>
      </c>
      <c r="P272" s="2805" t="e">
        <f>#REF!</f>
        <v>#REF!</v>
      </c>
      <c r="Q272" s="21">
        <f t="shared" si="47"/>
        <v>1</v>
      </c>
      <c r="R272" s="661">
        <f t="shared" si="48"/>
        <v>0</v>
      </c>
      <c r="S272" s="315">
        <f t="shared" si="49"/>
        <v>0</v>
      </c>
    </row>
    <row r="273" spans="1:19">
      <c r="A273" s="663"/>
      <c r="B273" s="663"/>
      <c r="C273" s="21"/>
      <c r="D273" s="2805"/>
      <c r="E273" s="21">
        <f t="shared" si="41"/>
        <v>1</v>
      </c>
      <c r="F273" s="2805" t="e">
        <f>#REF!</f>
        <v>#REF!</v>
      </c>
      <c r="G273" s="21">
        <f t="shared" si="42"/>
        <v>1</v>
      </c>
      <c r="H273" s="665"/>
      <c r="I273" s="21">
        <f t="shared" si="43"/>
        <v>1</v>
      </c>
      <c r="J273" s="665"/>
      <c r="K273" s="21">
        <f t="shared" si="44"/>
        <v>1</v>
      </c>
      <c r="L273" s="665"/>
      <c r="M273" s="21">
        <f t="shared" si="45"/>
        <v>1</v>
      </c>
      <c r="N273" s="665"/>
      <c r="O273" s="21">
        <f t="shared" si="46"/>
        <v>1</v>
      </c>
      <c r="P273" s="2805" t="e">
        <f>#REF!</f>
        <v>#REF!</v>
      </c>
      <c r="Q273" s="21">
        <f t="shared" si="47"/>
        <v>1</v>
      </c>
      <c r="R273" s="661">
        <f t="shared" si="48"/>
        <v>0</v>
      </c>
      <c r="S273" s="315">
        <f t="shared" si="49"/>
        <v>0</v>
      </c>
    </row>
    <row r="274" spans="1:19">
      <c r="A274" s="663"/>
      <c r="B274" s="663"/>
      <c r="C274" s="21"/>
      <c r="D274" s="2805"/>
      <c r="E274" s="21">
        <f t="shared" si="41"/>
        <v>1</v>
      </c>
      <c r="F274" s="2805" t="e">
        <f>#REF!</f>
        <v>#REF!</v>
      </c>
      <c r="G274" s="21">
        <f t="shared" si="42"/>
        <v>1</v>
      </c>
      <c r="H274" s="665"/>
      <c r="I274" s="21">
        <f t="shared" si="43"/>
        <v>1</v>
      </c>
      <c r="J274" s="665"/>
      <c r="K274" s="21">
        <f t="shared" si="44"/>
        <v>1</v>
      </c>
      <c r="L274" s="665"/>
      <c r="M274" s="21">
        <f t="shared" si="45"/>
        <v>1</v>
      </c>
      <c r="N274" s="665"/>
      <c r="O274" s="21">
        <f t="shared" si="46"/>
        <v>1</v>
      </c>
      <c r="P274" s="2805" t="e">
        <f>#REF!</f>
        <v>#REF!</v>
      </c>
      <c r="Q274" s="21">
        <f t="shared" si="47"/>
        <v>1</v>
      </c>
      <c r="R274" s="661">
        <f t="shared" si="48"/>
        <v>0</v>
      </c>
      <c r="S274" s="315">
        <f t="shared" si="49"/>
        <v>0</v>
      </c>
    </row>
    <row r="275" spans="1:19">
      <c r="A275" s="663"/>
      <c r="B275" s="663"/>
      <c r="C275" s="21"/>
      <c r="D275" s="2805"/>
      <c r="E275" s="21">
        <f t="shared" si="41"/>
        <v>1</v>
      </c>
      <c r="F275" s="2805" t="e">
        <f>#REF!</f>
        <v>#REF!</v>
      </c>
      <c r="G275" s="21">
        <f t="shared" si="42"/>
        <v>1</v>
      </c>
      <c r="H275" s="665"/>
      <c r="I275" s="21">
        <f t="shared" si="43"/>
        <v>1</v>
      </c>
      <c r="J275" s="665"/>
      <c r="K275" s="21">
        <f t="shared" si="44"/>
        <v>1</v>
      </c>
      <c r="L275" s="665"/>
      <c r="M275" s="21">
        <f t="shared" si="45"/>
        <v>1</v>
      </c>
      <c r="N275" s="665"/>
      <c r="O275" s="21">
        <f t="shared" si="46"/>
        <v>1</v>
      </c>
      <c r="P275" s="2805" t="e">
        <f>#REF!</f>
        <v>#REF!</v>
      </c>
      <c r="Q275" s="21">
        <f t="shared" si="47"/>
        <v>1</v>
      </c>
      <c r="R275" s="661">
        <f t="shared" si="48"/>
        <v>0</v>
      </c>
      <c r="S275" s="315">
        <f t="shared" si="49"/>
        <v>0</v>
      </c>
    </row>
    <row r="276" spans="1:19">
      <c r="A276" s="663"/>
      <c r="B276" s="663"/>
      <c r="C276" s="21"/>
      <c r="D276" s="2805"/>
      <c r="E276" s="21">
        <f t="shared" si="41"/>
        <v>1</v>
      </c>
      <c r="F276" s="2805" t="e">
        <f>#REF!</f>
        <v>#REF!</v>
      </c>
      <c r="G276" s="21">
        <f t="shared" si="42"/>
        <v>1</v>
      </c>
      <c r="H276" s="665"/>
      <c r="I276" s="21">
        <f t="shared" si="43"/>
        <v>1</v>
      </c>
      <c r="J276" s="665"/>
      <c r="K276" s="21">
        <f t="shared" si="44"/>
        <v>1</v>
      </c>
      <c r="L276" s="665"/>
      <c r="M276" s="21">
        <f t="shared" si="45"/>
        <v>1</v>
      </c>
      <c r="N276" s="665"/>
      <c r="O276" s="21">
        <f t="shared" si="46"/>
        <v>1</v>
      </c>
      <c r="P276" s="2805" t="e">
        <f>#REF!</f>
        <v>#REF!</v>
      </c>
      <c r="Q276" s="21">
        <f t="shared" si="47"/>
        <v>1</v>
      </c>
      <c r="R276" s="661">
        <f t="shared" si="48"/>
        <v>0</v>
      </c>
      <c r="S276" s="315">
        <f t="shared" si="49"/>
        <v>0</v>
      </c>
    </row>
    <row r="277" spans="1:19">
      <c r="A277" s="663"/>
      <c r="B277" s="663"/>
      <c r="C277" s="21"/>
      <c r="D277" s="2805"/>
      <c r="E277" s="21">
        <f t="shared" si="41"/>
        <v>1</v>
      </c>
      <c r="F277" s="2805" t="e">
        <f>#REF!</f>
        <v>#REF!</v>
      </c>
      <c r="G277" s="21">
        <f t="shared" si="42"/>
        <v>1</v>
      </c>
      <c r="H277" s="665"/>
      <c r="I277" s="21">
        <f t="shared" si="43"/>
        <v>1</v>
      </c>
      <c r="J277" s="665"/>
      <c r="K277" s="21">
        <f t="shared" si="44"/>
        <v>1</v>
      </c>
      <c r="L277" s="665"/>
      <c r="M277" s="21">
        <f t="shared" si="45"/>
        <v>1</v>
      </c>
      <c r="N277" s="665"/>
      <c r="O277" s="21">
        <f t="shared" si="46"/>
        <v>1</v>
      </c>
      <c r="P277" s="2805" t="e">
        <f>#REF!</f>
        <v>#REF!</v>
      </c>
      <c r="Q277" s="21">
        <f t="shared" si="47"/>
        <v>1</v>
      </c>
      <c r="R277" s="661">
        <f t="shared" si="48"/>
        <v>0</v>
      </c>
      <c r="S277" s="315">
        <f t="shared" si="49"/>
        <v>0</v>
      </c>
    </row>
    <row r="278" spans="1:19">
      <c r="A278" s="663"/>
      <c r="B278" s="663"/>
      <c r="C278" s="21"/>
      <c r="D278" s="2805"/>
      <c r="E278" s="21">
        <f t="shared" si="41"/>
        <v>1</v>
      </c>
      <c r="F278" s="2805" t="e">
        <f>#REF!</f>
        <v>#REF!</v>
      </c>
      <c r="G278" s="21">
        <f t="shared" si="42"/>
        <v>1</v>
      </c>
      <c r="H278" s="665"/>
      <c r="I278" s="21">
        <f t="shared" si="43"/>
        <v>1</v>
      </c>
      <c r="J278" s="665"/>
      <c r="K278" s="21">
        <f t="shared" si="44"/>
        <v>1</v>
      </c>
      <c r="L278" s="665"/>
      <c r="M278" s="21">
        <f t="shared" si="45"/>
        <v>1</v>
      </c>
      <c r="N278" s="665"/>
      <c r="O278" s="21">
        <f t="shared" si="46"/>
        <v>1</v>
      </c>
      <c r="P278" s="2805" t="e">
        <f>#REF!</f>
        <v>#REF!</v>
      </c>
      <c r="Q278" s="21">
        <f t="shared" si="47"/>
        <v>1</v>
      </c>
      <c r="R278" s="661">
        <f t="shared" si="48"/>
        <v>0</v>
      </c>
      <c r="S278" s="315">
        <f t="shared" si="49"/>
        <v>0</v>
      </c>
    </row>
    <row r="279" spans="1:19">
      <c r="A279" s="663"/>
      <c r="B279" s="663"/>
      <c r="C279" s="21"/>
      <c r="D279" s="2805"/>
      <c r="E279" s="21">
        <f t="shared" si="41"/>
        <v>1</v>
      </c>
      <c r="F279" s="2805" t="e">
        <f>#REF!</f>
        <v>#REF!</v>
      </c>
      <c r="G279" s="21">
        <f t="shared" si="42"/>
        <v>1</v>
      </c>
      <c r="H279" s="665"/>
      <c r="I279" s="21">
        <f t="shared" si="43"/>
        <v>1</v>
      </c>
      <c r="J279" s="665"/>
      <c r="K279" s="21">
        <f t="shared" si="44"/>
        <v>1</v>
      </c>
      <c r="L279" s="665"/>
      <c r="M279" s="21">
        <f t="shared" si="45"/>
        <v>1</v>
      </c>
      <c r="N279" s="665"/>
      <c r="O279" s="21">
        <f t="shared" si="46"/>
        <v>1</v>
      </c>
      <c r="P279" s="2805" t="e">
        <f>#REF!</f>
        <v>#REF!</v>
      </c>
      <c r="Q279" s="21">
        <f t="shared" si="47"/>
        <v>1</v>
      </c>
      <c r="R279" s="661">
        <f t="shared" si="48"/>
        <v>0</v>
      </c>
      <c r="S279" s="315">
        <f t="shared" si="49"/>
        <v>0</v>
      </c>
    </row>
    <row r="280" spans="1:19">
      <c r="A280" s="663"/>
      <c r="B280" s="663"/>
      <c r="C280" s="21"/>
      <c r="D280" s="2805"/>
      <c r="E280" s="21">
        <f t="shared" si="41"/>
        <v>1</v>
      </c>
      <c r="F280" s="2805" t="e">
        <f>#REF!</f>
        <v>#REF!</v>
      </c>
      <c r="G280" s="21">
        <f t="shared" si="42"/>
        <v>1</v>
      </c>
      <c r="H280" s="665"/>
      <c r="I280" s="21">
        <f t="shared" si="43"/>
        <v>1</v>
      </c>
      <c r="J280" s="665"/>
      <c r="K280" s="21">
        <f t="shared" si="44"/>
        <v>1</v>
      </c>
      <c r="L280" s="665"/>
      <c r="M280" s="21">
        <f t="shared" si="45"/>
        <v>1</v>
      </c>
      <c r="N280" s="665"/>
      <c r="O280" s="21">
        <f t="shared" si="46"/>
        <v>1</v>
      </c>
      <c r="P280" s="2805" t="e">
        <f>#REF!</f>
        <v>#REF!</v>
      </c>
      <c r="Q280" s="21">
        <f t="shared" si="47"/>
        <v>1</v>
      </c>
      <c r="R280" s="661">
        <f t="shared" si="48"/>
        <v>0</v>
      </c>
      <c r="S280" s="315">
        <f t="shared" si="49"/>
        <v>0</v>
      </c>
    </row>
    <row r="281" spans="1:19">
      <c r="A281" s="663"/>
      <c r="B281" s="663"/>
      <c r="C281" s="21"/>
      <c r="D281" s="2805"/>
      <c r="E281" s="21">
        <f t="shared" si="41"/>
        <v>1</v>
      </c>
      <c r="F281" s="2805" t="e">
        <f>#REF!</f>
        <v>#REF!</v>
      </c>
      <c r="G281" s="21">
        <f t="shared" si="42"/>
        <v>1</v>
      </c>
      <c r="H281" s="665"/>
      <c r="I281" s="21">
        <f t="shared" si="43"/>
        <v>1</v>
      </c>
      <c r="J281" s="665"/>
      <c r="K281" s="21">
        <f t="shared" si="44"/>
        <v>1</v>
      </c>
      <c r="L281" s="665"/>
      <c r="M281" s="21">
        <f t="shared" si="45"/>
        <v>1</v>
      </c>
      <c r="N281" s="665"/>
      <c r="O281" s="21">
        <f t="shared" si="46"/>
        <v>1</v>
      </c>
      <c r="P281" s="2805" t="e">
        <f>#REF!</f>
        <v>#REF!</v>
      </c>
      <c r="Q281" s="21">
        <f t="shared" si="47"/>
        <v>1</v>
      </c>
      <c r="R281" s="661">
        <f t="shared" si="48"/>
        <v>0</v>
      </c>
      <c r="S281" s="315">
        <f t="shared" si="49"/>
        <v>0</v>
      </c>
    </row>
    <row r="282" spans="1:19">
      <c r="A282" s="663"/>
      <c r="B282" s="663"/>
      <c r="C282" s="21"/>
      <c r="D282" s="2805"/>
      <c r="E282" s="21">
        <f t="shared" ref="E282:E345" si="50">(SUMIF($5:$5,D282,$6:$6)-SUMIF($5:$5,$D$24,$6:$6)+100)/100</f>
        <v>1</v>
      </c>
      <c r="F282" s="2805"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5"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5"/>
      <c r="E283" s="21">
        <f t="shared" si="50"/>
        <v>1</v>
      </c>
      <c r="F283" s="2805" t="e">
        <f>#REF!</f>
        <v>#REF!</v>
      </c>
      <c r="G283" s="21">
        <f t="shared" si="51"/>
        <v>1</v>
      </c>
      <c r="H283" s="665"/>
      <c r="I283" s="21">
        <f t="shared" si="52"/>
        <v>1</v>
      </c>
      <c r="J283" s="665"/>
      <c r="K283" s="21">
        <f t="shared" si="53"/>
        <v>1</v>
      </c>
      <c r="L283" s="665"/>
      <c r="M283" s="21">
        <f t="shared" si="54"/>
        <v>1</v>
      </c>
      <c r="N283" s="665"/>
      <c r="O283" s="21">
        <f t="shared" si="55"/>
        <v>1</v>
      </c>
      <c r="P283" s="2805" t="e">
        <f>#REF!</f>
        <v>#REF!</v>
      </c>
      <c r="Q283" s="21">
        <f t="shared" si="56"/>
        <v>1</v>
      </c>
      <c r="R283" s="661">
        <f t="shared" si="57"/>
        <v>0</v>
      </c>
      <c r="S283" s="315">
        <f t="shared" si="49"/>
        <v>0</v>
      </c>
    </row>
    <row r="284" spans="1:19">
      <c r="A284" s="663"/>
      <c r="B284" s="663"/>
      <c r="C284" s="21"/>
      <c r="D284" s="2805"/>
      <c r="E284" s="21">
        <f t="shared" si="50"/>
        <v>1</v>
      </c>
      <c r="F284" s="2805" t="e">
        <f>#REF!</f>
        <v>#REF!</v>
      </c>
      <c r="G284" s="21">
        <f t="shared" si="51"/>
        <v>1</v>
      </c>
      <c r="H284" s="665"/>
      <c r="I284" s="21">
        <f t="shared" si="52"/>
        <v>1</v>
      </c>
      <c r="J284" s="665"/>
      <c r="K284" s="21">
        <f t="shared" si="53"/>
        <v>1</v>
      </c>
      <c r="L284" s="665"/>
      <c r="M284" s="21">
        <f t="shared" si="54"/>
        <v>1</v>
      </c>
      <c r="N284" s="665"/>
      <c r="O284" s="21">
        <f t="shared" si="55"/>
        <v>1</v>
      </c>
      <c r="P284" s="2805" t="e">
        <f>#REF!</f>
        <v>#REF!</v>
      </c>
      <c r="Q284" s="21">
        <f t="shared" si="56"/>
        <v>1</v>
      </c>
      <c r="R284" s="661">
        <f t="shared" si="57"/>
        <v>0</v>
      </c>
      <c r="S284" s="315">
        <f t="shared" si="49"/>
        <v>0</v>
      </c>
    </row>
    <row r="285" spans="1:19">
      <c r="A285" s="663"/>
      <c r="B285" s="663"/>
      <c r="C285" s="21"/>
      <c r="D285" s="2805"/>
      <c r="E285" s="21">
        <f t="shared" si="50"/>
        <v>1</v>
      </c>
      <c r="F285" s="2805" t="e">
        <f>#REF!</f>
        <v>#REF!</v>
      </c>
      <c r="G285" s="21">
        <f t="shared" si="51"/>
        <v>1</v>
      </c>
      <c r="H285" s="665"/>
      <c r="I285" s="21">
        <f t="shared" si="52"/>
        <v>1</v>
      </c>
      <c r="J285" s="665"/>
      <c r="K285" s="21">
        <f t="shared" si="53"/>
        <v>1</v>
      </c>
      <c r="L285" s="665"/>
      <c r="M285" s="21">
        <f t="shared" si="54"/>
        <v>1</v>
      </c>
      <c r="N285" s="665"/>
      <c r="O285" s="21">
        <f t="shared" si="55"/>
        <v>1</v>
      </c>
      <c r="P285" s="2805" t="e">
        <f>#REF!</f>
        <v>#REF!</v>
      </c>
      <c r="Q285" s="21">
        <f t="shared" si="56"/>
        <v>1</v>
      </c>
      <c r="R285" s="661">
        <f t="shared" si="57"/>
        <v>0</v>
      </c>
      <c r="S285" s="315">
        <f t="shared" si="49"/>
        <v>0</v>
      </c>
    </row>
    <row r="286" spans="1:19">
      <c r="A286" s="663"/>
      <c r="B286" s="663"/>
      <c r="C286" s="21"/>
      <c r="D286" s="2805"/>
      <c r="E286" s="21">
        <f t="shared" si="50"/>
        <v>1</v>
      </c>
      <c r="F286" s="2805" t="e">
        <f>#REF!</f>
        <v>#REF!</v>
      </c>
      <c r="G286" s="21">
        <f t="shared" si="51"/>
        <v>1</v>
      </c>
      <c r="H286" s="665"/>
      <c r="I286" s="21">
        <f t="shared" si="52"/>
        <v>1</v>
      </c>
      <c r="J286" s="665"/>
      <c r="K286" s="21">
        <f t="shared" si="53"/>
        <v>1</v>
      </c>
      <c r="L286" s="665"/>
      <c r="M286" s="21">
        <f t="shared" si="54"/>
        <v>1</v>
      </c>
      <c r="N286" s="665"/>
      <c r="O286" s="21">
        <f t="shared" si="55"/>
        <v>1</v>
      </c>
      <c r="P286" s="2805" t="e">
        <f>#REF!</f>
        <v>#REF!</v>
      </c>
      <c r="Q286" s="21">
        <f t="shared" si="56"/>
        <v>1</v>
      </c>
      <c r="R286" s="661">
        <f t="shared" si="57"/>
        <v>0</v>
      </c>
      <c r="S286" s="315">
        <f t="shared" si="49"/>
        <v>0</v>
      </c>
    </row>
    <row r="287" spans="1:19">
      <c r="A287" s="663"/>
      <c r="B287" s="663"/>
      <c r="C287" s="21"/>
      <c r="D287" s="2805"/>
      <c r="E287" s="21">
        <f t="shared" si="50"/>
        <v>1</v>
      </c>
      <c r="F287" s="2805" t="e">
        <f>#REF!</f>
        <v>#REF!</v>
      </c>
      <c r="G287" s="21">
        <f t="shared" si="51"/>
        <v>1</v>
      </c>
      <c r="H287" s="665"/>
      <c r="I287" s="21">
        <f t="shared" si="52"/>
        <v>1</v>
      </c>
      <c r="J287" s="665"/>
      <c r="K287" s="21">
        <f t="shared" si="53"/>
        <v>1</v>
      </c>
      <c r="L287" s="665"/>
      <c r="M287" s="21">
        <f t="shared" si="54"/>
        <v>1</v>
      </c>
      <c r="N287" s="665"/>
      <c r="O287" s="21">
        <f t="shared" si="55"/>
        <v>1</v>
      </c>
      <c r="P287" s="2805" t="e">
        <f>#REF!</f>
        <v>#REF!</v>
      </c>
      <c r="Q287" s="21">
        <f t="shared" si="56"/>
        <v>1</v>
      </c>
      <c r="R287" s="661">
        <f t="shared" si="57"/>
        <v>0</v>
      </c>
      <c r="S287" s="315">
        <f t="shared" ref="S287:S320" si="58">ROUND(R287*B287/10000,0)</f>
        <v>0</v>
      </c>
    </row>
    <row r="288" spans="1:19">
      <c r="A288" s="663"/>
      <c r="B288" s="663"/>
      <c r="C288" s="21"/>
      <c r="D288" s="2805"/>
      <c r="E288" s="21">
        <f t="shared" si="50"/>
        <v>1</v>
      </c>
      <c r="F288" s="2805" t="e">
        <f>#REF!</f>
        <v>#REF!</v>
      </c>
      <c r="G288" s="21">
        <f t="shared" si="51"/>
        <v>1</v>
      </c>
      <c r="H288" s="665"/>
      <c r="I288" s="21">
        <f t="shared" si="52"/>
        <v>1</v>
      </c>
      <c r="J288" s="665"/>
      <c r="K288" s="21">
        <f t="shared" si="53"/>
        <v>1</v>
      </c>
      <c r="L288" s="665"/>
      <c r="M288" s="21">
        <f t="shared" si="54"/>
        <v>1</v>
      </c>
      <c r="N288" s="665"/>
      <c r="O288" s="21">
        <f t="shared" si="55"/>
        <v>1</v>
      </c>
      <c r="P288" s="2805" t="e">
        <f>#REF!</f>
        <v>#REF!</v>
      </c>
      <c r="Q288" s="21">
        <f t="shared" si="56"/>
        <v>1</v>
      </c>
      <c r="R288" s="661">
        <f t="shared" si="57"/>
        <v>0</v>
      </c>
      <c r="S288" s="315">
        <f t="shared" si="58"/>
        <v>0</v>
      </c>
    </row>
    <row r="289" spans="1:19">
      <c r="A289" s="663"/>
      <c r="B289" s="663"/>
      <c r="C289" s="21"/>
      <c r="D289" s="2805"/>
      <c r="E289" s="21">
        <f t="shared" si="50"/>
        <v>1</v>
      </c>
      <c r="F289" s="2805" t="e">
        <f>#REF!</f>
        <v>#REF!</v>
      </c>
      <c r="G289" s="21">
        <f t="shared" si="51"/>
        <v>1</v>
      </c>
      <c r="H289" s="665"/>
      <c r="I289" s="21">
        <f t="shared" si="52"/>
        <v>1</v>
      </c>
      <c r="J289" s="665"/>
      <c r="K289" s="21">
        <f t="shared" si="53"/>
        <v>1</v>
      </c>
      <c r="L289" s="665"/>
      <c r="M289" s="21">
        <f t="shared" si="54"/>
        <v>1</v>
      </c>
      <c r="N289" s="665"/>
      <c r="O289" s="21">
        <f t="shared" si="55"/>
        <v>1</v>
      </c>
      <c r="P289" s="2805" t="e">
        <f>#REF!</f>
        <v>#REF!</v>
      </c>
      <c r="Q289" s="21">
        <f t="shared" si="56"/>
        <v>1</v>
      </c>
      <c r="R289" s="661">
        <f t="shared" si="57"/>
        <v>0</v>
      </c>
      <c r="S289" s="315">
        <f t="shared" si="58"/>
        <v>0</v>
      </c>
    </row>
    <row r="290" spans="1:19">
      <c r="A290" s="663"/>
      <c r="B290" s="663"/>
      <c r="C290" s="21"/>
      <c r="D290" s="2805"/>
      <c r="E290" s="21">
        <f t="shared" si="50"/>
        <v>1</v>
      </c>
      <c r="F290" s="2805" t="e">
        <f>#REF!</f>
        <v>#REF!</v>
      </c>
      <c r="G290" s="21">
        <f t="shared" si="51"/>
        <v>1</v>
      </c>
      <c r="H290" s="665"/>
      <c r="I290" s="21">
        <f t="shared" si="52"/>
        <v>1</v>
      </c>
      <c r="J290" s="665"/>
      <c r="K290" s="21">
        <f t="shared" si="53"/>
        <v>1</v>
      </c>
      <c r="L290" s="665"/>
      <c r="M290" s="21">
        <f t="shared" si="54"/>
        <v>1</v>
      </c>
      <c r="N290" s="665"/>
      <c r="O290" s="21">
        <f t="shared" si="55"/>
        <v>1</v>
      </c>
      <c r="P290" s="2805" t="e">
        <f>#REF!</f>
        <v>#REF!</v>
      </c>
      <c r="Q290" s="21">
        <f t="shared" si="56"/>
        <v>1</v>
      </c>
      <c r="R290" s="661">
        <f t="shared" si="57"/>
        <v>0</v>
      </c>
      <c r="S290" s="315">
        <f t="shared" si="58"/>
        <v>0</v>
      </c>
    </row>
    <row r="291" spans="1:19">
      <c r="A291" s="663"/>
      <c r="B291" s="663"/>
      <c r="C291" s="21"/>
      <c r="D291" s="2805"/>
      <c r="E291" s="21">
        <f t="shared" si="50"/>
        <v>1</v>
      </c>
      <c r="F291" s="2805" t="e">
        <f>#REF!</f>
        <v>#REF!</v>
      </c>
      <c r="G291" s="21">
        <f t="shared" si="51"/>
        <v>1</v>
      </c>
      <c r="H291" s="665"/>
      <c r="I291" s="21">
        <f t="shared" si="52"/>
        <v>1</v>
      </c>
      <c r="J291" s="665"/>
      <c r="K291" s="21">
        <f t="shared" si="53"/>
        <v>1</v>
      </c>
      <c r="L291" s="665"/>
      <c r="M291" s="21">
        <f t="shared" si="54"/>
        <v>1</v>
      </c>
      <c r="N291" s="665"/>
      <c r="O291" s="21">
        <f t="shared" si="55"/>
        <v>1</v>
      </c>
      <c r="P291" s="2805" t="e">
        <f>#REF!</f>
        <v>#REF!</v>
      </c>
      <c r="Q291" s="21">
        <f t="shared" si="56"/>
        <v>1</v>
      </c>
      <c r="R291" s="661">
        <f t="shared" si="57"/>
        <v>0</v>
      </c>
      <c r="S291" s="315">
        <f t="shared" si="58"/>
        <v>0</v>
      </c>
    </row>
    <row r="292" spans="1:19">
      <c r="A292" s="663"/>
      <c r="B292" s="663"/>
      <c r="C292" s="21"/>
      <c r="D292" s="2805"/>
      <c r="E292" s="21">
        <f t="shared" si="50"/>
        <v>1</v>
      </c>
      <c r="F292" s="2805" t="e">
        <f>#REF!</f>
        <v>#REF!</v>
      </c>
      <c r="G292" s="21">
        <f t="shared" si="51"/>
        <v>1</v>
      </c>
      <c r="H292" s="665"/>
      <c r="I292" s="21">
        <f t="shared" si="52"/>
        <v>1</v>
      </c>
      <c r="J292" s="665"/>
      <c r="K292" s="21">
        <f t="shared" si="53"/>
        <v>1</v>
      </c>
      <c r="L292" s="665"/>
      <c r="M292" s="21">
        <f t="shared" si="54"/>
        <v>1</v>
      </c>
      <c r="N292" s="665"/>
      <c r="O292" s="21">
        <f t="shared" si="55"/>
        <v>1</v>
      </c>
      <c r="P292" s="2805" t="e">
        <f>#REF!</f>
        <v>#REF!</v>
      </c>
      <c r="Q292" s="21">
        <f t="shared" si="56"/>
        <v>1</v>
      </c>
      <c r="R292" s="661">
        <f t="shared" si="57"/>
        <v>0</v>
      </c>
      <c r="S292" s="315">
        <f t="shared" si="58"/>
        <v>0</v>
      </c>
    </row>
    <row r="293" spans="1:19">
      <c r="A293" s="663"/>
      <c r="B293" s="663"/>
      <c r="C293" s="21"/>
      <c r="D293" s="2805"/>
      <c r="E293" s="21">
        <f t="shared" si="50"/>
        <v>1</v>
      </c>
      <c r="F293" s="2805" t="e">
        <f>#REF!</f>
        <v>#REF!</v>
      </c>
      <c r="G293" s="21">
        <f t="shared" si="51"/>
        <v>1</v>
      </c>
      <c r="H293" s="665"/>
      <c r="I293" s="21">
        <f t="shared" si="52"/>
        <v>1</v>
      </c>
      <c r="J293" s="665"/>
      <c r="K293" s="21">
        <f t="shared" si="53"/>
        <v>1</v>
      </c>
      <c r="L293" s="665"/>
      <c r="M293" s="21">
        <f t="shared" si="54"/>
        <v>1</v>
      </c>
      <c r="N293" s="665"/>
      <c r="O293" s="21">
        <f t="shared" si="55"/>
        <v>1</v>
      </c>
      <c r="P293" s="2805" t="e">
        <f>#REF!</f>
        <v>#REF!</v>
      </c>
      <c r="Q293" s="21">
        <f t="shared" si="56"/>
        <v>1</v>
      </c>
      <c r="R293" s="661">
        <f t="shared" si="57"/>
        <v>0</v>
      </c>
      <c r="S293" s="315">
        <f t="shared" si="58"/>
        <v>0</v>
      </c>
    </row>
    <row r="294" spans="1:19">
      <c r="A294" s="663"/>
      <c r="B294" s="663"/>
      <c r="C294" s="21"/>
      <c r="D294" s="2805"/>
      <c r="E294" s="21">
        <f t="shared" si="50"/>
        <v>1</v>
      </c>
      <c r="F294" s="2805" t="e">
        <f>#REF!</f>
        <v>#REF!</v>
      </c>
      <c r="G294" s="21">
        <f t="shared" si="51"/>
        <v>1</v>
      </c>
      <c r="H294" s="665"/>
      <c r="I294" s="21">
        <f t="shared" si="52"/>
        <v>1</v>
      </c>
      <c r="J294" s="665"/>
      <c r="K294" s="21">
        <f t="shared" si="53"/>
        <v>1</v>
      </c>
      <c r="L294" s="665"/>
      <c r="M294" s="21">
        <f t="shared" si="54"/>
        <v>1</v>
      </c>
      <c r="N294" s="665"/>
      <c r="O294" s="21">
        <f t="shared" si="55"/>
        <v>1</v>
      </c>
      <c r="P294" s="2805" t="e">
        <f>#REF!</f>
        <v>#REF!</v>
      </c>
      <c r="Q294" s="21">
        <f t="shared" si="56"/>
        <v>1</v>
      </c>
      <c r="R294" s="661">
        <f t="shared" si="57"/>
        <v>0</v>
      </c>
      <c r="S294" s="315">
        <f t="shared" si="58"/>
        <v>0</v>
      </c>
    </row>
    <row r="295" spans="1:19">
      <c r="A295" s="663"/>
      <c r="B295" s="663"/>
      <c r="C295" s="21"/>
      <c r="D295" s="2805"/>
      <c r="E295" s="21">
        <f t="shared" si="50"/>
        <v>1</v>
      </c>
      <c r="F295" s="2805" t="e">
        <f>#REF!</f>
        <v>#REF!</v>
      </c>
      <c r="G295" s="21">
        <f t="shared" si="51"/>
        <v>1</v>
      </c>
      <c r="H295" s="665"/>
      <c r="I295" s="21">
        <f t="shared" si="52"/>
        <v>1</v>
      </c>
      <c r="J295" s="665"/>
      <c r="K295" s="21">
        <f t="shared" si="53"/>
        <v>1</v>
      </c>
      <c r="L295" s="665"/>
      <c r="M295" s="21">
        <f t="shared" si="54"/>
        <v>1</v>
      </c>
      <c r="N295" s="665"/>
      <c r="O295" s="21">
        <f t="shared" si="55"/>
        <v>1</v>
      </c>
      <c r="P295" s="2805" t="e">
        <f>#REF!</f>
        <v>#REF!</v>
      </c>
      <c r="Q295" s="21">
        <f t="shared" si="56"/>
        <v>1</v>
      </c>
      <c r="R295" s="661">
        <f t="shared" si="57"/>
        <v>0</v>
      </c>
      <c r="S295" s="315">
        <f t="shared" si="58"/>
        <v>0</v>
      </c>
    </row>
    <row r="296" spans="1:19">
      <c r="A296" s="663"/>
      <c r="B296" s="663"/>
      <c r="C296" s="21"/>
      <c r="D296" s="2805"/>
      <c r="E296" s="21">
        <f t="shared" si="50"/>
        <v>1</v>
      </c>
      <c r="F296" s="2805" t="e">
        <f>#REF!</f>
        <v>#REF!</v>
      </c>
      <c r="G296" s="21">
        <f t="shared" si="51"/>
        <v>1</v>
      </c>
      <c r="H296" s="665"/>
      <c r="I296" s="21">
        <f t="shared" si="52"/>
        <v>1</v>
      </c>
      <c r="J296" s="665"/>
      <c r="K296" s="21">
        <f t="shared" si="53"/>
        <v>1</v>
      </c>
      <c r="L296" s="665"/>
      <c r="M296" s="21">
        <f t="shared" si="54"/>
        <v>1</v>
      </c>
      <c r="N296" s="665"/>
      <c r="O296" s="21">
        <f t="shared" si="55"/>
        <v>1</v>
      </c>
      <c r="P296" s="2805" t="e">
        <f>#REF!</f>
        <v>#REF!</v>
      </c>
      <c r="Q296" s="21">
        <f t="shared" si="56"/>
        <v>1</v>
      </c>
      <c r="R296" s="661">
        <f t="shared" si="57"/>
        <v>0</v>
      </c>
      <c r="S296" s="315">
        <f t="shared" si="58"/>
        <v>0</v>
      </c>
    </row>
    <row r="297" spans="1:19">
      <c r="A297" s="663"/>
      <c r="B297" s="663"/>
      <c r="C297" s="21"/>
      <c r="D297" s="2805"/>
      <c r="E297" s="21">
        <f t="shared" si="50"/>
        <v>1</v>
      </c>
      <c r="F297" s="2805" t="e">
        <f>#REF!</f>
        <v>#REF!</v>
      </c>
      <c r="G297" s="21">
        <f t="shared" si="51"/>
        <v>1</v>
      </c>
      <c r="H297" s="665"/>
      <c r="I297" s="21">
        <f t="shared" si="52"/>
        <v>1</v>
      </c>
      <c r="J297" s="665"/>
      <c r="K297" s="21">
        <f t="shared" si="53"/>
        <v>1</v>
      </c>
      <c r="L297" s="665"/>
      <c r="M297" s="21">
        <f t="shared" si="54"/>
        <v>1</v>
      </c>
      <c r="N297" s="665"/>
      <c r="O297" s="21">
        <f t="shared" si="55"/>
        <v>1</v>
      </c>
      <c r="P297" s="2805" t="e">
        <f>#REF!</f>
        <v>#REF!</v>
      </c>
      <c r="Q297" s="21">
        <f t="shared" si="56"/>
        <v>1</v>
      </c>
      <c r="R297" s="661">
        <f t="shared" si="57"/>
        <v>0</v>
      </c>
      <c r="S297" s="315">
        <f t="shared" si="58"/>
        <v>0</v>
      </c>
    </row>
    <row r="298" spans="1:19">
      <c r="A298" s="663"/>
      <c r="B298" s="663"/>
      <c r="C298" s="21"/>
      <c r="D298" s="2805"/>
      <c r="E298" s="21">
        <f t="shared" si="50"/>
        <v>1</v>
      </c>
      <c r="F298" s="2805" t="e">
        <f>#REF!</f>
        <v>#REF!</v>
      </c>
      <c r="G298" s="21">
        <f t="shared" si="51"/>
        <v>1</v>
      </c>
      <c r="H298" s="665"/>
      <c r="I298" s="21">
        <f t="shared" si="52"/>
        <v>1</v>
      </c>
      <c r="J298" s="665"/>
      <c r="K298" s="21">
        <f t="shared" si="53"/>
        <v>1</v>
      </c>
      <c r="L298" s="665"/>
      <c r="M298" s="21">
        <f t="shared" si="54"/>
        <v>1</v>
      </c>
      <c r="N298" s="665"/>
      <c r="O298" s="21">
        <f t="shared" si="55"/>
        <v>1</v>
      </c>
      <c r="P298" s="2805" t="e">
        <f>#REF!</f>
        <v>#REF!</v>
      </c>
      <c r="Q298" s="21">
        <f t="shared" si="56"/>
        <v>1</v>
      </c>
      <c r="R298" s="661">
        <f t="shared" si="57"/>
        <v>0</v>
      </c>
      <c r="S298" s="315">
        <f t="shared" si="58"/>
        <v>0</v>
      </c>
    </row>
    <row r="299" spans="1:19">
      <c r="A299" s="663"/>
      <c r="B299" s="663"/>
      <c r="C299" s="21"/>
      <c r="D299" s="2805"/>
      <c r="E299" s="21">
        <f t="shared" si="50"/>
        <v>1</v>
      </c>
      <c r="F299" s="2805" t="e">
        <f>#REF!</f>
        <v>#REF!</v>
      </c>
      <c r="G299" s="21">
        <f t="shared" si="51"/>
        <v>1</v>
      </c>
      <c r="H299" s="665"/>
      <c r="I299" s="21">
        <f t="shared" si="52"/>
        <v>1</v>
      </c>
      <c r="J299" s="665"/>
      <c r="K299" s="21">
        <f t="shared" si="53"/>
        <v>1</v>
      </c>
      <c r="L299" s="665"/>
      <c r="M299" s="21">
        <f t="shared" si="54"/>
        <v>1</v>
      </c>
      <c r="N299" s="665"/>
      <c r="O299" s="21">
        <f t="shared" si="55"/>
        <v>1</v>
      </c>
      <c r="P299" s="2805" t="e">
        <f>#REF!</f>
        <v>#REF!</v>
      </c>
      <c r="Q299" s="21">
        <f t="shared" si="56"/>
        <v>1</v>
      </c>
      <c r="R299" s="661">
        <f t="shared" si="57"/>
        <v>0</v>
      </c>
      <c r="S299" s="315">
        <f t="shared" si="58"/>
        <v>0</v>
      </c>
    </row>
    <row r="300" spans="1:19">
      <c r="A300" s="663"/>
      <c r="B300" s="663"/>
      <c r="C300" s="21"/>
      <c r="D300" s="2805"/>
      <c r="E300" s="21">
        <f t="shared" si="50"/>
        <v>1</v>
      </c>
      <c r="F300" s="2805" t="e">
        <f>#REF!</f>
        <v>#REF!</v>
      </c>
      <c r="G300" s="21">
        <f t="shared" si="51"/>
        <v>1</v>
      </c>
      <c r="H300" s="665"/>
      <c r="I300" s="21">
        <f t="shared" si="52"/>
        <v>1</v>
      </c>
      <c r="J300" s="665"/>
      <c r="K300" s="21">
        <f t="shared" si="53"/>
        <v>1</v>
      </c>
      <c r="L300" s="665"/>
      <c r="M300" s="21">
        <f t="shared" si="54"/>
        <v>1</v>
      </c>
      <c r="N300" s="665"/>
      <c r="O300" s="21">
        <f t="shared" si="55"/>
        <v>1</v>
      </c>
      <c r="P300" s="2805" t="e">
        <f>#REF!</f>
        <v>#REF!</v>
      </c>
      <c r="Q300" s="21">
        <f t="shared" si="56"/>
        <v>1</v>
      </c>
      <c r="R300" s="661">
        <f t="shared" si="57"/>
        <v>0</v>
      </c>
      <c r="S300" s="315">
        <f t="shared" si="58"/>
        <v>0</v>
      </c>
    </row>
    <row r="301" spans="1:19">
      <c r="A301" s="663"/>
      <c r="B301" s="663"/>
      <c r="C301" s="21"/>
      <c r="D301" s="2805"/>
      <c r="E301" s="21">
        <f t="shared" si="50"/>
        <v>1</v>
      </c>
      <c r="F301" s="2805" t="e">
        <f>#REF!</f>
        <v>#REF!</v>
      </c>
      <c r="G301" s="21">
        <f t="shared" si="51"/>
        <v>1</v>
      </c>
      <c r="H301" s="665"/>
      <c r="I301" s="21">
        <f t="shared" si="52"/>
        <v>1</v>
      </c>
      <c r="J301" s="665"/>
      <c r="K301" s="21">
        <f t="shared" si="53"/>
        <v>1</v>
      </c>
      <c r="L301" s="665"/>
      <c r="M301" s="21">
        <f t="shared" si="54"/>
        <v>1</v>
      </c>
      <c r="N301" s="665"/>
      <c r="O301" s="21">
        <f t="shared" si="55"/>
        <v>1</v>
      </c>
      <c r="P301" s="2805" t="e">
        <f>#REF!</f>
        <v>#REF!</v>
      </c>
      <c r="Q301" s="21">
        <f t="shared" si="56"/>
        <v>1</v>
      </c>
      <c r="R301" s="661">
        <f t="shared" si="57"/>
        <v>0</v>
      </c>
      <c r="S301" s="315">
        <f t="shared" si="58"/>
        <v>0</v>
      </c>
    </row>
    <row r="302" spans="1:19">
      <c r="A302" s="663"/>
      <c r="B302" s="663"/>
      <c r="C302" s="21"/>
      <c r="D302" s="2805"/>
      <c r="E302" s="21">
        <f t="shared" si="50"/>
        <v>1</v>
      </c>
      <c r="F302" s="2805" t="e">
        <f>#REF!</f>
        <v>#REF!</v>
      </c>
      <c r="G302" s="21">
        <f t="shared" si="51"/>
        <v>1</v>
      </c>
      <c r="H302" s="665"/>
      <c r="I302" s="21">
        <f t="shared" si="52"/>
        <v>1</v>
      </c>
      <c r="J302" s="665"/>
      <c r="K302" s="21">
        <f t="shared" si="53"/>
        <v>1</v>
      </c>
      <c r="L302" s="665"/>
      <c r="M302" s="21">
        <f t="shared" si="54"/>
        <v>1</v>
      </c>
      <c r="N302" s="665"/>
      <c r="O302" s="21">
        <f t="shared" si="55"/>
        <v>1</v>
      </c>
      <c r="P302" s="2805" t="e">
        <f>#REF!</f>
        <v>#REF!</v>
      </c>
      <c r="Q302" s="21">
        <f t="shared" si="56"/>
        <v>1</v>
      </c>
      <c r="R302" s="661">
        <f t="shared" si="57"/>
        <v>0</v>
      </c>
      <c r="S302" s="315">
        <f t="shared" si="58"/>
        <v>0</v>
      </c>
    </row>
    <row r="303" spans="1:19">
      <c r="A303" s="663"/>
      <c r="B303" s="663"/>
      <c r="C303" s="21"/>
      <c r="D303" s="2805"/>
      <c r="E303" s="21">
        <f t="shared" si="50"/>
        <v>1</v>
      </c>
      <c r="F303" s="2805" t="e">
        <f>#REF!</f>
        <v>#REF!</v>
      </c>
      <c r="G303" s="21">
        <f t="shared" si="51"/>
        <v>1</v>
      </c>
      <c r="H303" s="665"/>
      <c r="I303" s="21">
        <f t="shared" si="52"/>
        <v>1</v>
      </c>
      <c r="J303" s="665"/>
      <c r="K303" s="21">
        <f t="shared" si="53"/>
        <v>1</v>
      </c>
      <c r="L303" s="665"/>
      <c r="M303" s="21">
        <f t="shared" si="54"/>
        <v>1</v>
      </c>
      <c r="N303" s="665"/>
      <c r="O303" s="21">
        <f t="shared" si="55"/>
        <v>1</v>
      </c>
      <c r="P303" s="2805" t="e">
        <f>#REF!</f>
        <v>#REF!</v>
      </c>
      <c r="Q303" s="21">
        <f t="shared" si="56"/>
        <v>1</v>
      </c>
      <c r="R303" s="661">
        <f t="shared" si="57"/>
        <v>0</v>
      </c>
      <c r="S303" s="315">
        <f t="shared" si="58"/>
        <v>0</v>
      </c>
    </row>
    <row r="304" spans="1:19">
      <c r="A304" s="663"/>
      <c r="B304" s="663"/>
      <c r="C304" s="21"/>
      <c r="D304" s="2805"/>
      <c r="E304" s="21">
        <f t="shared" si="50"/>
        <v>1</v>
      </c>
      <c r="F304" s="2805" t="e">
        <f>#REF!</f>
        <v>#REF!</v>
      </c>
      <c r="G304" s="21">
        <f t="shared" si="51"/>
        <v>1</v>
      </c>
      <c r="H304" s="665"/>
      <c r="I304" s="21">
        <f t="shared" si="52"/>
        <v>1</v>
      </c>
      <c r="J304" s="665"/>
      <c r="K304" s="21">
        <f t="shared" si="53"/>
        <v>1</v>
      </c>
      <c r="L304" s="665"/>
      <c r="M304" s="21">
        <f t="shared" si="54"/>
        <v>1</v>
      </c>
      <c r="N304" s="665"/>
      <c r="O304" s="21">
        <f t="shared" si="55"/>
        <v>1</v>
      </c>
      <c r="P304" s="2805" t="e">
        <f>#REF!</f>
        <v>#REF!</v>
      </c>
      <c r="Q304" s="21">
        <f t="shared" si="56"/>
        <v>1</v>
      </c>
      <c r="R304" s="661">
        <f t="shared" si="57"/>
        <v>0</v>
      </c>
      <c r="S304" s="315">
        <f t="shared" si="58"/>
        <v>0</v>
      </c>
    </row>
    <row r="305" spans="1:19">
      <c r="A305" s="663"/>
      <c r="B305" s="663"/>
      <c r="C305" s="21"/>
      <c r="D305" s="2805"/>
      <c r="E305" s="21">
        <f t="shared" si="50"/>
        <v>1</v>
      </c>
      <c r="F305" s="2805" t="e">
        <f>#REF!</f>
        <v>#REF!</v>
      </c>
      <c r="G305" s="21">
        <f t="shared" si="51"/>
        <v>1</v>
      </c>
      <c r="H305" s="665"/>
      <c r="I305" s="21">
        <f t="shared" si="52"/>
        <v>1</v>
      </c>
      <c r="J305" s="665"/>
      <c r="K305" s="21">
        <f t="shared" si="53"/>
        <v>1</v>
      </c>
      <c r="L305" s="665"/>
      <c r="M305" s="21">
        <f t="shared" si="54"/>
        <v>1</v>
      </c>
      <c r="N305" s="665"/>
      <c r="O305" s="21">
        <f t="shared" si="55"/>
        <v>1</v>
      </c>
      <c r="P305" s="2805" t="e">
        <f>#REF!</f>
        <v>#REF!</v>
      </c>
      <c r="Q305" s="21">
        <f t="shared" si="56"/>
        <v>1</v>
      </c>
      <c r="R305" s="661">
        <f t="shared" si="57"/>
        <v>0</v>
      </c>
      <c r="S305" s="315">
        <f t="shared" si="58"/>
        <v>0</v>
      </c>
    </row>
    <row r="306" spans="1:19">
      <c r="A306" s="663"/>
      <c r="B306" s="663"/>
      <c r="C306" s="21"/>
      <c r="D306" s="2805"/>
      <c r="E306" s="21">
        <f t="shared" si="50"/>
        <v>1</v>
      </c>
      <c r="F306" s="2805" t="e">
        <f>#REF!</f>
        <v>#REF!</v>
      </c>
      <c r="G306" s="21">
        <f t="shared" si="51"/>
        <v>1</v>
      </c>
      <c r="H306" s="665"/>
      <c r="I306" s="21">
        <f t="shared" si="52"/>
        <v>1</v>
      </c>
      <c r="J306" s="665"/>
      <c r="K306" s="21">
        <f t="shared" si="53"/>
        <v>1</v>
      </c>
      <c r="L306" s="665"/>
      <c r="M306" s="21">
        <f t="shared" si="54"/>
        <v>1</v>
      </c>
      <c r="N306" s="665"/>
      <c r="O306" s="21">
        <f t="shared" si="55"/>
        <v>1</v>
      </c>
      <c r="P306" s="2805" t="e">
        <f>#REF!</f>
        <v>#REF!</v>
      </c>
      <c r="Q306" s="21">
        <f t="shared" si="56"/>
        <v>1</v>
      </c>
      <c r="R306" s="661">
        <f t="shared" si="57"/>
        <v>0</v>
      </c>
      <c r="S306" s="315">
        <f t="shared" si="58"/>
        <v>0</v>
      </c>
    </row>
    <row r="307" spans="1:19">
      <c r="A307" s="663"/>
      <c r="B307" s="663"/>
      <c r="C307" s="21"/>
      <c r="D307" s="2805"/>
      <c r="E307" s="21">
        <f t="shared" si="50"/>
        <v>1</v>
      </c>
      <c r="F307" s="2805" t="e">
        <f>#REF!</f>
        <v>#REF!</v>
      </c>
      <c r="G307" s="21">
        <f t="shared" si="51"/>
        <v>1</v>
      </c>
      <c r="H307" s="665"/>
      <c r="I307" s="21">
        <f t="shared" si="52"/>
        <v>1</v>
      </c>
      <c r="J307" s="665"/>
      <c r="K307" s="21">
        <f t="shared" si="53"/>
        <v>1</v>
      </c>
      <c r="L307" s="665"/>
      <c r="M307" s="21">
        <f t="shared" si="54"/>
        <v>1</v>
      </c>
      <c r="N307" s="665"/>
      <c r="O307" s="21">
        <f t="shared" si="55"/>
        <v>1</v>
      </c>
      <c r="P307" s="2805" t="e">
        <f>#REF!</f>
        <v>#REF!</v>
      </c>
      <c r="Q307" s="21">
        <f t="shared" si="56"/>
        <v>1</v>
      </c>
      <c r="R307" s="661">
        <f t="shared" si="57"/>
        <v>0</v>
      </c>
      <c r="S307" s="315">
        <f t="shared" si="58"/>
        <v>0</v>
      </c>
    </row>
    <row r="308" spans="1:19">
      <c r="A308" s="663"/>
      <c r="B308" s="663"/>
      <c r="C308" s="21"/>
      <c r="D308" s="2805"/>
      <c r="E308" s="21">
        <f t="shared" si="50"/>
        <v>1</v>
      </c>
      <c r="F308" s="2805" t="e">
        <f>#REF!</f>
        <v>#REF!</v>
      </c>
      <c r="G308" s="21">
        <f t="shared" si="51"/>
        <v>1</v>
      </c>
      <c r="H308" s="665"/>
      <c r="I308" s="21">
        <f t="shared" si="52"/>
        <v>1</v>
      </c>
      <c r="J308" s="665"/>
      <c r="K308" s="21">
        <f t="shared" si="53"/>
        <v>1</v>
      </c>
      <c r="L308" s="665"/>
      <c r="M308" s="21">
        <f t="shared" si="54"/>
        <v>1</v>
      </c>
      <c r="N308" s="665"/>
      <c r="O308" s="21">
        <f t="shared" si="55"/>
        <v>1</v>
      </c>
      <c r="P308" s="2805" t="e">
        <f>#REF!</f>
        <v>#REF!</v>
      </c>
      <c r="Q308" s="21">
        <f t="shared" si="56"/>
        <v>1</v>
      </c>
      <c r="R308" s="661">
        <f t="shared" si="57"/>
        <v>0</v>
      </c>
      <c r="S308" s="315">
        <f t="shared" si="58"/>
        <v>0</v>
      </c>
    </row>
    <row r="309" spans="1:19">
      <c r="A309" s="663"/>
      <c r="B309" s="663"/>
      <c r="C309" s="21"/>
      <c r="D309" s="2805"/>
      <c r="E309" s="21">
        <f t="shared" si="50"/>
        <v>1</v>
      </c>
      <c r="F309" s="2805" t="e">
        <f>#REF!</f>
        <v>#REF!</v>
      </c>
      <c r="G309" s="21">
        <f t="shared" si="51"/>
        <v>1</v>
      </c>
      <c r="H309" s="665"/>
      <c r="I309" s="21">
        <f t="shared" si="52"/>
        <v>1</v>
      </c>
      <c r="J309" s="665"/>
      <c r="K309" s="21">
        <f t="shared" si="53"/>
        <v>1</v>
      </c>
      <c r="L309" s="665"/>
      <c r="M309" s="21">
        <f t="shared" si="54"/>
        <v>1</v>
      </c>
      <c r="N309" s="665"/>
      <c r="O309" s="21">
        <f t="shared" si="55"/>
        <v>1</v>
      </c>
      <c r="P309" s="2805" t="e">
        <f>#REF!</f>
        <v>#REF!</v>
      </c>
      <c r="Q309" s="21">
        <f t="shared" si="56"/>
        <v>1</v>
      </c>
      <c r="R309" s="661">
        <f t="shared" si="57"/>
        <v>0</v>
      </c>
      <c r="S309" s="315">
        <f t="shared" si="58"/>
        <v>0</v>
      </c>
    </row>
    <row r="310" spans="1:19">
      <c r="A310" s="663"/>
      <c r="B310" s="663"/>
      <c r="C310" s="21"/>
      <c r="D310" s="2805"/>
      <c r="E310" s="21">
        <f t="shared" si="50"/>
        <v>1</v>
      </c>
      <c r="F310" s="2805" t="e">
        <f>#REF!</f>
        <v>#REF!</v>
      </c>
      <c r="G310" s="21">
        <f t="shared" si="51"/>
        <v>1</v>
      </c>
      <c r="H310" s="665"/>
      <c r="I310" s="21">
        <f t="shared" si="52"/>
        <v>1</v>
      </c>
      <c r="J310" s="665"/>
      <c r="K310" s="21">
        <f t="shared" si="53"/>
        <v>1</v>
      </c>
      <c r="L310" s="665"/>
      <c r="M310" s="21">
        <f t="shared" si="54"/>
        <v>1</v>
      </c>
      <c r="N310" s="665"/>
      <c r="O310" s="21">
        <f t="shared" si="55"/>
        <v>1</v>
      </c>
      <c r="P310" s="2805" t="e">
        <f>#REF!</f>
        <v>#REF!</v>
      </c>
      <c r="Q310" s="21">
        <f t="shared" si="56"/>
        <v>1</v>
      </c>
      <c r="R310" s="661">
        <f t="shared" si="57"/>
        <v>0</v>
      </c>
      <c r="S310" s="315">
        <f t="shared" si="58"/>
        <v>0</v>
      </c>
    </row>
    <row r="311" spans="1:19">
      <c r="A311" s="663"/>
      <c r="B311" s="663"/>
      <c r="C311" s="21"/>
      <c r="D311" s="2805"/>
      <c r="E311" s="21">
        <f t="shared" si="50"/>
        <v>1</v>
      </c>
      <c r="F311" s="2805" t="e">
        <f>#REF!</f>
        <v>#REF!</v>
      </c>
      <c r="G311" s="21">
        <f t="shared" si="51"/>
        <v>1</v>
      </c>
      <c r="H311" s="665"/>
      <c r="I311" s="21">
        <f t="shared" si="52"/>
        <v>1</v>
      </c>
      <c r="J311" s="665"/>
      <c r="K311" s="21">
        <f t="shared" si="53"/>
        <v>1</v>
      </c>
      <c r="L311" s="665"/>
      <c r="M311" s="21">
        <f t="shared" si="54"/>
        <v>1</v>
      </c>
      <c r="N311" s="665"/>
      <c r="O311" s="21">
        <f t="shared" si="55"/>
        <v>1</v>
      </c>
      <c r="P311" s="2805" t="e">
        <f>#REF!</f>
        <v>#REF!</v>
      </c>
      <c r="Q311" s="21">
        <f t="shared" si="56"/>
        <v>1</v>
      </c>
      <c r="R311" s="661">
        <f t="shared" si="57"/>
        <v>0</v>
      </c>
      <c r="S311" s="315">
        <f t="shared" si="58"/>
        <v>0</v>
      </c>
    </row>
    <row r="312" spans="1:19">
      <c r="A312" s="663"/>
      <c r="B312" s="663"/>
      <c r="C312" s="21"/>
      <c r="D312" s="2805"/>
      <c r="E312" s="21">
        <f t="shared" si="50"/>
        <v>1</v>
      </c>
      <c r="F312" s="2805" t="e">
        <f>#REF!</f>
        <v>#REF!</v>
      </c>
      <c r="G312" s="21">
        <f t="shared" si="51"/>
        <v>1</v>
      </c>
      <c r="H312" s="665"/>
      <c r="I312" s="21">
        <f t="shared" si="52"/>
        <v>1</v>
      </c>
      <c r="J312" s="665"/>
      <c r="K312" s="21">
        <f t="shared" si="53"/>
        <v>1</v>
      </c>
      <c r="L312" s="665"/>
      <c r="M312" s="21">
        <f t="shared" si="54"/>
        <v>1</v>
      </c>
      <c r="N312" s="665"/>
      <c r="O312" s="21">
        <f t="shared" si="55"/>
        <v>1</v>
      </c>
      <c r="P312" s="2805" t="e">
        <f>#REF!</f>
        <v>#REF!</v>
      </c>
      <c r="Q312" s="21">
        <f t="shared" si="56"/>
        <v>1</v>
      </c>
      <c r="R312" s="661">
        <f t="shared" si="57"/>
        <v>0</v>
      </c>
      <c r="S312" s="315">
        <f t="shared" si="58"/>
        <v>0</v>
      </c>
    </row>
    <row r="313" spans="1:19">
      <c r="A313" s="663"/>
      <c r="B313" s="663"/>
      <c r="C313" s="21"/>
      <c r="D313" s="2805"/>
      <c r="E313" s="21">
        <f t="shared" si="50"/>
        <v>1</v>
      </c>
      <c r="F313" s="2805" t="e">
        <f>#REF!</f>
        <v>#REF!</v>
      </c>
      <c r="G313" s="21">
        <f t="shared" si="51"/>
        <v>1</v>
      </c>
      <c r="H313" s="665"/>
      <c r="I313" s="21">
        <f t="shared" si="52"/>
        <v>1</v>
      </c>
      <c r="J313" s="665"/>
      <c r="K313" s="21">
        <f t="shared" si="53"/>
        <v>1</v>
      </c>
      <c r="L313" s="665"/>
      <c r="M313" s="21">
        <f t="shared" si="54"/>
        <v>1</v>
      </c>
      <c r="N313" s="665"/>
      <c r="O313" s="21">
        <f t="shared" si="55"/>
        <v>1</v>
      </c>
      <c r="P313" s="2805" t="e">
        <f>#REF!</f>
        <v>#REF!</v>
      </c>
      <c r="Q313" s="21">
        <f t="shared" si="56"/>
        <v>1</v>
      </c>
      <c r="R313" s="661">
        <f t="shared" si="57"/>
        <v>0</v>
      </c>
      <c r="S313" s="315">
        <f t="shared" si="58"/>
        <v>0</v>
      </c>
    </row>
    <row r="314" spans="1:19">
      <c r="A314" s="663"/>
      <c r="B314" s="663"/>
      <c r="C314" s="21"/>
      <c r="D314" s="2805"/>
      <c r="E314" s="21">
        <f t="shared" si="50"/>
        <v>1</v>
      </c>
      <c r="F314" s="2805" t="e">
        <f>#REF!</f>
        <v>#REF!</v>
      </c>
      <c r="G314" s="21">
        <f t="shared" si="51"/>
        <v>1</v>
      </c>
      <c r="H314" s="665"/>
      <c r="I314" s="21">
        <f t="shared" si="52"/>
        <v>1</v>
      </c>
      <c r="J314" s="665"/>
      <c r="K314" s="21">
        <f t="shared" si="53"/>
        <v>1</v>
      </c>
      <c r="L314" s="665"/>
      <c r="M314" s="21">
        <f t="shared" si="54"/>
        <v>1</v>
      </c>
      <c r="N314" s="665"/>
      <c r="O314" s="21">
        <f t="shared" si="55"/>
        <v>1</v>
      </c>
      <c r="P314" s="2805" t="e">
        <f>#REF!</f>
        <v>#REF!</v>
      </c>
      <c r="Q314" s="21">
        <f t="shared" si="56"/>
        <v>1</v>
      </c>
      <c r="R314" s="661">
        <f t="shared" si="57"/>
        <v>0</v>
      </c>
      <c r="S314" s="315">
        <f t="shared" si="58"/>
        <v>0</v>
      </c>
    </row>
    <row r="315" spans="1:19">
      <c r="A315" s="663"/>
      <c r="B315" s="663"/>
      <c r="C315" s="21"/>
      <c r="D315" s="2805"/>
      <c r="E315" s="21">
        <f t="shared" si="50"/>
        <v>1</v>
      </c>
      <c r="F315" s="2805" t="e">
        <f>#REF!</f>
        <v>#REF!</v>
      </c>
      <c r="G315" s="21">
        <f t="shared" si="51"/>
        <v>1</v>
      </c>
      <c r="H315" s="665"/>
      <c r="I315" s="21">
        <f t="shared" si="52"/>
        <v>1</v>
      </c>
      <c r="J315" s="665"/>
      <c r="K315" s="21">
        <f t="shared" si="53"/>
        <v>1</v>
      </c>
      <c r="L315" s="665"/>
      <c r="M315" s="21">
        <f t="shared" si="54"/>
        <v>1</v>
      </c>
      <c r="N315" s="665"/>
      <c r="O315" s="21">
        <f t="shared" si="55"/>
        <v>1</v>
      </c>
      <c r="P315" s="2805" t="e">
        <f>#REF!</f>
        <v>#REF!</v>
      </c>
      <c r="Q315" s="21">
        <f t="shared" si="56"/>
        <v>1</v>
      </c>
      <c r="R315" s="661">
        <f t="shared" si="57"/>
        <v>0</v>
      </c>
      <c r="S315" s="315">
        <f t="shared" si="58"/>
        <v>0</v>
      </c>
    </row>
    <row r="316" spans="1:19">
      <c r="A316" s="663"/>
      <c r="B316" s="663"/>
      <c r="C316" s="21"/>
      <c r="D316" s="2805"/>
      <c r="E316" s="21">
        <f t="shared" si="50"/>
        <v>1</v>
      </c>
      <c r="F316" s="2805" t="e">
        <f>#REF!</f>
        <v>#REF!</v>
      </c>
      <c r="G316" s="21">
        <f t="shared" si="51"/>
        <v>1</v>
      </c>
      <c r="H316" s="665"/>
      <c r="I316" s="21">
        <f t="shared" si="52"/>
        <v>1</v>
      </c>
      <c r="J316" s="665"/>
      <c r="K316" s="21">
        <f t="shared" si="53"/>
        <v>1</v>
      </c>
      <c r="L316" s="665"/>
      <c r="M316" s="21">
        <f t="shared" si="54"/>
        <v>1</v>
      </c>
      <c r="N316" s="665"/>
      <c r="O316" s="21">
        <f t="shared" si="55"/>
        <v>1</v>
      </c>
      <c r="P316" s="2805" t="e">
        <f>#REF!</f>
        <v>#REF!</v>
      </c>
      <c r="Q316" s="21">
        <f t="shared" si="56"/>
        <v>1</v>
      </c>
      <c r="R316" s="661">
        <f t="shared" si="57"/>
        <v>0</v>
      </c>
      <c r="S316" s="315">
        <f t="shared" si="58"/>
        <v>0</v>
      </c>
    </row>
    <row r="317" spans="1:19">
      <c r="A317" s="663"/>
      <c r="B317" s="663"/>
      <c r="C317" s="21"/>
      <c r="D317" s="2805"/>
      <c r="E317" s="21">
        <f t="shared" si="50"/>
        <v>1</v>
      </c>
      <c r="F317" s="2805" t="e">
        <f>#REF!</f>
        <v>#REF!</v>
      </c>
      <c r="G317" s="21">
        <f t="shared" si="51"/>
        <v>1</v>
      </c>
      <c r="H317" s="665"/>
      <c r="I317" s="21">
        <f t="shared" si="52"/>
        <v>1</v>
      </c>
      <c r="J317" s="665"/>
      <c r="K317" s="21">
        <f t="shared" si="53"/>
        <v>1</v>
      </c>
      <c r="L317" s="665"/>
      <c r="M317" s="21">
        <f t="shared" si="54"/>
        <v>1</v>
      </c>
      <c r="N317" s="665"/>
      <c r="O317" s="21">
        <f t="shared" si="55"/>
        <v>1</v>
      </c>
      <c r="P317" s="2805" t="e">
        <f>#REF!</f>
        <v>#REF!</v>
      </c>
      <c r="Q317" s="21">
        <f t="shared" si="56"/>
        <v>1</v>
      </c>
      <c r="R317" s="661">
        <f t="shared" si="57"/>
        <v>0</v>
      </c>
      <c r="S317" s="315">
        <f t="shared" si="58"/>
        <v>0</v>
      </c>
    </row>
    <row r="318" spans="1:19">
      <c r="A318" s="663"/>
      <c r="B318" s="663"/>
      <c r="C318" s="21"/>
      <c r="D318" s="2805"/>
      <c r="E318" s="21">
        <f t="shared" si="50"/>
        <v>1</v>
      </c>
      <c r="F318" s="2805" t="e">
        <f>#REF!</f>
        <v>#REF!</v>
      </c>
      <c r="G318" s="21">
        <f t="shared" si="51"/>
        <v>1</v>
      </c>
      <c r="H318" s="665"/>
      <c r="I318" s="21">
        <f t="shared" si="52"/>
        <v>1</v>
      </c>
      <c r="J318" s="665"/>
      <c r="K318" s="21">
        <f t="shared" si="53"/>
        <v>1</v>
      </c>
      <c r="L318" s="665"/>
      <c r="M318" s="21">
        <f t="shared" si="54"/>
        <v>1</v>
      </c>
      <c r="N318" s="665"/>
      <c r="O318" s="21">
        <f t="shared" si="55"/>
        <v>1</v>
      </c>
      <c r="P318" s="2805" t="e">
        <f>#REF!</f>
        <v>#REF!</v>
      </c>
      <c r="Q318" s="21">
        <f t="shared" si="56"/>
        <v>1</v>
      </c>
      <c r="R318" s="661">
        <f t="shared" si="57"/>
        <v>0</v>
      </c>
      <c r="S318" s="315">
        <f t="shared" si="58"/>
        <v>0</v>
      </c>
    </row>
    <row r="319" spans="1:19">
      <c r="A319" s="663"/>
      <c r="B319" s="663"/>
      <c r="C319" s="21"/>
      <c r="D319" s="2805"/>
      <c r="E319" s="21">
        <f t="shared" si="50"/>
        <v>1</v>
      </c>
      <c r="F319" s="2805" t="e">
        <f>#REF!</f>
        <v>#REF!</v>
      </c>
      <c r="G319" s="21">
        <f t="shared" si="51"/>
        <v>1</v>
      </c>
      <c r="H319" s="665"/>
      <c r="I319" s="21">
        <f t="shared" si="52"/>
        <v>1</v>
      </c>
      <c r="J319" s="665"/>
      <c r="K319" s="21">
        <f t="shared" si="53"/>
        <v>1</v>
      </c>
      <c r="L319" s="665"/>
      <c r="M319" s="21">
        <f t="shared" si="54"/>
        <v>1</v>
      </c>
      <c r="N319" s="665"/>
      <c r="O319" s="21">
        <f t="shared" si="55"/>
        <v>1</v>
      </c>
      <c r="P319" s="2805" t="e">
        <f>#REF!</f>
        <v>#REF!</v>
      </c>
      <c r="Q319" s="21">
        <f t="shared" si="56"/>
        <v>1</v>
      </c>
      <c r="R319" s="661">
        <f t="shared" si="57"/>
        <v>0</v>
      </c>
      <c r="S319" s="315">
        <f t="shared" si="58"/>
        <v>0</v>
      </c>
    </row>
    <row r="320" spans="1:19">
      <c r="A320" s="663"/>
      <c r="B320" s="663"/>
      <c r="C320" s="21"/>
      <c r="D320" s="2805"/>
      <c r="E320" s="21">
        <f t="shared" si="50"/>
        <v>1</v>
      </c>
      <c r="F320" s="2805" t="e">
        <f>#REF!</f>
        <v>#REF!</v>
      </c>
      <c r="G320" s="21">
        <f t="shared" si="51"/>
        <v>1</v>
      </c>
      <c r="H320" s="665"/>
      <c r="I320" s="21">
        <f t="shared" si="52"/>
        <v>1</v>
      </c>
      <c r="J320" s="665"/>
      <c r="K320" s="21">
        <f t="shared" si="53"/>
        <v>1</v>
      </c>
      <c r="L320" s="665"/>
      <c r="M320" s="21">
        <f t="shared" si="54"/>
        <v>1</v>
      </c>
      <c r="N320" s="665"/>
      <c r="O320" s="21">
        <f t="shared" si="55"/>
        <v>1</v>
      </c>
      <c r="P320" s="2805" t="e">
        <f>#REF!</f>
        <v>#REF!</v>
      </c>
      <c r="Q320" s="21">
        <f t="shared" si="56"/>
        <v>1</v>
      </c>
      <c r="R320" s="661">
        <f t="shared" si="57"/>
        <v>0</v>
      </c>
      <c r="S320" s="315">
        <f t="shared" si="58"/>
        <v>0</v>
      </c>
    </row>
    <row r="321" spans="1:19">
      <c r="A321" s="663"/>
      <c r="B321" s="663"/>
      <c r="C321" s="21"/>
      <c r="D321" s="2805"/>
      <c r="E321" s="21">
        <f t="shared" si="50"/>
        <v>1</v>
      </c>
      <c r="F321" s="2805" t="e">
        <f>#REF!</f>
        <v>#REF!</v>
      </c>
      <c r="G321" s="21">
        <f t="shared" si="51"/>
        <v>1</v>
      </c>
      <c r="H321" s="665"/>
      <c r="I321" s="21">
        <f t="shared" si="52"/>
        <v>1</v>
      </c>
      <c r="J321" s="665"/>
      <c r="K321" s="21">
        <f t="shared" si="53"/>
        <v>1</v>
      </c>
      <c r="L321" s="665"/>
      <c r="M321" s="21">
        <f t="shared" si="54"/>
        <v>1</v>
      </c>
      <c r="N321" s="665"/>
      <c r="O321" s="21">
        <f t="shared" si="55"/>
        <v>1</v>
      </c>
      <c r="P321" s="2805" t="e">
        <f>#REF!</f>
        <v>#REF!</v>
      </c>
      <c r="Q321" s="21">
        <f t="shared" si="56"/>
        <v>1</v>
      </c>
      <c r="R321" s="661">
        <f t="shared" si="57"/>
        <v>0</v>
      </c>
      <c r="S321" s="315">
        <f t="shared" ref="S321:S384" si="59">ROUND(R321*B321/10000,0)</f>
        <v>0</v>
      </c>
    </row>
    <row r="322" spans="1:19">
      <c r="A322" s="663"/>
      <c r="B322" s="663"/>
      <c r="C322" s="21"/>
      <c r="D322" s="2805"/>
      <c r="E322" s="21">
        <f t="shared" si="50"/>
        <v>1</v>
      </c>
      <c r="F322" s="2805" t="e">
        <f>#REF!</f>
        <v>#REF!</v>
      </c>
      <c r="G322" s="21">
        <f t="shared" si="51"/>
        <v>1</v>
      </c>
      <c r="H322" s="665"/>
      <c r="I322" s="21">
        <f t="shared" si="52"/>
        <v>1</v>
      </c>
      <c r="J322" s="665"/>
      <c r="K322" s="21">
        <f t="shared" si="53"/>
        <v>1</v>
      </c>
      <c r="L322" s="665"/>
      <c r="M322" s="21">
        <f t="shared" si="54"/>
        <v>1</v>
      </c>
      <c r="N322" s="665"/>
      <c r="O322" s="21">
        <f t="shared" si="55"/>
        <v>1</v>
      </c>
      <c r="P322" s="2805" t="e">
        <f>#REF!</f>
        <v>#REF!</v>
      </c>
      <c r="Q322" s="21">
        <f t="shared" si="56"/>
        <v>1</v>
      </c>
      <c r="R322" s="661">
        <f t="shared" si="57"/>
        <v>0</v>
      </c>
      <c r="S322" s="315">
        <f t="shared" si="59"/>
        <v>0</v>
      </c>
    </row>
    <row r="323" spans="1:19">
      <c r="A323" s="663"/>
      <c r="B323" s="663"/>
      <c r="C323" s="21"/>
      <c r="D323" s="2805"/>
      <c r="E323" s="21">
        <f t="shared" si="50"/>
        <v>1</v>
      </c>
      <c r="F323" s="2805" t="e">
        <f>#REF!</f>
        <v>#REF!</v>
      </c>
      <c r="G323" s="21">
        <f t="shared" si="51"/>
        <v>1</v>
      </c>
      <c r="H323" s="665"/>
      <c r="I323" s="21">
        <f t="shared" si="52"/>
        <v>1</v>
      </c>
      <c r="J323" s="665"/>
      <c r="K323" s="21">
        <f t="shared" si="53"/>
        <v>1</v>
      </c>
      <c r="L323" s="665"/>
      <c r="M323" s="21">
        <f t="shared" si="54"/>
        <v>1</v>
      </c>
      <c r="N323" s="665"/>
      <c r="O323" s="21">
        <f t="shared" si="55"/>
        <v>1</v>
      </c>
      <c r="P323" s="2805" t="e">
        <f>#REF!</f>
        <v>#REF!</v>
      </c>
      <c r="Q323" s="21">
        <f t="shared" si="56"/>
        <v>1</v>
      </c>
      <c r="R323" s="661">
        <f t="shared" si="57"/>
        <v>0</v>
      </c>
      <c r="S323" s="315">
        <f t="shared" si="59"/>
        <v>0</v>
      </c>
    </row>
    <row r="324" spans="1:19">
      <c r="A324" s="663"/>
      <c r="B324" s="663"/>
      <c r="C324" s="21"/>
      <c r="D324" s="2805"/>
      <c r="E324" s="21">
        <f t="shared" si="50"/>
        <v>1</v>
      </c>
      <c r="F324" s="2805" t="e">
        <f>#REF!</f>
        <v>#REF!</v>
      </c>
      <c r="G324" s="21">
        <f t="shared" si="51"/>
        <v>1</v>
      </c>
      <c r="H324" s="665"/>
      <c r="I324" s="21">
        <f t="shared" si="52"/>
        <v>1</v>
      </c>
      <c r="J324" s="665"/>
      <c r="K324" s="21">
        <f t="shared" si="53"/>
        <v>1</v>
      </c>
      <c r="L324" s="665"/>
      <c r="M324" s="21">
        <f t="shared" si="54"/>
        <v>1</v>
      </c>
      <c r="N324" s="665"/>
      <c r="O324" s="21">
        <f t="shared" si="55"/>
        <v>1</v>
      </c>
      <c r="P324" s="2805" t="e">
        <f>#REF!</f>
        <v>#REF!</v>
      </c>
      <c r="Q324" s="21">
        <f t="shared" si="56"/>
        <v>1</v>
      </c>
      <c r="R324" s="661">
        <f t="shared" si="57"/>
        <v>0</v>
      </c>
      <c r="S324" s="315">
        <f t="shared" si="59"/>
        <v>0</v>
      </c>
    </row>
    <row r="325" spans="1:19">
      <c r="A325" s="663"/>
      <c r="B325" s="663"/>
      <c r="C325" s="21"/>
      <c r="D325" s="2805"/>
      <c r="E325" s="21">
        <f t="shared" si="50"/>
        <v>1</v>
      </c>
      <c r="F325" s="2805" t="e">
        <f>#REF!</f>
        <v>#REF!</v>
      </c>
      <c r="G325" s="21">
        <f t="shared" si="51"/>
        <v>1</v>
      </c>
      <c r="H325" s="665"/>
      <c r="I325" s="21">
        <f t="shared" si="52"/>
        <v>1</v>
      </c>
      <c r="J325" s="665"/>
      <c r="K325" s="21">
        <f t="shared" si="53"/>
        <v>1</v>
      </c>
      <c r="L325" s="665"/>
      <c r="M325" s="21">
        <f t="shared" si="54"/>
        <v>1</v>
      </c>
      <c r="N325" s="665"/>
      <c r="O325" s="21">
        <f t="shared" si="55"/>
        <v>1</v>
      </c>
      <c r="P325" s="2805" t="e">
        <f>#REF!</f>
        <v>#REF!</v>
      </c>
      <c r="Q325" s="21">
        <f t="shared" si="56"/>
        <v>1</v>
      </c>
      <c r="R325" s="661">
        <f t="shared" si="57"/>
        <v>0</v>
      </c>
      <c r="S325" s="315">
        <f t="shared" si="59"/>
        <v>0</v>
      </c>
    </row>
    <row r="326" spans="1:19">
      <c r="A326" s="663"/>
      <c r="B326" s="663"/>
      <c r="C326" s="21"/>
      <c r="D326" s="2805"/>
      <c r="E326" s="21">
        <f t="shared" si="50"/>
        <v>1</v>
      </c>
      <c r="F326" s="2805" t="e">
        <f>#REF!</f>
        <v>#REF!</v>
      </c>
      <c r="G326" s="21">
        <f t="shared" si="51"/>
        <v>1</v>
      </c>
      <c r="H326" s="665"/>
      <c r="I326" s="21">
        <f t="shared" si="52"/>
        <v>1</v>
      </c>
      <c r="J326" s="665"/>
      <c r="K326" s="21">
        <f t="shared" si="53"/>
        <v>1</v>
      </c>
      <c r="L326" s="665"/>
      <c r="M326" s="21">
        <f t="shared" si="54"/>
        <v>1</v>
      </c>
      <c r="N326" s="665"/>
      <c r="O326" s="21">
        <f t="shared" si="55"/>
        <v>1</v>
      </c>
      <c r="P326" s="2805" t="e">
        <f>#REF!</f>
        <v>#REF!</v>
      </c>
      <c r="Q326" s="21">
        <f t="shared" si="56"/>
        <v>1</v>
      </c>
      <c r="R326" s="661">
        <f t="shared" si="57"/>
        <v>0</v>
      </c>
      <c r="S326" s="315">
        <f t="shared" si="59"/>
        <v>0</v>
      </c>
    </row>
    <row r="327" spans="1:19">
      <c r="A327" s="663"/>
      <c r="B327" s="663"/>
      <c r="C327" s="21"/>
      <c r="D327" s="2805"/>
      <c r="E327" s="21">
        <f t="shared" si="50"/>
        <v>1</v>
      </c>
      <c r="F327" s="2805" t="e">
        <f>#REF!</f>
        <v>#REF!</v>
      </c>
      <c r="G327" s="21">
        <f t="shared" si="51"/>
        <v>1</v>
      </c>
      <c r="H327" s="665"/>
      <c r="I327" s="21">
        <f t="shared" si="52"/>
        <v>1</v>
      </c>
      <c r="J327" s="665"/>
      <c r="K327" s="21">
        <f t="shared" si="53"/>
        <v>1</v>
      </c>
      <c r="L327" s="665"/>
      <c r="M327" s="21">
        <f t="shared" si="54"/>
        <v>1</v>
      </c>
      <c r="N327" s="665"/>
      <c r="O327" s="21">
        <f t="shared" si="55"/>
        <v>1</v>
      </c>
      <c r="P327" s="2805" t="e">
        <f>#REF!</f>
        <v>#REF!</v>
      </c>
      <c r="Q327" s="21">
        <f t="shared" si="56"/>
        <v>1</v>
      </c>
      <c r="R327" s="661">
        <f t="shared" si="57"/>
        <v>0</v>
      </c>
      <c r="S327" s="315">
        <f t="shared" si="59"/>
        <v>0</v>
      </c>
    </row>
    <row r="328" spans="1:19">
      <c r="A328" s="663"/>
      <c r="B328" s="663"/>
      <c r="C328" s="21"/>
      <c r="D328" s="2805"/>
      <c r="E328" s="21">
        <f t="shared" si="50"/>
        <v>1</v>
      </c>
      <c r="F328" s="2805" t="e">
        <f>#REF!</f>
        <v>#REF!</v>
      </c>
      <c r="G328" s="21">
        <f t="shared" si="51"/>
        <v>1</v>
      </c>
      <c r="H328" s="665"/>
      <c r="I328" s="21">
        <f t="shared" si="52"/>
        <v>1</v>
      </c>
      <c r="J328" s="665"/>
      <c r="K328" s="21">
        <f t="shared" si="53"/>
        <v>1</v>
      </c>
      <c r="L328" s="665"/>
      <c r="M328" s="21">
        <f t="shared" si="54"/>
        <v>1</v>
      </c>
      <c r="N328" s="665"/>
      <c r="O328" s="21">
        <f t="shared" si="55"/>
        <v>1</v>
      </c>
      <c r="P328" s="2805" t="e">
        <f>#REF!</f>
        <v>#REF!</v>
      </c>
      <c r="Q328" s="21">
        <f t="shared" si="56"/>
        <v>1</v>
      </c>
      <c r="R328" s="661">
        <f t="shared" si="57"/>
        <v>0</v>
      </c>
      <c r="S328" s="315">
        <f t="shared" si="59"/>
        <v>0</v>
      </c>
    </row>
    <row r="329" spans="1:19">
      <c r="A329" s="663"/>
      <c r="B329" s="663"/>
      <c r="C329" s="21"/>
      <c r="D329" s="2805"/>
      <c r="E329" s="21">
        <f t="shared" si="50"/>
        <v>1</v>
      </c>
      <c r="F329" s="2805" t="e">
        <f>#REF!</f>
        <v>#REF!</v>
      </c>
      <c r="G329" s="21">
        <f t="shared" si="51"/>
        <v>1</v>
      </c>
      <c r="H329" s="665"/>
      <c r="I329" s="21">
        <f t="shared" si="52"/>
        <v>1</v>
      </c>
      <c r="J329" s="665"/>
      <c r="K329" s="21">
        <f t="shared" si="53"/>
        <v>1</v>
      </c>
      <c r="L329" s="665"/>
      <c r="M329" s="21">
        <f t="shared" si="54"/>
        <v>1</v>
      </c>
      <c r="N329" s="665"/>
      <c r="O329" s="21">
        <f t="shared" si="55"/>
        <v>1</v>
      </c>
      <c r="P329" s="2805" t="e">
        <f>#REF!</f>
        <v>#REF!</v>
      </c>
      <c r="Q329" s="21">
        <f t="shared" si="56"/>
        <v>1</v>
      </c>
      <c r="R329" s="661">
        <f t="shared" si="57"/>
        <v>0</v>
      </c>
      <c r="S329" s="315">
        <f t="shared" si="59"/>
        <v>0</v>
      </c>
    </row>
    <row r="330" spans="1:19">
      <c r="A330" s="663"/>
      <c r="B330" s="663"/>
      <c r="C330" s="21"/>
      <c r="D330" s="2805"/>
      <c r="E330" s="21">
        <f t="shared" si="50"/>
        <v>1</v>
      </c>
      <c r="F330" s="2805" t="e">
        <f>#REF!</f>
        <v>#REF!</v>
      </c>
      <c r="G330" s="21">
        <f t="shared" si="51"/>
        <v>1</v>
      </c>
      <c r="H330" s="665"/>
      <c r="I330" s="21">
        <f t="shared" si="52"/>
        <v>1</v>
      </c>
      <c r="J330" s="665"/>
      <c r="K330" s="21">
        <f t="shared" si="53"/>
        <v>1</v>
      </c>
      <c r="L330" s="665"/>
      <c r="M330" s="21">
        <f t="shared" si="54"/>
        <v>1</v>
      </c>
      <c r="N330" s="665"/>
      <c r="O330" s="21">
        <f t="shared" si="55"/>
        <v>1</v>
      </c>
      <c r="P330" s="2805" t="e">
        <f>#REF!</f>
        <v>#REF!</v>
      </c>
      <c r="Q330" s="21">
        <f t="shared" si="56"/>
        <v>1</v>
      </c>
      <c r="R330" s="661">
        <f t="shared" si="57"/>
        <v>0</v>
      </c>
      <c r="S330" s="315">
        <f t="shared" si="59"/>
        <v>0</v>
      </c>
    </row>
    <row r="331" spans="1:19">
      <c r="A331" s="663"/>
      <c r="B331" s="663"/>
      <c r="C331" s="21"/>
      <c r="D331" s="2805"/>
      <c r="E331" s="21">
        <f t="shared" si="50"/>
        <v>1</v>
      </c>
      <c r="F331" s="2805" t="e">
        <f>#REF!</f>
        <v>#REF!</v>
      </c>
      <c r="G331" s="21">
        <f t="shared" si="51"/>
        <v>1</v>
      </c>
      <c r="H331" s="665"/>
      <c r="I331" s="21">
        <f t="shared" si="52"/>
        <v>1</v>
      </c>
      <c r="J331" s="665"/>
      <c r="K331" s="21">
        <f t="shared" si="53"/>
        <v>1</v>
      </c>
      <c r="L331" s="665"/>
      <c r="M331" s="21">
        <f t="shared" si="54"/>
        <v>1</v>
      </c>
      <c r="N331" s="665"/>
      <c r="O331" s="21">
        <f t="shared" si="55"/>
        <v>1</v>
      </c>
      <c r="P331" s="2805" t="e">
        <f>#REF!</f>
        <v>#REF!</v>
      </c>
      <c r="Q331" s="21">
        <f t="shared" si="56"/>
        <v>1</v>
      </c>
      <c r="R331" s="661">
        <f t="shared" si="57"/>
        <v>0</v>
      </c>
      <c r="S331" s="315">
        <f t="shared" si="59"/>
        <v>0</v>
      </c>
    </row>
    <row r="332" spans="1:19">
      <c r="A332" s="663"/>
      <c r="B332" s="663"/>
      <c r="C332" s="21"/>
      <c r="D332" s="2805"/>
      <c r="E332" s="21">
        <f t="shared" si="50"/>
        <v>1</v>
      </c>
      <c r="F332" s="2805" t="e">
        <f>#REF!</f>
        <v>#REF!</v>
      </c>
      <c r="G332" s="21">
        <f t="shared" si="51"/>
        <v>1</v>
      </c>
      <c r="H332" s="665"/>
      <c r="I332" s="21">
        <f t="shared" si="52"/>
        <v>1</v>
      </c>
      <c r="J332" s="665"/>
      <c r="K332" s="21">
        <f t="shared" si="53"/>
        <v>1</v>
      </c>
      <c r="L332" s="665"/>
      <c r="M332" s="21">
        <f t="shared" si="54"/>
        <v>1</v>
      </c>
      <c r="N332" s="665"/>
      <c r="O332" s="21">
        <f t="shared" si="55"/>
        <v>1</v>
      </c>
      <c r="P332" s="2805" t="e">
        <f>#REF!</f>
        <v>#REF!</v>
      </c>
      <c r="Q332" s="21">
        <f t="shared" si="56"/>
        <v>1</v>
      </c>
      <c r="R332" s="661">
        <f t="shared" si="57"/>
        <v>0</v>
      </c>
      <c r="S332" s="315">
        <f t="shared" si="59"/>
        <v>0</v>
      </c>
    </row>
    <row r="333" spans="1:19">
      <c r="A333" s="663"/>
      <c r="B333" s="663"/>
      <c r="C333" s="21"/>
      <c r="D333" s="2805"/>
      <c r="E333" s="21">
        <f t="shared" si="50"/>
        <v>1</v>
      </c>
      <c r="F333" s="2805" t="e">
        <f>#REF!</f>
        <v>#REF!</v>
      </c>
      <c r="G333" s="21">
        <f t="shared" si="51"/>
        <v>1</v>
      </c>
      <c r="H333" s="665"/>
      <c r="I333" s="21">
        <f t="shared" si="52"/>
        <v>1</v>
      </c>
      <c r="J333" s="665"/>
      <c r="K333" s="21">
        <f t="shared" si="53"/>
        <v>1</v>
      </c>
      <c r="L333" s="665"/>
      <c r="M333" s="21">
        <f t="shared" si="54"/>
        <v>1</v>
      </c>
      <c r="N333" s="665"/>
      <c r="O333" s="21">
        <f t="shared" si="55"/>
        <v>1</v>
      </c>
      <c r="P333" s="2805" t="e">
        <f>#REF!</f>
        <v>#REF!</v>
      </c>
      <c r="Q333" s="21">
        <f t="shared" si="56"/>
        <v>1</v>
      </c>
      <c r="R333" s="661">
        <f t="shared" si="57"/>
        <v>0</v>
      </c>
      <c r="S333" s="315">
        <f t="shared" si="59"/>
        <v>0</v>
      </c>
    </row>
    <row r="334" spans="1:19">
      <c r="A334" s="663"/>
      <c r="B334" s="663"/>
      <c r="C334" s="21"/>
      <c r="D334" s="2805"/>
      <c r="E334" s="21">
        <f t="shared" si="50"/>
        <v>1</v>
      </c>
      <c r="F334" s="2805" t="e">
        <f>#REF!</f>
        <v>#REF!</v>
      </c>
      <c r="G334" s="21">
        <f t="shared" si="51"/>
        <v>1</v>
      </c>
      <c r="H334" s="665"/>
      <c r="I334" s="21">
        <f t="shared" si="52"/>
        <v>1</v>
      </c>
      <c r="J334" s="665"/>
      <c r="K334" s="21">
        <f t="shared" si="53"/>
        <v>1</v>
      </c>
      <c r="L334" s="665"/>
      <c r="M334" s="21">
        <f t="shared" si="54"/>
        <v>1</v>
      </c>
      <c r="N334" s="665"/>
      <c r="O334" s="21">
        <f t="shared" si="55"/>
        <v>1</v>
      </c>
      <c r="P334" s="2805" t="e">
        <f>#REF!</f>
        <v>#REF!</v>
      </c>
      <c r="Q334" s="21">
        <f t="shared" si="56"/>
        <v>1</v>
      </c>
      <c r="R334" s="661">
        <f t="shared" si="57"/>
        <v>0</v>
      </c>
      <c r="S334" s="315">
        <f t="shared" si="59"/>
        <v>0</v>
      </c>
    </row>
    <row r="335" spans="1:19">
      <c r="A335" s="663"/>
      <c r="B335" s="663"/>
      <c r="C335" s="21"/>
      <c r="D335" s="2805"/>
      <c r="E335" s="21">
        <f t="shared" si="50"/>
        <v>1</v>
      </c>
      <c r="F335" s="2805" t="e">
        <f>#REF!</f>
        <v>#REF!</v>
      </c>
      <c r="G335" s="21">
        <f t="shared" si="51"/>
        <v>1</v>
      </c>
      <c r="H335" s="665"/>
      <c r="I335" s="21">
        <f t="shared" si="52"/>
        <v>1</v>
      </c>
      <c r="J335" s="665"/>
      <c r="K335" s="21">
        <f t="shared" si="53"/>
        <v>1</v>
      </c>
      <c r="L335" s="665"/>
      <c r="M335" s="21">
        <f t="shared" si="54"/>
        <v>1</v>
      </c>
      <c r="N335" s="665"/>
      <c r="O335" s="21">
        <f t="shared" si="55"/>
        <v>1</v>
      </c>
      <c r="P335" s="2805" t="e">
        <f>#REF!</f>
        <v>#REF!</v>
      </c>
      <c r="Q335" s="21">
        <f t="shared" si="56"/>
        <v>1</v>
      </c>
      <c r="R335" s="661">
        <f t="shared" si="57"/>
        <v>0</v>
      </c>
      <c r="S335" s="315">
        <f t="shared" si="59"/>
        <v>0</v>
      </c>
    </row>
    <row r="336" spans="1:19">
      <c r="A336" s="663"/>
      <c r="B336" s="663"/>
      <c r="C336" s="21"/>
      <c r="D336" s="2805"/>
      <c r="E336" s="21">
        <f t="shared" si="50"/>
        <v>1</v>
      </c>
      <c r="F336" s="2805" t="e">
        <f>#REF!</f>
        <v>#REF!</v>
      </c>
      <c r="G336" s="21">
        <f t="shared" si="51"/>
        <v>1</v>
      </c>
      <c r="H336" s="665"/>
      <c r="I336" s="21">
        <f t="shared" si="52"/>
        <v>1</v>
      </c>
      <c r="J336" s="665"/>
      <c r="K336" s="21">
        <f t="shared" si="53"/>
        <v>1</v>
      </c>
      <c r="L336" s="665"/>
      <c r="M336" s="21">
        <f t="shared" si="54"/>
        <v>1</v>
      </c>
      <c r="N336" s="665"/>
      <c r="O336" s="21">
        <f t="shared" si="55"/>
        <v>1</v>
      </c>
      <c r="P336" s="2805" t="e">
        <f>#REF!</f>
        <v>#REF!</v>
      </c>
      <c r="Q336" s="21">
        <f t="shared" si="56"/>
        <v>1</v>
      </c>
      <c r="R336" s="661">
        <f t="shared" si="57"/>
        <v>0</v>
      </c>
      <c r="S336" s="315">
        <f t="shared" si="59"/>
        <v>0</v>
      </c>
    </row>
    <row r="337" spans="1:19">
      <c r="A337" s="663"/>
      <c r="B337" s="663"/>
      <c r="C337" s="21"/>
      <c r="D337" s="2805"/>
      <c r="E337" s="21">
        <f t="shared" si="50"/>
        <v>1</v>
      </c>
      <c r="F337" s="2805" t="e">
        <f>#REF!</f>
        <v>#REF!</v>
      </c>
      <c r="G337" s="21">
        <f t="shared" si="51"/>
        <v>1</v>
      </c>
      <c r="H337" s="665"/>
      <c r="I337" s="21">
        <f t="shared" si="52"/>
        <v>1</v>
      </c>
      <c r="J337" s="665"/>
      <c r="K337" s="21">
        <f t="shared" si="53"/>
        <v>1</v>
      </c>
      <c r="L337" s="665"/>
      <c r="M337" s="21">
        <f t="shared" si="54"/>
        <v>1</v>
      </c>
      <c r="N337" s="665"/>
      <c r="O337" s="21">
        <f t="shared" si="55"/>
        <v>1</v>
      </c>
      <c r="P337" s="2805" t="e">
        <f>#REF!</f>
        <v>#REF!</v>
      </c>
      <c r="Q337" s="21">
        <f t="shared" si="56"/>
        <v>1</v>
      </c>
      <c r="R337" s="661">
        <f t="shared" si="57"/>
        <v>0</v>
      </c>
      <c r="S337" s="315">
        <f t="shared" si="59"/>
        <v>0</v>
      </c>
    </row>
    <row r="338" spans="1:19">
      <c r="A338" s="663"/>
      <c r="B338" s="663"/>
      <c r="C338" s="21"/>
      <c r="D338" s="2805"/>
      <c r="E338" s="21">
        <f t="shared" si="50"/>
        <v>1</v>
      </c>
      <c r="F338" s="2805" t="e">
        <f>#REF!</f>
        <v>#REF!</v>
      </c>
      <c r="G338" s="21">
        <f t="shared" si="51"/>
        <v>1</v>
      </c>
      <c r="H338" s="665"/>
      <c r="I338" s="21">
        <f t="shared" si="52"/>
        <v>1</v>
      </c>
      <c r="J338" s="665"/>
      <c r="K338" s="21">
        <f t="shared" si="53"/>
        <v>1</v>
      </c>
      <c r="L338" s="665"/>
      <c r="M338" s="21">
        <f t="shared" si="54"/>
        <v>1</v>
      </c>
      <c r="N338" s="665"/>
      <c r="O338" s="21">
        <f t="shared" si="55"/>
        <v>1</v>
      </c>
      <c r="P338" s="2805" t="e">
        <f>#REF!</f>
        <v>#REF!</v>
      </c>
      <c r="Q338" s="21">
        <f t="shared" si="56"/>
        <v>1</v>
      </c>
      <c r="R338" s="661">
        <f t="shared" si="57"/>
        <v>0</v>
      </c>
      <c r="S338" s="315">
        <f t="shared" si="59"/>
        <v>0</v>
      </c>
    </row>
    <row r="339" spans="1:19">
      <c r="A339" s="663"/>
      <c r="B339" s="663"/>
      <c r="C339" s="21"/>
      <c r="D339" s="2805"/>
      <c r="E339" s="21">
        <f t="shared" si="50"/>
        <v>1</v>
      </c>
      <c r="F339" s="2805" t="e">
        <f>#REF!</f>
        <v>#REF!</v>
      </c>
      <c r="G339" s="21">
        <f t="shared" si="51"/>
        <v>1</v>
      </c>
      <c r="H339" s="665"/>
      <c r="I339" s="21">
        <f t="shared" si="52"/>
        <v>1</v>
      </c>
      <c r="J339" s="665"/>
      <c r="K339" s="21">
        <f t="shared" si="53"/>
        <v>1</v>
      </c>
      <c r="L339" s="665"/>
      <c r="M339" s="21">
        <f t="shared" si="54"/>
        <v>1</v>
      </c>
      <c r="N339" s="665"/>
      <c r="O339" s="21">
        <f t="shared" si="55"/>
        <v>1</v>
      </c>
      <c r="P339" s="2805" t="e">
        <f>#REF!</f>
        <v>#REF!</v>
      </c>
      <c r="Q339" s="21">
        <f t="shared" si="56"/>
        <v>1</v>
      </c>
      <c r="R339" s="661">
        <f t="shared" si="57"/>
        <v>0</v>
      </c>
      <c r="S339" s="315">
        <f t="shared" si="59"/>
        <v>0</v>
      </c>
    </row>
    <row r="340" spans="1:19">
      <c r="A340" s="663"/>
      <c r="B340" s="663"/>
      <c r="C340" s="21"/>
      <c r="D340" s="2805"/>
      <c r="E340" s="21">
        <f t="shared" si="50"/>
        <v>1</v>
      </c>
      <c r="F340" s="2805" t="e">
        <f>#REF!</f>
        <v>#REF!</v>
      </c>
      <c r="G340" s="21">
        <f t="shared" si="51"/>
        <v>1</v>
      </c>
      <c r="H340" s="665"/>
      <c r="I340" s="21">
        <f t="shared" si="52"/>
        <v>1</v>
      </c>
      <c r="J340" s="665"/>
      <c r="K340" s="21">
        <f t="shared" si="53"/>
        <v>1</v>
      </c>
      <c r="L340" s="665"/>
      <c r="M340" s="21">
        <f t="shared" si="54"/>
        <v>1</v>
      </c>
      <c r="N340" s="665"/>
      <c r="O340" s="21">
        <f t="shared" si="55"/>
        <v>1</v>
      </c>
      <c r="P340" s="2805" t="e">
        <f>#REF!</f>
        <v>#REF!</v>
      </c>
      <c r="Q340" s="21">
        <f t="shared" si="56"/>
        <v>1</v>
      </c>
      <c r="R340" s="661">
        <f t="shared" si="57"/>
        <v>0</v>
      </c>
      <c r="S340" s="315">
        <f t="shared" si="59"/>
        <v>0</v>
      </c>
    </row>
    <row r="341" spans="1:19">
      <c r="A341" s="663"/>
      <c r="B341" s="663"/>
      <c r="C341" s="21"/>
      <c r="D341" s="2805"/>
      <c r="E341" s="21">
        <f t="shared" si="50"/>
        <v>1</v>
      </c>
      <c r="F341" s="2805" t="e">
        <f>#REF!</f>
        <v>#REF!</v>
      </c>
      <c r="G341" s="21">
        <f t="shared" si="51"/>
        <v>1</v>
      </c>
      <c r="H341" s="665"/>
      <c r="I341" s="21">
        <f t="shared" si="52"/>
        <v>1</v>
      </c>
      <c r="J341" s="665"/>
      <c r="K341" s="21">
        <f t="shared" si="53"/>
        <v>1</v>
      </c>
      <c r="L341" s="665"/>
      <c r="M341" s="21">
        <f t="shared" si="54"/>
        <v>1</v>
      </c>
      <c r="N341" s="665"/>
      <c r="O341" s="21">
        <f t="shared" si="55"/>
        <v>1</v>
      </c>
      <c r="P341" s="2805" t="e">
        <f>#REF!</f>
        <v>#REF!</v>
      </c>
      <c r="Q341" s="21">
        <f t="shared" si="56"/>
        <v>1</v>
      </c>
      <c r="R341" s="661">
        <f t="shared" si="57"/>
        <v>0</v>
      </c>
      <c r="S341" s="315">
        <f t="shared" si="59"/>
        <v>0</v>
      </c>
    </row>
    <row r="342" spans="1:19">
      <c r="A342" s="663"/>
      <c r="B342" s="663"/>
      <c r="C342" s="21"/>
      <c r="D342" s="2805"/>
      <c r="E342" s="21">
        <f t="shared" si="50"/>
        <v>1</v>
      </c>
      <c r="F342" s="2805" t="e">
        <f>#REF!</f>
        <v>#REF!</v>
      </c>
      <c r="G342" s="21">
        <f t="shared" si="51"/>
        <v>1</v>
      </c>
      <c r="H342" s="665"/>
      <c r="I342" s="21">
        <f t="shared" si="52"/>
        <v>1</v>
      </c>
      <c r="J342" s="665"/>
      <c r="K342" s="21">
        <f t="shared" si="53"/>
        <v>1</v>
      </c>
      <c r="L342" s="665"/>
      <c r="M342" s="21">
        <f t="shared" si="54"/>
        <v>1</v>
      </c>
      <c r="N342" s="665"/>
      <c r="O342" s="21">
        <f t="shared" si="55"/>
        <v>1</v>
      </c>
      <c r="P342" s="2805" t="e">
        <f>#REF!</f>
        <v>#REF!</v>
      </c>
      <c r="Q342" s="21">
        <f t="shared" si="56"/>
        <v>1</v>
      </c>
      <c r="R342" s="661">
        <f t="shared" si="57"/>
        <v>0</v>
      </c>
      <c r="S342" s="315">
        <f t="shared" si="59"/>
        <v>0</v>
      </c>
    </row>
    <row r="343" spans="1:19">
      <c r="A343" s="663"/>
      <c r="B343" s="663"/>
      <c r="C343" s="21"/>
      <c r="D343" s="2805"/>
      <c r="E343" s="21">
        <f t="shared" si="50"/>
        <v>1</v>
      </c>
      <c r="F343" s="2805" t="e">
        <f>#REF!</f>
        <v>#REF!</v>
      </c>
      <c r="G343" s="21">
        <f t="shared" si="51"/>
        <v>1</v>
      </c>
      <c r="H343" s="665"/>
      <c r="I343" s="21">
        <f t="shared" si="52"/>
        <v>1</v>
      </c>
      <c r="J343" s="665"/>
      <c r="K343" s="21">
        <f t="shared" si="53"/>
        <v>1</v>
      </c>
      <c r="L343" s="665"/>
      <c r="M343" s="21">
        <f t="shared" si="54"/>
        <v>1</v>
      </c>
      <c r="N343" s="665"/>
      <c r="O343" s="21">
        <f t="shared" si="55"/>
        <v>1</v>
      </c>
      <c r="P343" s="2805" t="e">
        <f>#REF!</f>
        <v>#REF!</v>
      </c>
      <c r="Q343" s="21">
        <f t="shared" si="56"/>
        <v>1</v>
      </c>
      <c r="R343" s="661">
        <f t="shared" si="57"/>
        <v>0</v>
      </c>
      <c r="S343" s="315">
        <f t="shared" si="59"/>
        <v>0</v>
      </c>
    </row>
    <row r="344" spans="1:19">
      <c r="A344" s="663"/>
      <c r="B344" s="663"/>
      <c r="C344" s="21"/>
      <c r="D344" s="2805"/>
      <c r="E344" s="21">
        <f t="shared" si="50"/>
        <v>1</v>
      </c>
      <c r="F344" s="2805" t="e">
        <f>#REF!</f>
        <v>#REF!</v>
      </c>
      <c r="G344" s="21">
        <f t="shared" si="51"/>
        <v>1</v>
      </c>
      <c r="H344" s="665"/>
      <c r="I344" s="21">
        <f t="shared" si="52"/>
        <v>1</v>
      </c>
      <c r="J344" s="665"/>
      <c r="K344" s="21">
        <f t="shared" si="53"/>
        <v>1</v>
      </c>
      <c r="L344" s="665"/>
      <c r="M344" s="21">
        <f t="shared" si="54"/>
        <v>1</v>
      </c>
      <c r="N344" s="665"/>
      <c r="O344" s="21">
        <f t="shared" si="55"/>
        <v>1</v>
      </c>
      <c r="P344" s="2805" t="e">
        <f>#REF!</f>
        <v>#REF!</v>
      </c>
      <c r="Q344" s="21">
        <f t="shared" si="56"/>
        <v>1</v>
      </c>
      <c r="R344" s="661">
        <f t="shared" si="57"/>
        <v>0</v>
      </c>
      <c r="S344" s="315">
        <f t="shared" si="59"/>
        <v>0</v>
      </c>
    </row>
    <row r="345" spans="1:19">
      <c r="A345" s="663"/>
      <c r="B345" s="663"/>
      <c r="C345" s="21"/>
      <c r="D345" s="2805"/>
      <c r="E345" s="21">
        <f t="shared" si="50"/>
        <v>1</v>
      </c>
      <c r="F345" s="2805" t="e">
        <f>#REF!</f>
        <v>#REF!</v>
      </c>
      <c r="G345" s="21">
        <f t="shared" si="51"/>
        <v>1</v>
      </c>
      <c r="H345" s="665"/>
      <c r="I345" s="21">
        <f t="shared" si="52"/>
        <v>1</v>
      </c>
      <c r="J345" s="665"/>
      <c r="K345" s="21">
        <f t="shared" si="53"/>
        <v>1</v>
      </c>
      <c r="L345" s="665"/>
      <c r="M345" s="21">
        <f t="shared" si="54"/>
        <v>1</v>
      </c>
      <c r="N345" s="665"/>
      <c r="O345" s="21">
        <f t="shared" si="55"/>
        <v>1</v>
      </c>
      <c r="P345" s="2805" t="e">
        <f>#REF!</f>
        <v>#REF!</v>
      </c>
      <c r="Q345" s="21">
        <f t="shared" si="56"/>
        <v>1</v>
      </c>
      <c r="R345" s="661">
        <f t="shared" si="57"/>
        <v>0</v>
      </c>
      <c r="S345" s="315">
        <f t="shared" si="59"/>
        <v>0</v>
      </c>
    </row>
    <row r="346" spans="1:19">
      <c r="A346" s="663"/>
      <c r="B346" s="663"/>
      <c r="C346" s="21"/>
      <c r="D346" s="2805"/>
      <c r="E346" s="21">
        <f t="shared" ref="E346:E409" si="60">(SUMIF($5:$5,D346,$6:$6)-SUMIF($5:$5,$D$24,$6:$6)+100)/100</f>
        <v>1</v>
      </c>
      <c r="F346" s="2805"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5"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5"/>
      <c r="E347" s="21">
        <f t="shared" si="60"/>
        <v>1</v>
      </c>
      <c r="F347" s="2805" t="e">
        <f>#REF!</f>
        <v>#REF!</v>
      </c>
      <c r="G347" s="21">
        <f t="shared" si="61"/>
        <v>1</v>
      </c>
      <c r="H347" s="665"/>
      <c r="I347" s="21">
        <f t="shared" si="62"/>
        <v>1</v>
      </c>
      <c r="J347" s="665"/>
      <c r="K347" s="21">
        <f t="shared" si="63"/>
        <v>1</v>
      </c>
      <c r="L347" s="665"/>
      <c r="M347" s="21">
        <f t="shared" si="64"/>
        <v>1</v>
      </c>
      <c r="N347" s="665"/>
      <c r="O347" s="21">
        <f t="shared" si="65"/>
        <v>1</v>
      </c>
      <c r="P347" s="2805" t="e">
        <f>#REF!</f>
        <v>#REF!</v>
      </c>
      <c r="Q347" s="21">
        <f t="shared" si="66"/>
        <v>1</v>
      </c>
      <c r="R347" s="661">
        <f t="shared" si="67"/>
        <v>0</v>
      </c>
      <c r="S347" s="315">
        <f t="shared" si="59"/>
        <v>0</v>
      </c>
    </row>
    <row r="348" spans="1:19">
      <c r="A348" s="663"/>
      <c r="B348" s="663"/>
      <c r="C348" s="21"/>
      <c r="D348" s="2805"/>
      <c r="E348" s="21">
        <f t="shared" si="60"/>
        <v>1</v>
      </c>
      <c r="F348" s="2805" t="e">
        <f>#REF!</f>
        <v>#REF!</v>
      </c>
      <c r="G348" s="21">
        <f t="shared" si="61"/>
        <v>1</v>
      </c>
      <c r="H348" s="665"/>
      <c r="I348" s="21">
        <f t="shared" si="62"/>
        <v>1</v>
      </c>
      <c r="J348" s="665"/>
      <c r="K348" s="21">
        <f t="shared" si="63"/>
        <v>1</v>
      </c>
      <c r="L348" s="665"/>
      <c r="M348" s="21">
        <f t="shared" si="64"/>
        <v>1</v>
      </c>
      <c r="N348" s="665"/>
      <c r="O348" s="21">
        <f t="shared" si="65"/>
        <v>1</v>
      </c>
      <c r="P348" s="2805" t="e">
        <f>#REF!</f>
        <v>#REF!</v>
      </c>
      <c r="Q348" s="21">
        <f t="shared" si="66"/>
        <v>1</v>
      </c>
      <c r="R348" s="661">
        <f t="shared" si="67"/>
        <v>0</v>
      </c>
      <c r="S348" s="315">
        <f t="shared" si="59"/>
        <v>0</v>
      </c>
    </row>
    <row r="349" spans="1:19">
      <c r="A349" s="663"/>
      <c r="B349" s="663"/>
      <c r="C349" s="21"/>
      <c r="D349" s="2805"/>
      <c r="E349" s="21">
        <f t="shared" si="60"/>
        <v>1</v>
      </c>
      <c r="F349" s="2805" t="e">
        <f>#REF!</f>
        <v>#REF!</v>
      </c>
      <c r="G349" s="21">
        <f t="shared" si="61"/>
        <v>1</v>
      </c>
      <c r="H349" s="665"/>
      <c r="I349" s="21">
        <f t="shared" si="62"/>
        <v>1</v>
      </c>
      <c r="J349" s="665"/>
      <c r="K349" s="21">
        <f t="shared" si="63"/>
        <v>1</v>
      </c>
      <c r="L349" s="665"/>
      <c r="M349" s="21">
        <f t="shared" si="64"/>
        <v>1</v>
      </c>
      <c r="N349" s="665"/>
      <c r="O349" s="21">
        <f t="shared" si="65"/>
        <v>1</v>
      </c>
      <c r="P349" s="2805" t="e">
        <f>#REF!</f>
        <v>#REF!</v>
      </c>
      <c r="Q349" s="21">
        <f t="shared" si="66"/>
        <v>1</v>
      </c>
      <c r="R349" s="661">
        <f t="shared" si="67"/>
        <v>0</v>
      </c>
      <c r="S349" s="315">
        <f t="shared" si="59"/>
        <v>0</v>
      </c>
    </row>
    <row r="350" spans="1:19">
      <c r="A350" s="663"/>
      <c r="B350" s="663"/>
      <c r="C350" s="21"/>
      <c r="D350" s="2805"/>
      <c r="E350" s="21">
        <f t="shared" si="60"/>
        <v>1</v>
      </c>
      <c r="F350" s="2805" t="e">
        <f>#REF!</f>
        <v>#REF!</v>
      </c>
      <c r="G350" s="21">
        <f t="shared" si="61"/>
        <v>1</v>
      </c>
      <c r="H350" s="665"/>
      <c r="I350" s="21">
        <f t="shared" si="62"/>
        <v>1</v>
      </c>
      <c r="J350" s="665"/>
      <c r="K350" s="21">
        <f t="shared" si="63"/>
        <v>1</v>
      </c>
      <c r="L350" s="665"/>
      <c r="M350" s="21">
        <f t="shared" si="64"/>
        <v>1</v>
      </c>
      <c r="N350" s="665"/>
      <c r="O350" s="21">
        <f t="shared" si="65"/>
        <v>1</v>
      </c>
      <c r="P350" s="2805" t="e">
        <f>#REF!</f>
        <v>#REF!</v>
      </c>
      <c r="Q350" s="21">
        <f t="shared" si="66"/>
        <v>1</v>
      </c>
      <c r="R350" s="661">
        <f t="shared" si="67"/>
        <v>0</v>
      </c>
      <c r="S350" s="315">
        <f t="shared" si="59"/>
        <v>0</v>
      </c>
    </row>
    <row r="351" spans="1:19">
      <c r="A351" s="663"/>
      <c r="B351" s="663"/>
      <c r="C351" s="21"/>
      <c r="D351" s="2805"/>
      <c r="E351" s="21">
        <f t="shared" si="60"/>
        <v>1</v>
      </c>
      <c r="F351" s="2805" t="e">
        <f>#REF!</f>
        <v>#REF!</v>
      </c>
      <c r="G351" s="21">
        <f t="shared" si="61"/>
        <v>1</v>
      </c>
      <c r="H351" s="665"/>
      <c r="I351" s="21">
        <f t="shared" si="62"/>
        <v>1</v>
      </c>
      <c r="J351" s="665"/>
      <c r="K351" s="21">
        <f t="shared" si="63"/>
        <v>1</v>
      </c>
      <c r="L351" s="665"/>
      <c r="M351" s="21">
        <f t="shared" si="64"/>
        <v>1</v>
      </c>
      <c r="N351" s="665"/>
      <c r="O351" s="21">
        <f t="shared" si="65"/>
        <v>1</v>
      </c>
      <c r="P351" s="2805" t="e">
        <f>#REF!</f>
        <v>#REF!</v>
      </c>
      <c r="Q351" s="21">
        <f t="shared" si="66"/>
        <v>1</v>
      </c>
      <c r="R351" s="661">
        <f t="shared" si="67"/>
        <v>0</v>
      </c>
      <c r="S351" s="315">
        <f t="shared" si="59"/>
        <v>0</v>
      </c>
    </row>
    <row r="352" spans="1:19">
      <c r="A352" s="663"/>
      <c r="B352" s="663"/>
      <c r="C352" s="21"/>
      <c r="D352" s="2805"/>
      <c r="E352" s="21">
        <f t="shared" si="60"/>
        <v>1</v>
      </c>
      <c r="F352" s="2805" t="e">
        <f>#REF!</f>
        <v>#REF!</v>
      </c>
      <c r="G352" s="21">
        <f t="shared" si="61"/>
        <v>1</v>
      </c>
      <c r="H352" s="665"/>
      <c r="I352" s="21">
        <f t="shared" si="62"/>
        <v>1</v>
      </c>
      <c r="J352" s="665"/>
      <c r="K352" s="21">
        <f t="shared" si="63"/>
        <v>1</v>
      </c>
      <c r="L352" s="665"/>
      <c r="M352" s="21">
        <f t="shared" si="64"/>
        <v>1</v>
      </c>
      <c r="N352" s="665"/>
      <c r="O352" s="21">
        <f t="shared" si="65"/>
        <v>1</v>
      </c>
      <c r="P352" s="2805" t="e">
        <f>#REF!</f>
        <v>#REF!</v>
      </c>
      <c r="Q352" s="21">
        <f t="shared" si="66"/>
        <v>1</v>
      </c>
      <c r="R352" s="661">
        <f t="shared" si="67"/>
        <v>0</v>
      </c>
      <c r="S352" s="315">
        <f t="shared" si="59"/>
        <v>0</v>
      </c>
    </row>
    <row r="353" spans="1:19">
      <c r="A353" s="663"/>
      <c r="B353" s="663"/>
      <c r="C353" s="21"/>
      <c r="D353" s="2805"/>
      <c r="E353" s="21">
        <f t="shared" si="60"/>
        <v>1</v>
      </c>
      <c r="F353" s="2805" t="e">
        <f>#REF!</f>
        <v>#REF!</v>
      </c>
      <c r="G353" s="21">
        <f t="shared" si="61"/>
        <v>1</v>
      </c>
      <c r="H353" s="665"/>
      <c r="I353" s="21">
        <f t="shared" si="62"/>
        <v>1</v>
      </c>
      <c r="J353" s="665"/>
      <c r="K353" s="21">
        <f t="shared" si="63"/>
        <v>1</v>
      </c>
      <c r="L353" s="665"/>
      <c r="M353" s="21">
        <f t="shared" si="64"/>
        <v>1</v>
      </c>
      <c r="N353" s="665"/>
      <c r="O353" s="21">
        <f t="shared" si="65"/>
        <v>1</v>
      </c>
      <c r="P353" s="2805" t="e">
        <f>#REF!</f>
        <v>#REF!</v>
      </c>
      <c r="Q353" s="21">
        <f t="shared" si="66"/>
        <v>1</v>
      </c>
      <c r="R353" s="661">
        <f t="shared" si="67"/>
        <v>0</v>
      </c>
      <c r="S353" s="315">
        <f t="shared" si="59"/>
        <v>0</v>
      </c>
    </row>
    <row r="354" spans="1:19">
      <c r="A354" s="663"/>
      <c r="B354" s="663"/>
      <c r="C354" s="21"/>
      <c r="D354" s="2805"/>
      <c r="E354" s="21">
        <f t="shared" si="60"/>
        <v>1</v>
      </c>
      <c r="F354" s="2805" t="e">
        <f>#REF!</f>
        <v>#REF!</v>
      </c>
      <c r="G354" s="21">
        <f t="shared" si="61"/>
        <v>1</v>
      </c>
      <c r="H354" s="665"/>
      <c r="I354" s="21">
        <f t="shared" si="62"/>
        <v>1</v>
      </c>
      <c r="J354" s="665"/>
      <c r="K354" s="21">
        <f t="shared" si="63"/>
        <v>1</v>
      </c>
      <c r="L354" s="665"/>
      <c r="M354" s="21">
        <f t="shared" si="64"/>
        <v>1</v>
      </c>
      <c r="N354" s="665"/>
      <c r="O354" s="21">
        <f t="shared" si="65"/>
        <v>1</v>
      </c>
      <c r="P354" s="2805" t="e">
        <f>#REF!</f>
        <v>#REF!</v>
      </c>
      <c r="Q354" s="21">
        <f t="shared" si="66"/>
        <v>1</v>
      </c>
      <c r="R354" s="661">
        <f t="shared" si="67"/>
        <v>0</v>
      </c>
      <c r="S354" s="315">
        <f t="shared" si="59"/>
        <v>0</v>
      </c>
    </row>
    <row r="355" spans="1:19">
      <c r="A355" s="663"/>
      <c r="B355" s="663"/>
      <c r="C355" s="21"/>
      <c r="D355" s="2805"/>
      <c r="E355" s="21">
        <f t="shared" si="60"/>
        <v>1</v>
      </c>
      <c r="F355" s="2805" t="e">
        <f>#REF!</f>
        <v>#REF!</v>
      </c>
      <c r="G355" s="21">
        <f t="shared" si="61"/>
        <v>1</v>
      </c>
      <c r="H355" s="665"/>
      <c r="I355" s="21">
        <f t="shared" si="62"/>
        <v>1</v>
      </c>
      <c r="J355" s="665"/>
      <c r="K355" s="21">
        <f t="shared" si="63"/>
        <v>1</v>
      </c>
      <c r="L355" s="665"/>
      <c r="M355" s="21">
        <f t="shared" si="64"/>
        <v>1</v>
      </c>
      <c r="N355" s="665"/>
      <c r="O355" s="21">
        <f t="shared" si="65"/>
        <v>1</v>
      </c>
      <c r="P355" s="2805" t="e">
        <f>#REF!</f>
        <v>#REF!</v>
      </c>
      <c r="Q355" s="21">
        <f t="shared" si="66"/>
        <v>1</v>
      </c>
      <c r="R355" s="661">
        <f t="shared" si="67"/>
        <v>0</v>
      </c>
      <c r="S355" s="315">
        <f t="shared" si="59"/>
        <v>0</v>
      </c>
    </row>
    <row r="356" spans="1:19">
      <c r="A356" s="663"/>
      <c r="B356" s="663"/>
      <c r="C356" s="21"/>
      <c r="D356" s="2805"/>
      <c r="E356" s="21">
        <f t="shared" si="60"/>
        <v>1</v>
      </c>
      <c r="F356" s="2805" t="e">
        <f>#REF!</f>
        <v>#REF!</v>
      </c>
      <c r="G356" s="21">
        <f t="shared" si="61"/>
        <v>1</v>
      </c>
      <c r="H356" s="665"/>
      <c r="I356" s="21">
        <f t="shared" si="62"/>
        <v>1</v>
      </c>
      <c r="J356" s="665"/>
      <c r="K356" s="21">
        <f t="shared" si="63"/>
        <v>1</v>
      </c>
      <c r="L356" s="665"/>
      <c r="M356" s="21">
        <f t="shared" si="64"/>
        <v>1</v>
      </c>
      <c r="N356" s="665"/>
      <c r="O356" s="21">
        <f t="shared" si="65"/>
        <v>1</v>
      </c>
      <c r="P356" s="2805" t="e">
        <f>#REF!</f>
        <v>#REF!</v>
      </c>
      <c r="Q356" s="21">
        <f t="shared" si="66"/>
        <v>1</v>
      </c>
      <c r="R356" s="661">
        <f t="shared" si="67"/>
        <v>0</v>
      </c>
      <c r="S356" s="315">
        <f t="shared" si="59"/>
        <v>0</v>
      </c>
    </row>
    <row r="357" spans="1:19">
      <c r="A357" s="663"/>
      <c r="B357" s="663"/>
      <c r="C357" s="21"/>
      <c r="D357" s="2805"/>
      <c r="E357" s="21">
        <f t="shared" si="60"/>
        <v>1</v>
      </c>
      <c r="F357" s="2805" t="e">
        <f>#REF!</f>
        <v>#REF!</v>
      </c>
      <c r="G357" s="21">
        <f t="shared" si="61"/>
        <v>1</v>
      </c>
      <c r="H357" s="665"/>
      <c r="I357" s="21">
        <f t="shared" si="62"/>
        <v>1</v>
      </c>
      <c r="J357" s="665"/>
      <c r="K357" s="21">
        <f t="shared" si="63"/>
        <v>1</v>
      </c>
      <c r="L357" s="665"/>
      <c r="M357" s="21">
        <f t="shared" si="64"/>
        <v>1</v>
      </c>
      <c r="N357" s="665"/>
      <c r="O357" s="21">
        <f t="shared" si="65"/>
        <v>1</v>
      </c>
      <c r="P357" s="2805" t="e">
        <f>#REF!</f>
        <v>#REF!</v>
      </c>
      <c r="Q357" s="21">
        <f t="shared" si="66"/>
        <v>1</v>
      </c>
      <c r="R357" s="661">
        <f t="shared" si="67"/>
        <v>0</v>
      </c>
      <c r="S357" s="315">
        <f t="shared" si="59"/>
        <v>0</v>
      </c>
    </row>
    <row r="358" spans="1:19">
      <c r="A358" s="663"/>
      <c r="B358" s="663"/>
      <c r="C358" s="21"/>
      <c r="D358" s="2805"/>
      <c r="E358" s="21">
        <f t="shared" si="60"/>
        <v>1</v>
      </c>
      <c r="F358" s="2805" t="e">
        <f>#REF!</f>
        <v>#REF!</v>
      </c>
      <c r="G358" s="21">
        <f t="shared" si="61"/>
        <v>1</v>
      </c>
      <c r="H358" s="665"/>
      <c r="I358" s="21">
        <f t="shared" si="62"/>
        <v>1</v>
      </c>
      <c r="J358" s="665"/>
      <c r="K358" s="21">
        <f t="shared" si="63"/>
        <v>1</v>
      </c>
      <c r="L358" s="665"/>
      <c r="M358" s="21">
        <f t="shared" si="64"/>
        <v>1</v>
      </c>
      <c r="N358" s="665"/>
      <c r="O358" s="21">
        <f t="shared" si="65"/>
        <v>1</v>
      </c>
      <c r="P358" s="2805" t="e">
        <f>#REF!</f>
        <v>#REF!</v>
      </c>
      <c r="Q358" s="21">
        <f t="shared" si="66"/>
        <v>1</v>
      </c>
      <c r="R358" s="661">
        <f t="shared" si="67"/>
        <v>0</v>
      </c>
      <c r="S358" s="315">
        <f t="shared" si="59"/>
        <v>0</v>
      </c>
    </row>
    <row r="359" spans="1:19">
      <c r="A359" s="663"/>
      <c r="B359" s="663"/>
      <c r="C359" s="21"/>
      <c r="D359" s="2805"/>
      <c r="E359" s="21">
        <f t="shared" si="60"/>
        <v>1</v>
      </c>
      <c r="F359" s="2805" t="e">
        <f>#REF!</f>
        <v>#REF!</v>
      </c>
      <c r="G359" s="21">
        <f t="shared" si="61"/>
        <v>1</v>
      </c>
      <c r="H359" s="665"/>
      <c r="I359" s="21">
        <f t="shared" si="62"/>
        <v>1</v>
      </c>
      <c r="J359" s="665"/>
      <c r="K359" s="21">
        <f t="shared" si="63"/>
        <v>1</v>
      </c>
      <c r="L359" s="665"/>
      <c r="M359" s="21">
        <f t="shared" si="64"/>
        <v>1</v>
      </c>
      <c r="N359" s="665"/>
      <c r="O359" s="21">
        <f t="shared" si="65"/>
        <v>1</v>
      </c>
      <c r="P359" s="2805" t="e">
        <f>#REF!</f>
        <v>#REF!</v>
      </c>
      <c r="Q359" s="21">
        <f t="shared" si="66"/>
        <v>1</v>
      </c>
      <c r="R359" s="661">
        <f t="shared" si="67"/>
        <v>0</v>
      </c>
      <c r="S359" s="315">
        <f t="shared" si="59"/>
        <v>0</v>
      </c>
    </row>
    <row r="360" spans="1:19">
      <c r="A360" s="663"/>
      <c r="B360" s="663"/>
      <c r="C360" s="21"/>
      <c r="D360" s="2805"/>
      <c r="E360" s="21">
        <f t="shared" si="60"/>
        <v>1</v>
      </c>
      <c r="F360" s="2805" t="e">
        <f>#REF!</f>
        <v>#REF!</v>
      </c>
      <c r="G360" s="21">
        <f t="shared" si="61"/>
        <v>1</v>
      </c>
      <c r="H360" s="665"/>
      <c r="I360" s="21">
        <f t="shared" si="62"/>
        <v>1</v>
      </c>
      <c r="J360" s="665"/>
      <c r="K360" s="21">
        <f t="shared" si="63"/>
        <v>1</v>
      </c>
      <c r="L360" s="665"/>
      <c r="M360" s="21">
        <f t="shared" si="64"/>
        <v>1</v>
      </c>
      <c r="N360" s="665"/>
      <c r="O360" s="21">
        <f t="shared" si="65"/>
        <v>1</v>
      </c>
      <c r="P360" s="2805" t="e">
        <f>#REF!</f>
        <v>#REF!</v>
      </c>
      <c r="Q360" s="21">
        <f t="shared" si="66"/>
        <v>1</v>
      </c>
      <c r="R360" s="661">
        <f t="shared" si="67"/>
        <v>0</v>
      </c>
      <c r="S360" s="315">
        <f t="shared" si="59"/>
        <v>0</v>
      </c>
    </row>
    <row r="361" spans="1:19">
      <c r="A361" s="663"/>
      <c r="B361" s="663"/>
      <c r="C361" s="21"/>
      <c r="D361" s="2805"/>
      <c r="E361" s="21">
        <f t="shared" si="60"/>
        <v>1</v>
      </c>
      <c r="F361" s="2805" t="e">
        <f>#REF!</f>
        <v>#REF!</v>
      </c>
      <c r="G361" s="21">
        <f t="shared" si="61"/>
        <v>1</v>
      </c>
      <c r="H361" s="665"/>
      <c r="I361" s="21">
        <f t="shared" si="62"/>
        <v>1</v>
      </c>
      <c r="J361" s="665"/>
      <c r="K361" s="21">
        <f t="shared" si="63"/>
        <v>1</v>
      </c>
      <c r="L361" s="665"/>
      <c r="M361" s="21">
        <f t="shared" si="64"/>
        <v>1</v>
      </c>
      <c r="N361" s="665"/>
      <c r="O361" s="21">
        <f t="shared" si="65"/>
        <v>1</v>
      </c>
      <c r="P361" s="2805" t="e">
        <f>#REF!</f>
        <v>#REF!</v>
      </c>
      <c r="Q361" s="21">
        <f t="shared" si="66"/>
        <v>1</v>
      </c>
      <c r="R361" s="661">
        <f t="shared" si="67"/>
        <v>0</v>
      </c>
      <c r="S361" s="315">
        <f t="shared" si="59"/>
        <v>0</v>
      </c>
    </row>
    <row r="362" spans="1:19">
      <c r="A362" s="663"/>
      <c r="B362" s="663"/>
      <c r="C362" s="21"/>
      <c r="D362" s="2805"/>
      <c r="E362" s="21">
        <f t="shared" si="60"/>
        <v>1</v>
      </c>
      <c r="F362" s="2805" t="e">
        <f>#REF!</f>
        <v>#REF!</v>
      </c>
      <c r="G362" s="21">
        <f t="shared" si="61"/>
        <v>1</v>
      </c>
      <c r="H362" s="665"/>
      <c r="I362" s="21">
        <f t="shared" si="62"/>
        <v>1</v>
      </c>
      <c r="J362" s="665"/>
      <c r="K362" s="21">
        <f t="shared" si="63"/>
        <v>1</v>
      </c>
      <c r="L362" s="665"/>
      <c r="M362" s="21">
        <f t="shared" si="64"/>
        <v>1</v>
      </c>
      <c r="N362" s="665"/>
      <c r="O362" s="21">
        <f t="shared" si="65"/>
        <v>1</v>
      </c>
      <c r="P362" s="2805" t="e">
        <f>#REF!</f>
        <v>#REF!</v>
      </c>
      <c r="Q362" s="21">
        <f t="shared" si="66"/>
        <v>1</v>
      </c>
      <c r="R362" s="661">
        <f t="shared" si="67"/>
        <v>0</v>
      </c>
      <c r="S362" s="315">
        <f t="shared" si="59"/>
        <v>0</v>
      </c>
    </row>
    <row r="363" spans="1:19">
      <c r="A363" s="663"/>
      <c r="B363" s="663"/>
      <c r="C363" s="21"/>
      <c r="D363" s="2805"/>
      <c r="E363" s="21">
        <f t="shared" si="60"/>
        <v>1</v>
      </c>
      <c r="F363" s="2805" t="e">
        <f>#REF!</f>
        <v>#REF!</v>
      </c>
      <c r="G363" s="21">
        <f t="shared" si="61"/>
        <v>1</v>
      </c>
      <c r="H363" s="665"/>
      <c r="I363" s="21">
        <f t="shared" si="62"/>
        <v>1</v>
      </c>
      <c r="J363" s="665"/>
      <c r="K363" s="21">
        <f t="shared" si="63"/>
        <v>1</v>
      </c>
      <c r="L363" s="665"/>
      <c r="M363" s="21">
        <f t="shared" si="64"/>
        <v>1</v>
      </c>
      <c r="N363" s="665"/>
      <c r="O363" s="21">
        <f t="shared" si="65"/>
        <v>1</v>
      </c>
      <c r="P363" s="2805" t="e">
        <f>#REF!</f>
        <v>#REF!</v>
      </c>
      <c r="Q363" s="21">
        <f t="shared" si="66"/>
        <v>1</v>
      </c>
      <c r="R363" s="661">
        <f t="shared" si="67"/>
        <v>0</v>
      </c>
      <c r="S363" s="315">
        <f t="shared" si="59"/>
        <v>0</v>
      </c>
    </row>
    <row r="364" spans="1:19">
      <c r="A364" s="663"/>
      <c r="B364" s="663"/>
      <c r="C364" s="21"/>
      <c r="D364" s="2805"/>
      <c r="E364" s="21">
        <f t="shared" si="60"/>
        <v>1</v>
      </c>
      <c r="F364" s="2805" t="e">
        <f>#REF!</f>
        <v>#REF!</v>
      </c>
      <c r="G364" s="21">
        <f t="shared" si="61"/>
        <v>1</v>
      </c>
      <c r="H364" s="665"/>
      <c r="I364" s="21">
        <f t="shared" si="62"/>
        <v>1</v>
      </c>
      <c r="J364" s="665"/>
      <c r="K364" s="21">
        <f t="shared" si="63"/>
        <v>1</v>
      </c>
      <c r="L364" s="665"/>
      <c r="M364" s="21">
        <f t="shared" si="64"/>
        <v>1</v>
      </c>
      <c r="N364" s="665"/>
      <c r="O364" s="21">
        <f t="shared" si="65"/>
        <v>1</v>
      </c>
      <c r="P364" s="2805" t="e">
        <f>#REF!</f>
        <v>#REF!</v>
      </c>
      <c r="Q364" s="21">
        <f t="shared" si="66"/>
        <v>1</v>
      </c>
      <c r="R364" s="661">
        <f t="shared" si="67"/>
        <v>0</v>
      </c>
      <c r="S364" s="315">
        <f t="shared" si="59"/>
        <v>0</v>
      </c>
    </row>
    <row r="365" spans="1:19">
      <c r="A365" s="663"/>
      <c r="B365" s="663"/>
      <c r="C365" s="21"/>
      <c r="D365" s="2805"/>
      <c r="E365" s="21">
        <f t="shared" si="60"/>
        <v>1</v>
      </c>
      <c r="F365" s="2805" t="e">
        <f>#REF!</f>
        <v>#REF!</v>
      </c>
      <c r="G365" s="21">
        <f t="shared" si="61"/>
        <v>1</v>
      </c>
      <c r="H365" s="665"/>
      <c r="I365" s="21">
        <f t="shared" si="62"/>
        <v>1</v>
      </c>
      <c r="J365" s="665"/>
      <c r="K365" s="21">
        <f t="shared" si="63"/>
        <v>1</v>
      </c>
      <c r="L365" s="665"/>
      <c r="M365" s="21">
        <f t="shared" si="64"/>
        <v>1</v>
      </c>
      <c r="N365" s="665"/>
      <c r="O365" s="21">
        <f t="shared" si="65"/>
        <v>1</v>
      </c>
      <c r="P365" s="2805" t="e">
        <f>#REF!</f>
        <v>#REF!</v>
      </c>
      <c r="Q365" s="21">
        <f t="shared" si="66"/>
        <v>1</v>
      </c>
      <c r="R365" s="661">
        <f t="shared" si="67"/>
        <v>0</v>
      </c>
      <c r="S365" s="315">
        <f t="shared" si="59"/>
        <v>0</v>
      </c>
    </row>
    <row r="366" spans="1:19">
      <c r="A366" s="663"/>
      <c r="B366" s="663"/>
      <c r="C366" s="21"/>
      <c r="D366" s="2805"/>
      <c r="E366" s="21">
        <f t="shared" si="60"/>
        <v>1</v>
      </c>
      <c r="F366" s="2805" t="e">
        <f>#REF!</f>
        <v>#REF!</v>
      </c>
      <c r="G366" s="21">
        <f t="shared" si="61"/>
        <v>1</v>
      </c>
      <c r="H366" s="665"/>
      <c r="I366" s="21">
        <f t="shared" si="62"/>
        <v>1</v>
      </c>
      <c r="J366" s="665"/>
      <c r="K366" s="21">
        <f t="shared" si="63"/>
        <v>1</v>
      </c>
      <c r="L366" s="665"/>
      <c r="M366" s="21">
        <f t="shared" si="64"/>
        <v>1</v>
      </c>
      <c r="N366" s="665"/>
      <c r="O366" s="21">
        <f t="shared" si="65"/>
        <v>1</v>
      </c>
      <c r="P366" s="2805" t="e">
        <f>#REF!</f>
        <v>#REF!</v>
      </c>
      <c r="Q366" s="21">
        <f t="shared" si="66"/>
        <v>1</v>
      </c>
      <c r="R366" s="661">
        <f t="shared" si="67"/>
        <v>0</v>
      </c>
      <c r="S366" s="315">
        <f t="shared" si="59"/>
        <v>0</v>
      </c>
    </row>
    <row r="367" spans="1:19">
      <c r="A367" s="663"/>
      <c r="B367" s="663"/>
      <c r="C367" s="21"/>
      <c r="D367" s="2805"/>
      <c r="E367" s="21">
        <f t="shared" si="60"/>
        <v>1</v>
      </c>
      <c r="F367" s="2805" t="e">
        <f>#REF!</f>
        <v>#REF!</v>
      </c>
      <c r="G367" s="21">
        <f t="shared" si="61"/>
        <v>1</v>
      </c>
      <c r="H367" s="665"/>
      <c r="I367" s="21">
        <f t="shared" si="62"/>
        <v>1</v>
      </c>
      <c r="J367" s="665"/>
      <c r="K367" s="21">
        <f t="shared" si="63"/>
        <v>1</v>
      </c>
      <c r="L367" s="665"/>
      <c r="M367" s="21">
        <f t="shared" si="64"/>
        <v>1</v>
      </c>
      <c r="N367" s="665"/>
      <c r="O367" s="21">
        <f t="shared" si="65"/>
        <v>1</v>
      </c>
      <c r="P367" s="2805" t="e">
        <f>#REF!</f>
        <v>#REF!</v>
      </c>
      <c r="Q367" s="21">
        <f t="shared" si="66"/>
        <v>1</v>
      </c>
      <c r="R367" s="661">
        <f t="shared" si="67"/>
        <v>0</v>
      </c>
      <c r="S367" s="315">
        <f t="shared" si="59"/>
        <v>0</v>
      </c>
    </row>
    <row r="368" spans="1:19">
      <c r="A368" s="663"/>
      <c r="B368" s="663"/>
      <c r="C368" s="21"/>
      <c r="D368" s="2805"/>
      <c r="E368" s="21">
        <f t="shared" si="60"/>
        <v>1</v>
      </c>
      <c r="F368" s="2805" t="e">
        <f>#REF!</f>
        <v>#REF!</v>
      </c>
      <c r="G368" s="21">
        <f t="shared" si="61"/>
        <v>1</v>
      </c>
      <c r="H368" s="665"/>
      <c r="I368" s="21">
        <f t="shared" si="62"/>
        <v>1</v>
      </c>
      <c r="J368" s="665"/>
      <c r="K368" s="21">
        <f t="shared" si="63"/>
        <v>1</v>
      </c>
      <c r="L368" s="665"/>
      <c r="M368" s="21">
        <f t="shared" si="64"/>
        <v>1</v>
      </c>
      <c r="N368" s="665"/>
      <c r="O368" s="21">
        <f t="shared" si="65"/>
        <v>1</v>
      </c>
      <c r="P368" s="2805" t="e">
        <f>#REF!</f>
        <v>#REF!</v>
      </c>
      <c r="Q368" s="21">
        <f t="shared" si="66"/>
        <v>1</v>
      </c>
      <c r="R368" s="661">
        <f t="shared" si="67"/>
        <v>0</v>
      </c>
      <c r="S368" s="315">
        <f t="shared" si="59"/>
        <v>0</v>
      </c>
    </row>
    <row r="369" spans="1:19">
      <c r="A369" s="663"/>
      <c r="B369" s="663"/>
      <c r="C369" s="21"/>
      <c r="D369" s="2805"/>
      <c r="E369" s="21">
        <f t="shared" si="60"/>
        <v>1</v>
      </c>
      <c r="F369" s="2805" t="e">
        <f>#REF!</f>
        <v>#REF!</v>
      </c>
      <c r="G369" s="21">
        <f t="shared" si="61"/>
        <v>1</v>
      </c>
      <c r="H369" s="665"/>
      <c r="I369" s="21">
        <f t="shared" si="62"/>
        <v>1</v>
      </c>
      <c r="J369" s="665"/>
      <c r="K369" s="21">
        <f t="shared" si="63"/>
        <v>1</v>
      </c>
      <c r="L369" s="665"/>
      <c r="M369" s="21">
        <f t="shared" si="64"/>
        <v>1</v>
      </c>
      <c r="N369" s="665"/>
      <c r="O369" s="21">
        <f t="shared" si="65"/>
        <v>1</v>
      </c>
      <c r="P369" s="2805" t="e">
        <f>#REF!</f>
        <v>#REF!</v>
      </c>
      <c r="Q369" s="21">
        <f t="shared" si="66"/>
        <v>1</v>
      </c>
      <c r="R369" s="661">
        <f t="shared" si="67"/>
        <v>0</v>
      </c>
      <c r="S369" s="315">
        <f t="shared" si="59"/>
        <v>0</v>
      </c>
    </row>
    <row r="370" spans="1:19">
      <c r="A370" s="663"/>
      <c r="B370" s="663"/>
      <c r="C370" s="21"/>
      <c r="D370" s="2805"/>
      <c r="E370" s="21">
        <f t="shared" si="60"/>
        <v>1</v>
      </c>
      <c r="F370" s="2805" t="e">
        <f>#REF!</f>
        <v>#REF!</v>
      </c>
      <c r="G370" s="21">
        <f t="shared" si="61"/>
        <v>1</v>
      </c>
      <c r="H370" s="665"/>
      <c r="I370" s="21">
        <f t="shared" si="62"/>
        <v>1</v>
      </c>
      <c r="J370" s="665"/>
      <c r="K370" s="21">
        <f t="shared" si="63"/>
        <v>1</v>
      </c>
      <c r="L370" s="665"/>
      <c r="M370" s="21">
        <f t="shared" si="64"/>
        <v>1</v>
      </c>
      <c r="N370" s="665"/>
      <c r="O370" s="21">
        <f t="shared" si="65"/>
        <v>1</v>
      </c>
      <c r="P370" s="2805" t="e">
        <f>#REF!</f>
        <v>#REF!</v>
      </c>
      <c r="Q370" s="21">
        <f t="shared" si="66"/>
        <v>1</v>
      </c>
      <c r="R370" s="661">
        <f t="shared" si="67"/>
        <v>0</v>
      </c>
      <c r="S370" s="315">
        <f t="shared" si="59"/>
        <v>0</v>
      </c>
    </row>
    <row r="371" spans="1:19">
      <c r="A371" s="663"/>
      <c r="B371" s="663"/>
      <c r="C371" s="21"/>
      <c r="D371" s="2805"/>
      <c r="E371" s="21">
        <f t="shared" si="60"/>
        <v>1</v>
      </c>
      <c r="F371" s="2805" t="e">
        <f>#REF!</f>
        <v>#REF!</v>
      </c>
      <c r="G371" s="21">
        <f t="shared" si="61"/>
        <v>1</v>
      </c>
      <c r="H371" s="665"/>
      <c r="I371" s="21">
        <f t="shared" si="62"/>
        <v>1</v>
      </c>
      <c r="J371" s="665"/>
      <c r="K371" s="21">
        <f t="shared" si="63"/>
        <v>1</v>
      </c>
      <c r="L371" s="665"/>
      <c r="M371" s="21">
        <f t="shared" si="64"/>
        <v>1</v>
      </c>
      <c r="N371" s="665"/>
      <c r="O371" s="21">
        <f t="shared" si="65"/>
        <v>1</v>
      </c>
      <c r="P371" s="2805" t="e">
        <f>#REF!</f>
        <v>#REF!</v>
      </c>
      <c r="Q371" s="21">
        <f t="shared" si="66"/>
        <v>1</v>
      </c>
      <c r="R371" s="661">
        <f t="shared" si="67"/>
        <v>0</v>
      </c>
      <c r="S371" s="315">
        <f t="shared" si="59"/>
        <v>0</v>
      </c>
    </row>
    <row r="372" spans="1:19">
      <c r="A372" s="663"/>
      <c r="B372" s="663"/>
      <c r="C372" s="21"/>
      <c r="D372" s="2805"/>
      <c r="E372" s="21">
        <f t="shared" si="60"/>
        <v>1</v>
      </c>
      <c r="F372" s="2805" t="e">
        <f>#REF!</f>
        <v>#REF!</v>
      </c>
      <c r="G372" s="21">
        <f t="shared" si="61"/>
        <v>1</v>
      </c>
      <c r="H372" s="665"/>
      <c r="I372" s="21">
        <f t="shared" si="62"/>
        <v>1</v>
      </c>
      <c r="J372" s="665"/>
      <c r="K372" s="21">
        <f t="shared" si="63"/>
        <v>1</v>
      </c>
      <c r="L372" s="665"/>
      <c r="M372" s="21">
        <f t="shared" si="64"/>
        <v>1</v>
      </c>
      <c r="N372" s="665"/>
      <c r="O372" s="21">
        <f t="shared" si="65"/>
        <v>1</v>
      </c>
      <c r="P372" s="2805" t="e">
        <f>#REF!</f>
        <v>#REF!</v>
      </c>
      <c r="Q372" s="21">
        <f t="shared" si="66"/>
        <v>1</v>
      </c>
      <c r="R372" s="661">
        <f t="shared" si="67"/>
        <v>0</v>
      </c>
      <c r="S372" s="315">
        <f t="shared" si="59"/>
        <v>0</v>
      </c>
    </row>
    <row r="373" spans="1:19">
      <c r="A373" s="663"/>
      <c r="B373" s="663"/>
      <c r="C373" s="21"/>
      <c r="D373" s="2805"/>
      <c r="E373" s="21">
        <f t="shared" si="60"/>
        <v>1</v>
      </c>
      <c r="F373" s="2805" t="e">
        <f>#REF!</f>
        <v>#REF!</v>
      </c>
      <c r="G373" s="21">
        <f t="shared" si="61"/>
        <v>1</v>
      </c>
      <c r="H373" s="665"/>
      <c r="I373" s="21">
        <f t="shared" si="62"/>
        <v>1</v>
      </c>
      <c r="J373" s="665"/>
      <c r="K373" s="21">
        <f t="shared" si="63"/>
        <v>1</v>
      </c>
      <c r="L373" s="665"/>
      <c r="M373" s="21">
        <f t="shared" si="64"/>
        <v>1</v>
      </c>
      <c r="N373" s="665"/>
      <c r="O373" s="21">
        <f t="shared" si="65"/>
        <v>1</v>
      </c>
      <c r="P373" s="2805" t="e">
        <f>#REF!</f>
        <v>#REF!</v>
      </c>
      <c r="Q373" s="21">
        <f t="shared" si="66"/>
        <v>1</v>
      </c>
      <c r="R373" s="661">
        <f t="shared" si="67"/>
        <v>0</v>
      </c>
      <c r="S373" s="315">
        <f t="shared" si="59"/>
        <v>0</v>
      </c>
    </row>
    <row r="374" spans="1:19">
      <c r="A374" s="663"/>
      <c r="B374" s="663"/>
      <c r="C374" s="21"/>
      <c r="D374" s="2805"/>
      <c r="E374" s="21">
        <f t="shared" si="60"/>
        <v>1</v>
      </c>
      <c r="F374" s="2805" t="e">
        <f>#REF!</f>
        <v>#REF!</v>
      </c>
      <c r="G374" s="21">
        <f t="shared" si="61"/>
        <v>1</v>
      </c>
      <c r="H374" s="665"/>
      <c r="I374" s="21">
        <f t="shared" si="62"/>
        <v>1</v>
      </c>
      <c r="J374" s="665"/>
      <c r="K374" s="21">
        <f t="shared" si="63"/>
        <v>1</v>
      </c>
      <c r="L374" s="665"/>
      <c r="M374" s="21">
        <f t="shared" si="64"/>
        <v>1</v>
      </c>
      <c r="N374" s="665"/>
      <c r="O374" s="21">
        <f t="shared" si="65"/>
        <v>1</v>
      </c>
      <c r="P374" s="2805" t="e">
        <f>#REF!</f>
        <v>#REF!</v>
      </c>
      <c r="Q374" s="21">
        <f t="shared" si="66"/>
        <v>1</v>
      </c>
      <c r="R374" s="661">
        <f t="shared" si="67"/>
        <v>0</v>
      </c>
      <c r="S374" s="315">
        <f t="shared" si="59"/>
        <v>0</v>
      </c>
    </row>
    <row r="375" spans="1:19">
      <c r="A375" s="663"/>
      <c r="B375" s="663"/>
      <c r="C375" s="21"/>
      <c r="D375" s="2805"/>
      <c r="E375" s="21">
        <f t="shared" si="60"/>
        <v>1</v>
      </c>
      <c r="F375" s="2805" t="e">
        <f>#REF!</f>
        <v>#REF!</v>
      </c>
      <c r="G375" s="21">
        <f t="shared" si="61"/>
        <v>1</v>
      </c>
      <c r="H375" s="665"/>
      <c r="I375" s="21">
        <f t="shared" si="62"/>
        <v>1</v>
      </c>
      <c r="J375" s="665"/>
      <c r="K375" s="21">
        <f t="shared" si="63"/>
        <v>1</v>
      </c>
      <c r="L375" s="665"/>
      <c r="M375" s="21">
        <f t="shared" si="64"/>
        <v>1</v>
      </c>
      <c r="N375" s="665"/>
      <c r="O375" s="21">
        <f t="shared" si="65"/>
        <v>1</v>
      </c>
      <c r="P375" s="2805" t="e">
        <f>#REF!</f>
        <v>#REF!</v>
      </c>
      <c r="Q375" s="21">
        <f t="shared" si="66"/>
        <v>1</v>
      </c>
      <c r="R375" s="661">
        <f t="shared" si="67"/>
        <v>0</v>
      </c>
      <c r="S375" s="315">
        <f t="shared" si="59"/>
        <v>0</v>
      </c>
    </row>
    <row r="376" spans="1:19">
      <c r="A376" s="663"/>
      <c r="B376" s="663"/>
      <c r="C376" s="21"/>
      <c r="D376" s="2805"/>
      <c r="E376" s="21">
        <f t="shared" si="60"/>
        <v>1</v>
      </c>
      <c r="F376" s="2805" t="e">
        <f>#REF!</f>
        <v>#REF!</v>
      </c>
      <c r="G376" s="21">
        <f t="shared" si="61"/>
        <v>1</v>
      </c>
      <c r="H376" s="665"/>
      <c r="I376" s="21">
        <f t="shared" si="62"/>
        <v>1</v>
      </c>
      <c r="J376" s="665"/>
      <c r="K376" s="21">
        <f t="shared" si="63"/>
        <v>1</v>
      </c>
      <c r="L376" s="665"/>
      <c r="M376" s="21">
        <f t="shared" si="64"/>
        <v>1</v>
      </c>
      <c r="N376" s="665"/>
      <c r="O376" s="21">
        <f t="shared" si="65"/>
        <v>1</v>
      </c>
      <c r="P376" s="2805" t="e">
        <f>#REF!</f>
        <v>#REF!</v>
      </c>
      <c r="Q376" s="21">
        <f t="shared" si="66"/>
        <v>1</v>
      </c>
      <c r="R376" s="661">
        <f t="shared" si="67"/>
        <v>0</v>
      </c>
      <c r="S376" s="315">
        <f t="shared" si="59"/>
        <v>0</v>
      </c>
    </row>
    <row r="377" spans="1:19">
      <c r="A377" s="663"/>
      <c r="B377" s="663"/>
      <c r="C377" s="21"/>
      <c r="D377" s="2805"/>
      <c r="E377" s="21">
        <f t="shared" si="60"/>
        <v>1</v>
      </c>
      <c r="F377" s="2805" t="e">
        <f>#REF!</f>
        <v>#REF!</v>
      </c>
      <c r="G377" s="21">
        <f t="shared" si="61"/>
        <v>1</v>
      </c>
      <c r="H377" s="665"/>
      <c r="I377" s="21">
        <f t="shared" si="62"/>
        <v>1</v>
      </c>
      <c r="J377" s="665"/>
      <c r="K377" s="21">
        <f t="shared" si="63"/>
        <v>1</v>
      </c>
      <c r="L377" s="665"/>
      <c r="M377" s="21">
        <f t="shared" si="64"/>
        <v>1</v>
      </c>
      <c r="N377" s="665"/>
      <c r="O377" s="21">
        <f t="shared" si="65"/>
        <v>1</v>
      </c>
      <c r="P377" s="2805" t="e">
        <f>#REF!</f>
        <v>#REF!</v>
      </c>
      <c r="Q377" s="21">
        <f t="shared" si="66"/>
        <v>1</v>
      </c>
      <c r="R377" s="661">
        <f t="shared" si="67"/>
        <v>0</v>
      </c>
      <c r="S377" s="315">
        <f t="shared" si="59"/>
        <v>0</v>
      </c>
    </row>
    <row r="378" spans="1:19">
      <c r="A378" s="663"/>
      <c r="B378" s="663"/>
      <c r="C378" s="21"/>
      <c r="D378" s="2805"/>
      <c r="E378" s="21">
        <f t="shared" si="60"/>
        <v>1</v>
      </c>
      <c r="F378" s="2805" t="e">
        <f>#REF!</f>
        <v>#REF!</v>
      </c>
      <c r="G378" s="21">
        <f t="shared" si="61"/>
        <v>1</v>
      </c>
      <c r="H378" s="665"/>
      <c r="I378" s="21">
        <f t="shared" si="62"/>
        <v>1</v>
      </c>
      <c r="J378" s="665"/>
      <c r="K378" s="21">
        <f t="shared" si="63"/>
        <v>1</v>
      </c>
      <c r="L378" s="665"/>
      <c r="M378" s="21">
        <f t="shared" si="64"/>
        <v>1</v>
      </c>
      <c r="N378" s="665"/>
      <c r="O378" s="21">
        <f t="shared" si="65"/>
        <v>1</v>
      </c>
      <c r="P378" s="2805" t="e">
        <f>#REF!</f>
        <v>#REF!</v>
      </c>
      <c r="Q378" s="21">
        <f t="shared" si="66"/>
        <v>1</v>
      </c>
      <c r="R378" s="661">
        <f t="shared" si="67"/>
        <v>0</v>
      </c>
      <c r="S378" s="315">
        <f t="shared" si="59"/>
        <v>0</v>
      </c>
    </row>
    <row r="379" spans="1:19">
      <c r="A379" s="663"/>
      <c r="B379" s="663"/>
      <c r="C379" s="21"/>
      <c r="D379" s="2805"/>
      <c r="E379" s="21">
        <f t="shared" si="60"/>
        <v>1</v>
      </c>
      <c r="F379" s="2805" t="e">
        <f>#REF!</f>
        <v>#REF!</v>
      </c>
      <c r="G379" s="21">
        <f t="shared" si="61"/>
        <v>1</v>
      </c>
      <c r="H379" s="665"/>
      <c r="I379" s="21">
        <f t="shared" si="62"/>
        <v>1</v>
      </c>
      <c r="J379" s="665"/>
      <c r="K379" s="21">
        <f t="shared" si="63"/>
        <v>1</v>
      </c>
      <c r="L379" s="665"/>
      <c r="M379" s="21">
        <f t="shared" si="64"/>
        <v>1</v>
      </c>
      <c r="N379" s="665"/>
      <c r="O379" s="21">
        <f t="shared" si="65"/>
        <v>1</v>
      </c>
      <c r="P379" s="2805" t="e">
        <f>#REF!</f>
        <v>#REF!</v>
      </c>
      <c r="Q379" s="21">
        <f t="shared" si="66"/>
        <v>1</v>
      </c>
      <c r="R379" s="661">
        <f t="shared" si="67"/>
        <v>0</v>
      </c>
      <c r="S379" s="315">
        <f t="shared" si="59"/>
        <v>0</v>
      </c>
    </row>
    <row r="380" spans="1:19">
      <c r="A380" s="663"/>
      <c r="B380" s="663"/>
      <c r="C380" s="21"/>
      <c r="D380" s="2805"/>
      <c r="E380" s="21">
        <f t="shared" si="60"/>
        <v>1</v>
      </c>
      <c r="F380" s="2805" t="e">
        <f>#REF!</f>
        <v>#REF!</v>
      </c>
      <c r="G380" s="21">
        <f t="shared" si="61"/>
        <v>1</v>
      </c>
      <c r="H380" s="665"/>
      <c r="I380" s="21">
        <f t="shared" si="62"/>
        <v>1</v>
      </c>
      <c r="J380" s="665"/>
      <c r="K380" s="21">
        <f t="shared" si="63"/>
        <v>1</v>
      </c>
      <c r="L380" s="665"/>
      <c r="M380" s="21">
        <f t="shared" si="64"/>
        <v>1</v>
      </c>
      <c r="N380" s="665"/>
      <c r="O380" s="21">
        <f t="shared" si="65"/>
        <v>1</v>
      </c>
      <c r="P380" s="2805" t="e">
        <f>#REF!</f>
        <v>#REF!</v>
      </c>
      <c r="Q380" s="21">
        <f t="shared" si="66"/>
        <v>1</v>
      </c>
      <c r="R380" s="661">
        <f t="shared" si="67"/>
        <v>0</v>
      </c>
      <c r="S380" s="315">
        <f t="shared" si="59"/>
        <v>0</v>
      </c>
    </row>
    <row r="381" spans="1:19">
      <c r="A381" s="663"/>
      <c r="B381" s="663"/>
      <c r="C381" s="21"/>
      <c r="D381" s="2805"/>
      <c r="E381" s="21">
        <f t="shared" si="60"/>
        <v>1</v>
      </c>
      <c r="F381" s="2805" t="e">
        <f>#REF!</f>
        <v>#REF!</v>
      </c>
      <c r="G381" s="21">
        <f t="shared" si="61"/>
        <v>1</v>
      </c>
      <c r="H381" s="665"/>
      <c r="I381" s="21">
        <f t="shared" si="62"/>
        <v>1</v>
      </c>
      <c r="J381" s="665"/>
      <c r="K381" s="21">
        <f t="shared" si="63"/>
        <v>1</v>
      </c>
      <c r="L381" s="665"/>
      <c r="M381" s="21">
        <f t="shared" si="64"/>
        <v>1</v>
      </c>
      <c r="N381" s="665"/>
      <c r="O381" s="21">
        <f t="shared" si="65"/>
        <v>1</v>
      </c>
      <c r="P381" s="2805" t="e">
        <f>#REF!</f>
        <v>#REF!</v>
      </c>
      <c r="Q381" s="21">
        <f t="shared" si="66"/>
        <v>1</v>
      </c>
      <c r="R381" s="661">
        <f t="shared" si="67"/>
        <v>0</v>
      </c>
      <c r="S381" s="315">
        <f t="shared" si="59"/>
        <v>0</v>
      </c>
    </row>
    <row r="382" spans="1:19">
      <c r="A382" s="663"/>
      <c r="B382" s="663"/>
      <c r="C382" s="21"/>
      <c r="D382" s="2805"/>
      <c r="E382" s="21">
        <f t="shared" si="60"/>
        <v>1</v>
      </c>
      <c r="F382" s="2805" t="e">
        <f>#REF!</f>
        <v>#REF!</v>
      </c>
      <c r="G382" s="21">
        <f t="shared" si="61"/>
        <v>1</v>
      </c>
      <c r="H382" s="665"/>
      <c r="I382" s="21">
        <f t="shared" si="62"/>
        <v>1</v>
      </c>
      <c r="J382" s="665"/>
      <c r="K382" s="21">
        <f t="shared" si="63"/>
        <v>1</v>
      </c>
      <c r="L382" s="665"/>
      <c r="M382" s="21">
        <f t="shared" si="64"/>
        <v>1</v>
      </c>
      <c r="N382" s="665"/>
      <c r="O382" s="21">
        <f t="shared" si="65"/>
        <v>1</v>
      </c>
      <c r="P382" s="2805" t="e">
        <f>#REF!</f>
        <v>#REF!</v>
      </c>
      <c r="Q382" s="21">
        <f t="shared" si="66"/>
        <v>1</v>
      </c>
      <c r="R382" s="661">
        <f t="shared" si="67"/>
        <v>0</v>
      </c>
      <c r="S382" s="315">
        <f t="shared" si="59"/>
        <v>0</v>
      </c>
    </row>
    <row r="383" spans="1:19">
      <c r="A383" s="663"/>
      <c r="B383" s="663"/>
      <c r="C383" s="21"/>
      <c r="D383" s="2805"/>
      <c r="E383" s="21">
        <f t="shared" si="60"/>
        <v>1</v>
      </c>
      <c r="F383" s="2805" t="e">
        <f>#REF!</f>
        <v>#REF!</v>
      </c>
      <c r="G383" s="21">
        <f t="shared" si="61"/>
        <v>1</v>
      </c>
      <c r="H383" s="665"/>
      <c r="I383" s="21">
        <f t="shared" si="62"/>
        <v>1</v>
      </c>
      <c r="J383" s="665"/>
      <c r="K383" s="21">
        <f t="shared" si="63"/>
        <v>1</v>
      </c>
      <c r="L383" s="665"/>
      <c r="M383" s="21">
        <f t="shared" si="64"/>
        <v>1</v>
      </c>
      <c r="N383" s="665"/>
      <c r="O383" s="21">
        <f t="shared" si="65"/>
        <v>1</v>
      </c>
      <c r="P383" s="2805" t="e">
        <f>#REF!</f>
        <v>#REF!</v>
      </c>
      <c r="Q383" s="21">
        <f t="shared" si="66"/>
        <v>1</v>
      </c>
      <c r="R383" s="661">
        <f t="shared" si="67"/>
        <v>0</v>
      </c>
      <c r="S383" s="315">
        <f t="shared" si="59"/>
        <v>0</v>
      </c>
    </row>
    <row r="384" spans="1:19">
      <c r="A384" s="663"/>
      <c r="B384" s="663"/>
      <c r="C384" s="21"/>
      <c r="D384" s="2805"/>
      <c r="E384" s="21">
        <f t="shared" si="60"/>
        <v>1</v>
      </c>
      <c r="F384" s="2805" t="e">
        <f>#REF!</f>
        <v>#REF!</v>
      </c>
      <c r="G384" s="21">
        <f t="shared" si="61"/>
        <v>1</v>
      </c>
      <c r="H384" s="665"/>
      <c r="I384" s="21">
        <f t="shared" si="62"/>
        <v>1</v>
      </c>
      <c r="J384" s="665"/>
      <c r="K384" s="21">
        <f t="shared" si="63"/>
        <v>1</v>
      </c>
      <c r="L384" s="665"/>
      <c r="M384" s="21">
        <f t="shared" si="64"/>
        <v>1</v>
      </c>
      <c r="N384" s="665"/>
      <c r="O384" s="21">
        <f t="shared" si="65"/>
        <v>1</v>
      </c>
      <c r="P384" s="2805" t="e">
        <f>#REF!</f>
        <v>#REF!</v>
      </c>
      <c r="Q384" s="21">
        <f t="shared" si="66"/>
        <v>1</v>
      </c>
      <c r="R384" s="661">
        <f t="shared" si="67"/>
        <v>0</v>
      </c>
      <c r="S384" s="315">
        <f t="shared" si="59"/>
        <v>0</v>
      </c>
    </row>
    <row r="385" spans="1:19">
      <c r="A385" s="663"/>
      <c r="B385" s="663"/>
      <c r="C385" s="21"/>
      <c r="D385" s="2805"/>
      <c r="E385" s="21">
        <f t="shared" si="60"/>
        <v>1</v>
      </c>
      <c r="F385" s="2805" t="e">
        <f>#REF!</f>
        <v>#REF!</v>
      </c>
      <c r="G385" s="21">
        <f t="shared" si="61"/>
        <v>1</v>
      </c>
      <c r="H385" s="665"/>
      <c r="I385" s="21">
        <f t="shared" si="62"/>
        <v>1</v>
      </c>
      <c r="J385" s="665"/>
      <c r="K385" s="21">
        <f t="shared" si="63"/>
        <v>1</v>
      </c>
      <c r="L385" s="665"/>
      <c r="M385" s="21">
        <f t="shared" si="64"/>
        <v>1</v>
      </c>
      <c r="N385" s="665"/>
      <c r="O385" s="21">
        <f t="shared" si="65"/>
        <v>1</v>
      </c>
      <c r="P385" s="2805" t="e">
        <f>#REF!</f>
        <v>#REF!</v>
      </c>
      <c r="Q385" s="21">
        <f t="shared" si="66"/>
        <v>1</v>
      </c>
      <c r="R385" s="661">
        <f t="shared" si="67"/>
        <v>0</v>
      </c>
      <c r="S385" s="315">
        <f t="shared" ref="S385:S422" si="68">ROUND(R385*B385/10000,0)</f>
        <v>0</v>
      </c>
    </row>
    <row r="386" spans="1:19">
      <c r="A386" s="663"/>
      <c r="B386" s="663"/>
      <c r="C386" s="21"/>
      <c r="D386" s="2805"/>
      <c r="E386" s="21">
        <f t="shared" si="60"/>
        <v>1</v>
      </c>
      <c r="F386" s="2805" t="e">
        <f>#REF!</f>
        <v>#REF!</v>
      </c>
      <c r="G386" s="21">
        <f t="shared" si="61"/>
        <v>1</v>
      </c>
      <c r="H386" s="665"/>
      <c r="I386" s="21">
        <f t="shared" si="62"/>
        <v>1</v>
      </c>
      <c r="J386" s="665"/>
      <c r="K386" s="21">
        <f t="shared" si="63"/>
        <v>1</v>
      </c>
      <c r="L386" s="665"/>
      <c r="M386" s="21">
        <f t="shared" si="64"/>
        <v>1</v>
      </c>
      <c r="N386" s="665"/>
      <c r="O386" s="21">
        <f t="shared" si="65"/>
        <v>1</v>
      </c>
      <c r="P386" s="2805" t="e">
        <f>#REF!</f>
        <v>#REF!</v>
      </c>
      <c r="Q386" s="21">
        <f t="shared" si="66"/>
        <v>1</v>
      </c>
      <c r="R386" s="661">
        <f t="shared" si="67"/>
        <v>0</v>
      </c>
      <c r="S386" s="315">
        <f t="shared" si="68"/>
        <v>0</v>
      </c>
    </row>
    <row r="387" spans="1:19">
      <c r="A387" s="663"/>
      <c r="B387" s="663"/>
      <c r="C387" s="21"/>
      <c r="D387" s="2805"/>
      <c r="E387" s="21">
        <f t="shared" si="60"/>
        <v>1</v>
      </c>
      <c r="F387" s="2805" t="e">
        <f>#REF!</f>
        <v>#REF!</v>
      </c>
      <c r="G387" s="21">
        <f t="shared" si="61"/>
        <v>1</v>
      </c>
      <c r="H387" s="665"/>
      <c r="I387" s="21">
        <f t="shared" si="62"/>
        <v>1</v>
      </c>
      <c r="J387" s="665"/>
      <c r="K387" s="21">
        <f t="shared" si="63"/>
        <v>1</v>
      </c>
      <c r="L387" s="665"/>
      <c r="M387" s="21">
        <f t="shared" si="64"/>
        <v>1</v>
      </c>
      <c r="N387" s="665"/>
      <c r="O387" s="21">
        <f t="shared" si="65"/>
        <v>1</v>
      </c>
      <c r="P387" s="2805" t="e">
        <f>#REF!</f>
        <v>#REF!</v>
      </c>
      <c r="Q387" s="21">
        <f t="shared" si="66"/>
        <v>1</v>
      </c>
      <c r="R387" s="661">
        <f t="shared" si="67"/>
        <v>0</v>
      </c>
      <c r="S387" s="315">
        <f t="shared" si="68"/>
        <v>0</v>
      </c>
    </row>
    <row r="388" spans="1:19">
      <c r="A388" s="663"/>
      <c r="B388" s="663"/>
      <c r="C388" s="21"/>
      <c r="D388" s="2805"/>
      <c r="E388" s="21">
        <f t="shared" si="60"/>
        <v>1</v>
      </c>
      <c r="F388" s="2805" t="e">
        <f>#REF!</f>
        <v>#REF!</v>
      </c>
      <c r="G388" s="21">
        <f t="shared" si="61"/>
        <v>1</v>
      </c>
      <c r="H388" s="665"/>
      <c r="I388" s="21">
        <f t="shared" si="62"/>
        <v>1</v>
      </c>
      <c r="J388" s="665"/>
      <c r="K388" s="21">
        <f t="shared" si="63"/>
        <v>1</v>
      </c>
      <c r="L388" s="665"/>
      <c r="M388" s="21">
        <f t="shared" si="64"/>
        <v>1</v>
      </c>
      <c r="N388" s="665"/>
      <c r="O388" s="21">
        <f t="shared" si="65"/>
        <v>1</v>
      </c>
      <c r="P388" s="2805" t="e">
        <f>#REF!</f>
        <v>#REF!</v>
      </c>
      <c r="Q388" s="21">
        <f t="shared" si="66"/>
        <v>1</v>
      </c>
      <c r="R388" s="661">
        <f t="shared" si="67"/>
        <v>0</v>
      </c>
      <c r="S388" s="315">
        <f t="shared" si="68"/>
        <v>0</v>
      </c>
    </row>
    <row r="389" spans="1:19">
      <c r="A389" s="663"/>
      <c r="B389" s="663"/>
      <c r="C389" s="21"/>
      <c r="D389" s="2805"/>
      <c r="E389" s="21">
        <f t="shared" si="60"/>
        <v>1</v>
      </c>
      <c r="F389" s="2805" t="e">
        <f>#REF!</f>
        <v>#REF!</v>
      </c>
      <c r="G389" s="21">
        <f t="shared" si="61"/>
        <v>1</v>
      </c>
      <c r="H389" s="665"/>
      <c r="I389" s="21">
        <f t="shared" si="62"/>
        <v>1</v>
      </c>
      <c r="J389" s="665"/>
      <c r="K389" s="21">
        <f t="shared" si="63"/>
        <v>1</v>
      </c>
      <c r="L389" s="665"/>
      <c r="M389" s="21">
        <f t="shared" si="64"/>
        <v>1</v>
      </c>
      <c r="N389" s="665"/>
      <c r="O389" s="21">
        <f t="shared" si="65"/>
        <v>1</v>
      </c>
      <c r="P389" s="2805" t="e">
        <f>#REF!</f>
        <v>#REF!</v>
      </c>
      <c r="Q389" s="21">
        <f t="shared" si="66"/>
        <v>1</v>
      </c>
      <c r="R389" s="661">
        <f t="shared" si="67"/>
        <v>0</v>
      </c>
      <c r="S389" s="315">
        <f t="shared" si="68"/>
        <v>0</v>
      </c>
    </row>
    <row r="390" spans="1:19">
      <c r="A390" s="663"/>
      <c r="B390" s="663"/>
      <c r="C390" s="21"/>
      <c r="D390" s="2805"/>
      <c r="E390" s="21">
        <f t="shared" si="60"/>
        <v>1</v>
      </c>
      <c r="F390" s="2805" t="e">
        <f>#REF!</f>
        <v>#REF!</v>
      </c>
      <c r="G390" s="21">
        <f t="shared" si="61"/>
        <v>1</v>
      </c>
      <c r="H390" s="665"/>
      <c r="I390" s="21">
        <f t="shared" si="62"/>
        <v>1</v>
      </c>
      <c r="J390" s="665"/>
      <c r="K390" s="21">
        <f t="shared" si="63"/>
        <v>1</v>
      </c>
      <c r="L390" s="665"/>
      <c r="M390" s="21">
        <f t="shared" si="64"/>
        <v>1</v>
      </c>
      <c r="N390" s="665"/>
      <c r="O390" s="21">
        <f t="shared" si="65"/>
        <v>1</v>
      </c>
      <c r="P390" s="2805" t="e">
        <f>#REF!</f>
        <v>#REF!</v>
      </c>
      <c r="Q390" s="21">
        <f t="shared" si="66"/>
        <v>1</v>
      </c>
      <c r="R390" s="661">
        <f t="shared" si="67"/>
        <v>0</v>
      </c>
      <c r="S390" s="315">
        <f t="shared" si="68"/>
        <v>0</v>
      </c>
    </row>
    <row r="391" spans="1:19">
      <c r="A391" s="663"/>
      <c r="B391" s="663"/>
      <c r="C391" s="21"/>
      <c r="D391" s="2805"/>
      <c r="E391" s="21">
        <f t="shared" si="60"/>
        <v>1</v>
      </c>
      <c r="F391" s="2805" t="e">
        <f>#REF!</f>
        <v>#REF!</v>
      </c>
      <c r="G391" s="21">
        <f t="shared" si="61"/>
        <v>1</v>
      </c>
      <c r="H391" s="665"/>
      <c r="I391" s="21">
        <f t="shared" si="62"/>
        <v>1</v>
      </c>
      <c r="J391" s="665"/>
      <c r="K391" s="21">
        <f t="shared" si="63"/>
        <v>1</v>
      </c>
      <c r="L391" s="665"/>
      <c r="M391" s="21">
        <f t="shared" si="64"/>
        <v>1</v>
      </c>
      <c r="N391" s="665"/>
      <c r="O391" s="21">
        <f t="shared" si="65"/>
        <v>1</v>
      </c>
      <c r="P391" s="2805" t="e">
        <f>#REF!</f>
        <v>#REF!</v>
      </c>
      <c r="Q391" s="21">
        <f t="shared" si="66"/>
        <v>1</v>
      </c>
      <c r="R391" s="661">
        <f t="shared" si="67"/>
        <v>0</v>
      </c>
      <c r="S391" s="315">
        <f t="shared" si="68"/>
        <v>0</v>
      </c>
    </row>
    <row r="392" spans="1:19">
      <c r="A392" s="663"/>
      <c r="B392" s="663"/>
      <c r="C392" s="21"/>
      <c r="D392" s="2805"/>
      <c r="E392" s="21">
        <f t="shared" si="60"/>
        <v>1</v>
      </c>
      <c r="F392" s="2805" t="e">
        <f>#REF!</f>
        <v>#REF!</v>
      </c>
      <c r="G392" s="21">
        <f t="shared" si="61"/>
        <v>1</v>
      </c>
      <c r="H392" s="665"/>
      <c r="I392" s="21">
        <f t="shared" si="62"/>
        <v>1</v>
      </c>
      <c r="J392" s="665"/>
      <c r="K392" s="21">
        <f t="shared" si="63"/>
        <v>1</v>
      </c>
      <c r="L392" s="665"/>
      <c r="M392" s="21">
        <f t="shared" si="64"/>
        <v>1</v>
      </c>
      <c r="N392" s="665"/>
      <c r="O392" s="21">
        <f t="shared" si="65"/>
        <v>1</v>
      </c>
      <c r="P392" s="2805" t="e">
        <f>#REF!</f>
        <v>#REF!</v>
      </c>
      <c r="Q392" s="21">
        <f t="shared" si="66"/>
        <v>1</v>
      </c>
      <c r="R392" s="661">
        <f t="shared" si="67"/>
        <v>0</v>
      </c>
      <c r="S392" s="315">
        <f t="shared" si="68"/>
        <v>0</v>
      </c>
    </row>
    <row r="393" spans="1:19">
      <c r="A393" s="663"/>
      <c r="B393" s="663"/>
      <c r="C393" s="21"/>
      <c r="D393" s="2805"/>
      <c r="E393" s="21">
        <f t="shared" si="60"/>
        <v>1</v>
      </c>
      <c r="F393" s="2805" t="e">
        <f>#REF!</f>
        <v>#REF!</v>
      </c>
      <c r="G393" s="21">
        <f t="shared" si="61"/>
        <v>1</v>
      </c>
      <c r="H393" s="665"/>
      <c r="I393" s="21">
        <f t="shared" si="62"/>
        <v>1</v>
      </c>
      <c r="J393" s="665"/>
      <c r="K393" s="21">
        <f t="shared" si="63"/>
        <v>1</v>
      </c>
      <c r="L393" s="665"/>
      <c r="M393" s="21">
        <f t="shared" si="64"/>
        <v>1</v>
      </c>
      <c r="N393" s="665"/>
      <c r="O393" s="21">
        <f t="shared" si="65"/>
        <v>1</v>
      </c>
      <c r="P393" s="2805" t="e">
        <f>#REF!</f>
        <v>#REF!</v>
      </c>
      <c r="Q393" s="21">
        <f t="shared" si="66"/>
        <v>1</v>
      </c>
      <c r="R393" s="661">
        <f t="shared" si="67"/>
        <v>0</v>
      </c>
      <c r="S393" s="315">
        <f t="shared" si="68"/>
        <v>0</v>
      </c>
    </row>
    <row r="394" spans="1:19">
      <c r="A394" s="663"/>
      <c r="B394" s="663"/>
      <c r="C394" s="21"/>
      <c r="D394" s="2805"/>
      <c r="E394" s="21">
        <f t="shared" si="60"/>
        <v>1</v>
      </c>
      <c r="F394" s="2805" t="e">
        <f>#REF!</f>
        <v>#REF!</v>
      </c>
      <c r="G394" s="21">
        <f t="shared" si="61"/>
        <v>1</v>
      </c>
      <c r="H394" s="665"/>
      <c r="I394" s="21">
        <f t="shared" si="62"/>
        <v>1</v>
      </c>
      <c r="J394" s="665"/>
      <c r="K394" s="21">
        <f t="shared" si="63"/>
        <v>1</v>
      </c>
      <c r="L394" s="665"/>
      <c r="M394" s="21">
        <f t="shared" si="64"/>
        <v>1</v>
      </c>
      <c r="N394" s="665"/>
      <c r="O394" s="21">
        <f t="shared" si="65"/>
        <v>1</v>
      </c>
      <c r="P394" s="2805" t="e">
        <f>#REF!</f>
        <v>#REF!</v>
      </c>
      <c r="Q394" s="21">
        <f t="shared" si="66"/>
        <v>1</v>
      </c>
      <c r="R394" s="661">
        <f t="shared" si="67"/>
        <v>0</v>
      </c>
      <c r="S394" s="315">
        <f t="shared" si="68"/>
        <v>0</v>
      </c>
    </row>
    <row r="395" spans="1:19">
      <c r="A395" s="663"/>
      <c r="B395" s="663"/>
      <c r="C395" s="21"/>
      <c r="D395" s="2805"/>
      <c r="E395" s="21">
        <f t="shared" si="60"/>
        <v>1</v>
      </c>
      <c r="F395" s="2805" t="e">
        <f>#REF!</f>
        <v>#REF!</v>
      </c>
      <c r="G395" s="21">
        <f t="shared" si="61"/>
        <v>1</v>
      </c>
      <c r="H395" s="665"/>
      <c r="I395" s="21">
        <f t="shared" si="62"/>
        <v>1</v>
      </c>
      <c r="J395" s="665"/>
      <c r="K395" s="21">
        <f t="shared" si="63"/>
        <v>1</v>
      </c>
      <c r="L395" s="665"/>
      <c r="M395" s="21">
        <f t="shared" si="64"/>
        <v>1</v>
      </c>
      <c r="N395" s="665"/>
      <c r="O395" s="21">
        <f t="shared" si="65"/>
        <v>1</v>
      </c>
      <c r="P395" s="2805" t="e">
        <f>#REF!</f>
        <v>#REF!</v>
      </c>
      <c r="Q395" s="21">
        <f t="shared" si="66"/>
        <v>1</v>
      </c>
      <c r="R395" s="661">
        <f t="shared" si="67"/>
        <v>0</v>
      </c>
      <c r="S395" s="315">
        <f t="shared" si="68"/>
        <v>0</v>
      </c>
    </row>
    <row r="396" spans="1:19">
      <c r="A396" s="663"/>
      <c r="B396" s="663"/>
      <c r="C396" s="21"/>
      <c r="D396" s="2805"/>
      <c r="E396" s="21">
        <f t="shared" si="60"/>
        <v>1</v>
      </c>
      <c r="F396" s="2805" t="e">
        <f>#REF!</f>
        <v>#REF!</v>
      </c>
      <c r="G396" s="21">
        <f t="shared" si="61"/>
        <v>1</v>
      </c>
      <c r="H396" s="665"/>
      <c r="I396" s="21">
        <f t="shared" si="62"/>
        <v>1</v>
      </c>
      <c r="J396" s="665"/>
      <c r="K396" s="21">
        <f t="shared" si="63"/>
        <v>1</v>
      </c>
      <c r="L396" s="665"/>
      <c r="M396" s="21">
        <f t="shared" si="64"/>
        <v>1</v>
      </c>
      <c r="N396" s="665"/>
      <c r="O396" s="21">
        <f t="shared" si="65"/>
        <v>1</v>
      </c>
      <c r="P396" s="2805" t="e">
        <f>#REF!</f>
        <v>#REF!</v>
      </c>
      <c r="Q396" s="21">
        <f t="shared" si="66"/>
        <v>1</v>
      </c>
      <c r="R396" s="661">
        <f t="shared" si="67"/>
        <v>0</v>
      </c>
      <c r="S396" s="315">
        <f t="shared" si="68"/>
        <v>0</v>
      </c>
    </row>
    <row r="397" spans="1:19">
      <c r="A397" s="663"/>
      <c r="B397" s="663"/>
      <c r="C397" s="21"/>
      <c r="D397" s="2805"/>
      <c r="E397" s="21">
        <f t="shared" si="60"/>
        <v>1</v>
      </c>
      <c r="F397" s="2805" t="e">
        <f>#REF!</f>
        <v>#REF!</v>
      </c>
      <c r="G397" s="21">
        <f t="shared" si="61"/>
        <v>1</v>
      </c>
      <c r="H397" s="665"/>
      <c r="I397" s="21">
        <f t="shared" si="62"/>
        <v>1</v>
      </c>
      <c r="J397" s="665"/>
      <c r="K397" s="21">
        <f t="shared" si="63"/>
        <v>1</v>
      </c>
      <c r="L397" s="665"/>
      <c r="M397" s="21">
        <f t="shared" si="64"/>
        <v>1</v>
      </c>
      <c r="N397" s="665"/>
      <c r="O397" s="21">
        <f t="shared" si="65"/>
        <v>1</v>
      </c>
      <c r="P397" s="2805" t="e">
        <f>#REF!</f>
        <v>#REF!</v>
      </c>
      <c r="Q397" s="21">
        <f t="shared" si="66"/>
        <v>1</v>
      </c>
      <c r="R397" s="661">
        <f t="shared" si="67"/>
        <v>0</v>
      </c>
      <c r="S397" s="315">
        <f t="shared" si="68"/>
        <v>0</v>
      </c>
    </row>
    <row r="398" spans="1:19">
      <c r="A398" s="663"/>
      <c r="B398" s="663"/>
      <c r="C398" s="21"/>
      <c r="D398" s="2805"/>
      <c r="E398" s="21">
        <f t="shared" si="60"/>
        <v>1</v>
      </c>
      <c r="F398" s="2805" t="e">
        <f>#REF!</f>
        <v>#REF!</v>
      </c>
      <c r="G398" s="21">
        <f t="shared" si="61"/>
        <v>1</v>
      </c>
      <c r="H398" s="665"/>
      <c r="I398" s="21">
        <f t="shared" si="62"/>
        <v>1</v>
      </c>
      <c r="J398" s="665"/>
      <c r="K398" s="21">
        <f t="shared" si="63"/>
        <v>1</v>
      </c>
      <c r="L398" s="665"/>
      <c r="M398" s="21">
        <f t="shared" si="64"/>
        <v>1</v>
      </c>
      <c r="N398" s="665"/>
      <c r="O398" s="21">
        <f t="shared" si="65"/>
        <v>1</v>
      </c>
      <c r="P398" s="2805" t="e">
        <f>#REF!</f>
        <v>#REF!</v>
      </c>
      <c r="Q398" s="21">
        <f t="shared" si="66"/>
        <v>1</v>
      </c>
      <c r="R398" s="661">
        <f t="shared" si="67"/>
        <v>0</v>
      </c>
      <c r="S398" s="315">
        <f t="shared" si="68"/>
        <v>0</v>
      </c>
    </row>
    <row r="399" spans="1:19">
      <c r="A399" s="663"/>
      <c r="B399" s="663"/>
      <c r="C399" s="21"/>
      <c r="D399" s="2805"/>
      <c r="E399" s="21">
        <f t="shared" si="60"/>
        <v>1</v>
      </c>
      <c r="F399" s="2805" t="e">
        <f>#REF!</f>
        <v>#REF!</v>
      </c>
      <c r="G399" s="21">
        <f t="shared" si="61"/>
        <v>1</v>
      </c>
      <c r="H399" s="665"/>
      <c r="I399" s="21">
        <f t="shared" si="62"/>
        <v>1</v>
      </c>
      <c r="J399" s="665"/>
      <c r="K399" s="21">
        <f t="shared" si="63"/>
        <v>1</v>
      </c>
      <c r="L399" s="665"/>
      <c r="M399" s="21">
        <f t="shared" si="64"/>
        <v>1</v>
      </c>
      <c r="N399" s="665"/>
      <c r="O399" s="21">
        <f t="shared" si="65"/>
        <v>1</v>
      </c>
      <c r="P399" s="2805" t="e">
        <f>#REF!</f>
        <v>#REF!</v>
      </c>
      <c r="Q399" s="21">
        <f t="shared" si="66"/>
        <v>1</v>
      </c>
      <c r="R399" s="661">
        <f t="shared" si="67"/>
        <v>0</v>
      </c>
      <c r="S399" s="315">
        <f t="shared" si="68"/>
        <v>0</v>
      </c>
    </row>
    <row r="400" spans="1:19">
      <c r="A400" s="663"/>
      <c r="B400" s="663"/>
      <c r="C400" s="21"/>
      <c r="D400" s="2805"/>
      <c r="E400" s="21">
        <f t="shared" si="60"/>
        <v>1</v>
      </c>
      <c r="F400" s="2805" t="e">
        <f>#REF!</f>
        <v>#REF!</v>
      </c>
      <c r="G400" s="21">
        <f t="shared" si="61"/>
        <v>1</v>
      </c>
      <c r="H400" s="665"/>
      <c r="I400" s="21">
        <f t="shared" si="62"/>
        <v>1</v>
      </c>
      <c r="J400" s="665"/>
      <c r="K400" s="21">
        <f t="shared" si="63"/>
        <v>1</v>
      </c>
      <c r="L400" s="665"/>
      <c r="M400" s="21">
        <f t="shared" si="64"/>
        <v>1</v>
      </c>
      <c r="N400" s="665"/>
      <c r="O400" s="21">
        <f t="shared" si="65"/>
        <v>1</v>
      </c>
      <c r="P400" s="2805" t="e">
        <f>#REF!</f>
        <v>#REF!</v>
      </c>
      <c r="Q400" s="21">
        <f t="shared" si="66"/>
        <v>1</v>
      </c>
      <c r="R400" s="661">
        <f t="shared" si="67"/>
        <v>0</v>
      </c>
      <c r="S400" s="315">
        <f t="shared" si="68"/>
        <v>0</v>
      </c>
    </row>
    <row r="401" spans="1:19">
      <c r="A401" s="663"/>
      <c r="B401" s="663"/>
      <c r="C401" s="21"/>
      <c r="D401" s="2805"/>
      <c r="E401" s="21">
        <f t="shared" si="60"/>
        <v>1</v>
      </c>
      <c r="F401" s="2805" t="e">
        <f>#REF!</f>
        <v>#REF!</v>
      </c>
      <c r="G401" s="21">
        <f t="shared" si="61"/>
        <v>1</v>
      </c>
      <c r="H401" s="665"/>
      <c r="I401" s="21">
        <f t="shared" si="62"/>
        <v>1</v>
      </c>
      <c r="J401" s="665"/>
      <c r="K401" s="21">
        <f t="shared" si="63"/>
        <v>1</v>
      </c>
      <c r="L401" s="665"/>
      <c r="M401" s="21">
        <f t="shared" si="64"/>
        <v>1</v>
      </c>
      <c r="N401" s="665"/>
      <c r="O401" s="21">
        <f t="shared" si="65"/>
        <v>1</v>
      </c>
      <c r="P401" s="2805" t="e">
        <f>#REF!</f>
        <v>#REF!</v>
      </c>
      <c r="Q401" s="21">
        <f t="shared" si="66"/>
        <v>1</v>
      </c>
      <c r="R401" s="661">
        <f t="shared" si="67"/>
        <v>0</v>
      </c>
      <c r="S401" s="315">
        <f t="shared" si="68"/>
        <v>0</v>
      </c>
    </row>
    <row r="402" spans="1:19">
      <c r="A402" s="663"/>
      <c r="B402" s="663"/>
      <c r="C402" s="21"/>
      <c r="D402" s="2805"/>
      <c r="E402" s="21">
        <f t="shared" si="60"/>
        <v>1</v>
      </c>
      <c r="F402" s="2805" t="e">
        <f>#REF!</f>
        <v>#REF!</v>
      </c>
      <c r="G402" s="21">
        <f t="shared" si="61"/>
        <v>1</v>
      </c>
      <c r="H402" s="665"/>
      <c r="I402" s="21">
        <f t="shared" si="62"/>
        <v>1</v>
      </c>
      <c r="J402" s="665"/>
      <c r="K402" s="21">
        <f t="shared" si="63"/>
        <v>1</v>
      </c>
      <c r="L402" s="665"/>
      <c r="M402" s="21">
        <f t="shared" si="64"/>
        <v>1</v>
      </c>
      <c r="N402" s="665"/>
      <c r="O402" s="21">
        <f t="shared" si="65"/>
        <v>1</v>
      </c>
      <c r="P402" s="2805" t="e">
        <f>#REF!</f>
        <v>#REF!</v>
      </c>
      <c r="Q402" s="21">
        <f t="shared" si="66"/>
        <v>1</v>
      </c>
      <c r="R402" s="661">
        <f t="shared" si="67"/>
        <v>0</v>
      </c>
      <c r="S402" s="315">
        <f t="shared" si="68"/>
        <v>0</v>
      </c>
    </row>
    <row r="403" spans="1:19">
      <c r="A403" s="663"/>
      <c r="B403" s="663"/>
      <c r="C403" s="21"/>
      <c r="D403" s="2805"/>
      <c r="E403" s="21">
        <f t="shared" si="60"/>
        <v>1</v>
      </c>
      <c r="F403" s="2805" t="e">
        <f>#REF!</f>
        <v>#REF!</v>
      </c>
      <c r="G403" s="21">
        <f t="shared" si="61"/>
        <v>1</v>
      </c>
      <c r="H403" s="665"/>
      <c r="I403" s="21">
        <f t="shared" si="62"/>
        <v>1</v>
      </c>
      <c r="J403" s="665"/>
      <c r="K403" s="21">
        <f t="shared" si="63"/>
        <v>1</v>
      </c>
      <c r="L403" s="665"/>
      <c r="M403" s="21">
        <f t="shared" si="64"/>
        <v>1</v>
      </c>
      <c r="N403" s="665"/>
      <c r="O403" s="21">
        <f t="shared" si="65"/>
        <v>1</v>
      </c>
      <c r="P403" s="2805" t="e">
        <f>#REF!</f>
        <v>#REF!</v>
      </c>
      <c r="Q403" s="21">
        <f t="shared" si="66"/>
        <v>1</v>
      </c>
      <c r="R403" s="661">
        <f t="shared" si="67"/>
        <v>0</v>
      </c>
      <c r="S403" s="315">
        <f t="shared" si="68"/>
        <v>0</v>
      </c>
    </row>
    <row r="404" spans="1:19">
      <c r="A404" s="663"/>
      <c r="B404" s="663"/>
      <c r="C404" s="21"/>
      <c r="D404" s="2805"/>
      <c r="E404" s="21">
        <f t="shared" si="60"/>
        <v>1</v>
      </c>
      <c r="F404" s="2805" t="e">
        <f>#REF!</f>
        <v>#REF!</v>
      </c>
      <c r="G404" s="21">
        <f t="shared" si="61"/>
        <v>1</v>
      </c>
      <c r="H404" s="665"/>
      <c r="I404" s="21">
        <f t="shared" si="62"/>
        <v>1</v>
      </c>
      <c r="J404" s="665"/>
      <c r="K404" s="21">
        <f t="shared" si="63"/>
        <v>1</v>
      </c>
      <c r="L404" s="665"/>
      <c r="M404" s="21">
        <f t="shared" si="64"/>
        <v>1</v>
      </c>
      <c r="N404" s="665"/>
      <c r="O404" s="21">
        <f t="shared" si="65"/>
        <v>1</v>
      </c>
      <c r="P404" s="2805" t="e">
        <f>#REF!</f>
        <v>#REF!</v>
      </c>
      <c r="Q404" s="21">
        <f t="shared" si="66"/>
        <v>1</v>
      </c>
      <c r="R404" s="661">
        <f t="shared" si="67"/>
        <v>0</v>
      </c>
      <c r="S404" s="315">
        <f t="shared" si="68"/>
        <v>0</v>
      </c>
    </row>
    <row r="405" spans="1:19">
      <c r="A405" s="663"/>
      <c r="B405" s="663"/>
      <c r="C405" s="21"/>
      <c r="D405" s="2805"/>
      <c r="E405" s="21">
        <f t="shared" si="60"/>
        <v>1</v>
      </c>
      <c r="F405" s="2805" t="e">
        <f>#REF!</f>
        <v>#REF!</v>
      </c>
      <c r="G405" s="21">
        <f t="shared" si="61"/>
        <v>1</v>
      </c>
      <c r="H405" s="665"/>
      <c r="I405" s="21">
        <f t="shared" si="62"/>
        <v>1</v>
      </c>
      <c r="J405" s="665"/>
      <c r="K405" s="21">
        <f t="shared" si="63"/>
        <v>1</v>
      </c>
      <c r="L405" s="665"/>
      <c r="M405" s="21">
        <f t="shared" si="64"/>
        <v>1</v>
      </c>
      <c r="N405" s="665"/>
      <c r="O405" s="21">
        <f t="shared" si="65"/>
        <v>1</v>
      </c>
      <c r="P405" s="2805" t="e">
        <f>#REF!</f>
        <v>#REF!</v>
      </c>
      <c r="Q405" s="21">
        <f t="shared" si="66"/>
        <v>1</v>
      </c>
      <c r="R405" s="661">
        <f t="shared" si="67"/>
        <v>0</v>
      </c>
      <c r="S405" s="315">
        <f t="shared" si="68"/>
        <v>0</v>
      </c>
    </row>
    <row r="406" spans="1:19">
      <c r="A406" s="663"/>
      <c r="B406" s="663"/>
      <c r="C406" s="21"/>
      <c r="D406" s="2805"/>
      <c r="E406" s="21">
        <f t="shared" si="60"/>
        <v>1</v>
      </c>
      <c r="F406" s="2805" t="e">
        <f>#REF!</f>
        <v>#REF!</v>
      </c>
      <c r="G406" s="21">
        <f t="shared" si="61"/>
        <v>1</v>
      </c>
      <c r="H406" s="665"/>
      <c r="I406" s="21">
        <f t="shared" si="62"/>
        <v>1</v>
      </c>
      <c r="J406" s="665"/>
      <c r="K406" s="21">
        <f t="shared" si="63"/>
        <v>1</v>
      </c>
      <c r="L406" s="665"/>
      <c r="M406" s="21">
        <f t="shared" si="64"/>
        <v>1</v>
      </c>
      <c r="N406" s="665"/>
      <c r="O406" s="21">
        <f t="shared" si="65"/>
        <v>1</v>
      </c>
      <c r="P406" s="2805" t="e">
        <f>#REF!</f>
        <v>#REF!</v>
      </c>
      <c r="Q406" s="21">
        <f t="shared" si="66"/>
        <v>1</v>
      </c>
      <c r="R406" s="661">
        <f t="shared" si="67"/>
        <v>0</v>
      </c>
      <c r="S406" s="315">
        <f t="shared" si="68"/>
        <v>0</v>
      </c>
    </row>
    <row r="407" spans="1:19">
      <c r="A407" s="663"/>
      <c r="B407" s="663"/>
      <c r="C407" s="21"/>
      <c r="D407" s="2805"/>
      <c r="E407" s="21">
        <f t="shared" si="60"/>
        <v>1</v>
      </c>
      <c r="F407" s="2805" t="e">
        <f>#REF!</f>
        <v>#REF!</v>
      </c>
      <c r="G407" s="21">
        <f t="shared" si="61"/>
        <v>1</v>
      </c>
      <c r="H407" s="665"/>
      <c r="I407" s="21">
        <f t="shared" si="62"/>
        <v>1</v>
      </c>
      <c r="J407" s="665"/>
      <c r="K407" s="21">
        <f t="shared" si="63"/>
        <v>1</v>
      </c>
      <c r="L407" s="665"/>
      <c r="M407" s="21">
        <f t="shared" si="64"/>
        <v>1</v>
      </c>
      <c r="N407" s="665"/>
      <c r="O407" s="21">
        <f t="shared" si="65"/>
        <v>1</v>
      </c>
      <c r="P407" s="2805" t="e">
        <f>#REF!</f>
        <v>#REF!</v>
      </c>
      <c r="Q407" s="21">
        <f t="shared" si="66"/>
        <v>1</v>
      </c>
      <c r="R407" s="661">
        <f t="shared" si="67"/>
        <v>0</v>
      </c>
      <c r="S407" s="315">
        <f t="shared" si="68"/>
        <v>0</v>
      </c>
    </row>
    <row r="408" spans="1:19">
      <c r="A408" s="663"/>
      <c r="B408" s="663"/>
      <c r="C408" s="21"/>
      <c r="D408" s="2805"/>
      <c r="E408" s="21">
        <f t="shared" si="60"/>
        <v>1</v>
      </c>
      <c r="F408" s="2805" t="e">
        <f>#REF!</f>
        <v>#REF!</v>
      </c>
      <c r="G408" s="21">
        <f t="shared" si="61"/>
        <v>1</v>
      </c>
      <c r="H408" s="665"/>
      <c r="I408" s="21">
        <f t="shared" si="62"/>
        <v>1</v>
      </c>
      <c r="J408" s="665"/>
      <c r="K408" s="21">
        <f t="shared" si="63"/>
        <v>1</v>
      </c>
      <c r="L408" s="665"/>
      <c r="M408" s="21">
        <f t="shared" si="64"/>
        <v>1</v>
      </c>
      <c r="N408" s="665"/>
      <c r="O408" s="21">
        <f t="shared" si="65"/>
        <v>1</v>
      </c>
      <c r="P408" s="2805" t="e">
        <f>#REF!</f>
        <v>#REF!</v>
      </c>
      <c r="Q408" s="21">
        <f t="shared" si="66"/>
        <v>1</v>
      </c>
      <c r="R408" s="661">
        <f t="shared" si="67"/>
        <v>0</v>
      </c>
      <c r="S408" s="315">
        <f t="shared" si="68"/>
        <v>0</v>
      </c>
    </row>
    <row r="409" spans="1:19">
      <c r="A409" s="663"/>
      <c r="B409" s="663"/>
      <c r="C409" s="21"/>
      <c r="D409" s="2805"/>
      <c r="E409" s="21">
        <f t="shared" si="60"/>
        <v>1</v>
      </c>
      <c r="F409" s="2805" t="e">
        <f>#REF!</f>
        <v>#REF!</v>
      </c>
      <c r="G409" s="21">
        <f t="shared" si="61"/>
        <v>1</v>
      </c>
      <c r="H409" s="665"/>
      <c r="I409" s="21">
        <f t="shared" si="62"/>
        <v>1</v>
      </c>
      <c r="J409" s="665"/>
      <c r="K409" s="21">
        <f t="shared" si="63"/>
        <v>1</v>
      </c>
      <c r="L409" s="665"/>
      <c r="M409" s="21">
        <f t="shared" si="64"/>
        <v>1</v>
      </c>
      <c r="N409" s="665"/>
      <c r="O409" s="21">
        <f t="shared" si="65"/>
        <v>1</v>
      </c>
      <c r="P409" s="2805" t="e">
        <f>#REF!</f>
        <v>#REF!</v>
      </c>
      <c r="Q409" s="21">
        <f t="shared" si="66"/>
        <v>1</v>
      </c>
      <c r="R409" s="661">
        <f t="shared" si="67"/>
        <v>0</v>
      </c>
      <c r="S409" s="315">
        <f t="shared" si="68"/>
        <v>0</v>
      </c>
    </row>
    <row r="410" spans="1:19">
      <c r="A410" s="663"/>
      <c r="B410" s="663"/>
      <c r="C410" s="21"/>
      <c r="D410" s="2805"/>
      <c r="E410" s="21">
        <f t="shared" ref="E410:E473" si="69">(SUMIF($5:$5,D410,$6:$6)-SUMIF($5:$5,$D$24,$6:$6)+100)/100</f>
        <v>1</v>
      </c>
      <c r="F410" s="2805"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5"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5"/>
      <c r="E411" s="21">
        <f t="shared" si="69"/>
        <v>1</v>
      </c>
      <c r="F411" s="2805" t="e">
        <f>#REF!</f>
        <v>#REF!</v>
      </c>
      <c r="G411" s="21">
        <f t="shared" si="70"/>
        <v>1</v>
      </c>
      <c r="H411" s="665"/>
      <c r="I411" s="21">
        <f t="shared" si="71"/>
        <v>1</v>
      </c>
      <c r="J411" s="665"/>
      <c r="K411" s="21">
        <f t="shared" si="72"/>
        <v>1</v>
      </c>
      <c r="L411" s="665"/>
      <c r="M411" s="21">
        <f t="shared" si="73"/>
        <v>1</v>
      </c>
      <c r="N411" s="665"/>
      <c r="O411" s="21">
        <f t="shared" si="74"/>
        <v>1</v>
      </c>
      <c r="P411" s="2805" t="e">
        <f>#REF!</f>
        <v>#REF!</v>
      </c>
      <c r="Q411" s="21">
        <f t="shared" si="75"/>
        <v>1</v>
      </c>
      <c r="R411" s="661">
        <f t="shared" si="76"/>
        <v>0</v>
      </c>
      <c r="S411" s="315">
        <f t="shared" si="68"/>
        <v>0</v>
      </c>
    </row>
    <row r="412" spans="1:19">
      <c r="A412" s="663"/>
      <c r="B412" s="663"/>
      <c r="C412" s="21"/>
      <c r="D412" s="2805"/>
      <c r="E412" s="21">
        <f t="shared" si="69"/>
        <v>1</v>
      </c>
      <c r="F412" s="2805" t="e">
        <f>#REF!</f>
        <v>#REF!</v>
      </c>
      <c r="G412" s="21">
        <f t="shared" si="70"/>
        <v>1</v>
      </c>
      <c r="H412" s="665"/>
      <c r="I412" s="21">
        <f t="shared" si="71"/>
        <v>1</v>
      </c>
      <c r="J412" s="665"/>
      <c r="K412" s="21">
        <f t="shared" si="72"/>
        <v>1</v>
      </c>
      <c r="L412" s="665"/>
      <c r="M412" s="21">
        <f t="shared" si="73"/>
        <v>1</v>
      </c>
      <c r="N412" s="665"/>
      <c r="O412" s="21">
        <f t="shared" si="74"/>
        <v>1</v>
      </c>
      <c r="P412" s="2805" t="e">
        <f>#REF!</f>
        <v>#REF!</v>
      </c>
      <c r="Q412" s="21">
        <f t="shared" si="75"/>
        <v>1</v>
      </c>
      <c r="R412" s="661">
        <f t="shared" si="76"/>
        <v>0</v>
      </c>
      <c r="S412" s="315">
        <f t="shared" si="68"/>
        <v>0</v>
      </c>
    </row>
    <row r="413" spans="1:19">
      <c r="A413" s="663"/>
      <c r="B413" s="663"/>
      <c r="C413" s="21"/>
      <c r="D413" s="2805"/>
      <c r="E413" s="21">
        <f t="shared" si="69"/>
        <v>1</v>
      </c>
      <c r="F413" s="2805" t="e">
        <f>#REF!</f>
        <v>#REF!</v>
      </c>
      <c r="G413" s="21">
        <f t="shared" si="70"/>
        <v>1</v>
      </c>
      <c r="H413" s="665"/>
      <c r="I413" s="21">
        <f t="shared" si="71"/>
        <v>1</v>
      </c>
      <c r="J413" s="665"/>
      <c r="K413" s="21">
        <f t="shared" si="72"/>
        <v>1</v>
      </c>
      <c r="L413" s="665"/>
      <c r="M413" s="21">
        <f t="shared" si="73"/>
        <v>1</v>
      </c>
      <c r="N413" s="665"/>
      <c r="O413" s="21">
        <f t="shared" si="74"/>
        <v>1</v>
      </c>
      <c r="P413" s="2805" t="e">
        <f>#REF!</f>
        <v>#REF!</v>
      </c>
      <c r="Q413" s="21">
        <f t="shared" si="75"/>
        <v>1</v>
      </c>
      <c r="R413" s="661">
        <f t="shared" si="76"/>
        <v>0</v>
      </c>
      <c r="S413" s="315">
        <f t="shared" si="68"/>
        <v>0</v>
      </c>
    </row>
    <row r="414" spans="1:19">
      <c r="A414" s="663"/>
      <c r="B414" s="663"/>
      <c r="C414" s="21"/>
      <c r="D414" s="2805"/>
      <c r="E414" s="21">
        <f t="shared" si="69"/>
        <v>1</v>
      </c>
      <c r="F414" s="2805" t="e">
        <f>#REF!</f>
        <v>#REF!</v>
      </c>
      <c r="G414" s="21">
        <f t="shared" si="70"/>
        <v>1</v>
      </c>
      <c r="H414" s="665"/>
      <c r="I414" s="21">
        <f t="shared" si="71"/>
        <v>1</v>
      </c>
      <c r="J414" s="665"/>
      <c r="K414" s="21">
        <f t="shared" si="72"/>
        <v>1</v>
      </c>
      <c r="L414" s="665"/>
      <c r="M414" s="21">
        <f t="shared" si="73"/>
        <v>1</v>
      </c>
      <c r="N414" s="665"/>
      <c r="O414" s="21">
        <f t="shared" si="74"/>
        <v>1</v>
      </c>
      <c r="P414" s="2805" t="e">
        <f>#REF!</f>
        <v>#REF!</v>
      </c>
      <c r="Q414" s="21">
        <f t="shared" si="75"/>
        <v>1</v>
      </c>
      <c r="R414" s="661">
        <f t="shared" si="76"/>
        <v>0</v>
      </c>
      <c r="S414" s="315">
        <f t="shared" si="68"/>
        <v>0</v>
      </c>
    </row>
    <row r="415" spans="1:19">
      <c r="A415" s="663"/>
      <c r="B415" s="663"/>
      <c r="C415" s="21"/>
      <c r="D415" s="2805"/>
      <c r="E415" s="21">
        <f t="shared" si="69"/>
        <v>1</v>
      </c>
      <c r="F415" s="2805" t="e">
        <f>#REF!</f>
        <v>#REF!</v>
      </c>
      <c r="G415" s="21">
        <f t="shared" si="70"/>
        <v>1</v>
      </c>
      <c r="H415" s="665"/>
      <c r="I415" s="21">
        <f t="shared" si="71"/>
        <v>1</v>
      </c>
      <c r="J415" s="665"/>
      <c r="K415" s="21">
        <f t="shared" si="72"/>
        <v>1</v>
      </c>
      <c r="L415" s="665"/>
      <c r="M415" s="21">
        <f t="shared" si="73"/>
        <v>1</v>
      </c>
      <c r="N415" s="665"/>
      <c r="O415" s="21">
        <f t="shared" si="74"/>
        <v>1</v>
      </c>
      <c r="P415" s="2805" t="e">
        <f>#REF!</f>
        <v>#REF!</v>
      </c>
      <c r="Q415" s="21">
        <f t="shared" si="75"/>
        <v>1</v>
      </c>
      <c r="R415" s="661">
        <f t="shared" si="76"/>
        <v>0</v>
      </c>
      <c r="S415" s="315">
        <f t="shared" si="68"/>
        <v>0</v>
      </c>
    </row>
    <row r="416" spans="1:19">
      <c r="A416" s="663"/>
      <c r="B416" s="663"/>
      <c r="C416" s="21"/>
      <c r="D416" s="2805"/>
      <c r="E416" s="21">
        <f t="shared" si="69"/>
        <v>1</v>
      </c>
      <c r="F416" s="2805" t="e">
        <f>#REF!</f>
        <v>#REF!</v>
      </c>
      <c r="G416" s="21">
        <f t="shared" si="70"/>
        <v>1</v>
      </c>
      <c r="H416" s="665"/>
      <c r="I416" s="21">
        <f t="shared" si="71"/>
        <v>1</v>
      </c>
      <c r="J416" s="665"/>
      <c r="K416" s="21">
        <f t="shared" si="72"/>
        <v>1</v>
      </c>
      <c r="L416" s="665"/>
      <c r="M416" s="21">
        <f t="shared" si="73"/>
        <v>1</v>
      </c>
      <c r="N416" s="665"/>
      <c r="O416" s="21">
        <f t="shared" si="74"/>
        <v>1</v>
      </c>
      <c r="P416" s="2805" t="e">
        <f>#REF!</f>
        <v>#REF!</v>
      </c>
      <c r="Q416" s="21">
        <f t="shared" si="75"/>
        <v>1</v>
      </c>
      <c r="R416" s="661">
        <f t="shared" si="76"/>
        <v>0</v>
      </c>
      <c r="S416" s="315">
        <f t="shared" si="68"/>
        <v>0</v>
      </c>
    </row>
    <row r="417" spans="1:19">
      <c r="A417" s="663"/>
      <c r="B417" s="663"/>
      <c r="C417" s="21"/>
      <c r="D417" s="2805"/>
      <c r="E417" s="21">
        <f t="shared" si="69"/>
        <v>1</v>
      </c>
      <c r="F417" s="2805" t="e">
        <f>#REF!</f>
        <v>#REF!</v>
      </c>
      <c r="G417" s="21">
        <f t="shared" si="70"/>
        <v>1</v>
      </c>
      <c r="H417" s="665"/>
      <c r="I417" s="21">
        <f t="shared" si="71"/>
        <v>1</v>
      </c>
      <c r="J417" s="665"/>
      <c r="K417" s="21">
        <f t="shared" si="72"/>
        <v>1</v>
      </c>
      <c r="L417" s="665"/>
      <c r="M417" s="21">
        <f t="shared" si="73"/>
        <v>1</v>
      </c>
      <c r="N417" s="665"/>
      <c r="O417" s="21">
        <f t="shared" si="74"/>
        <v>1</v>
      </c>
      <c r="P417" s="2805" t="e">
        <f>#REF!</f>
        <v>#REF!</v>
      </c>
      <c r="Q417" s="21">
        <f t="shared" si="75"/>
        <v>1</v>
      </c>
      <c r="R417" s="661">
        <f t="shared" si="76"/>
        <v>0</v>
      </c>
      <c r="S417" s="315">
        <f t="shared" si="68"/>
        <v>0</v>
      </c>
    </row>
    <row r="418" spans="1:19">
      <c r="A418" s="663"/>
      <c r="B418" s="663"/>
      <c r="C418" s="21"/>
      <c r="D418" s="2805"/>
      <c r="E418" s="21">
        <f t="shared" si="69"/>
        <v>1</v>
      </c>
      <c r="F418" s="2805" t="e">
        <f>#REF!</f>
        <v>#REF!</v>
      </c>
      <c r="G418" s="21">
        <f t="shared" si="70"/>
        <v>1</v>
      </c>
      <c r="H418" s="665"/>
      <c r="I418" s="21">
        <f t="shared" si="71"/>
        <v>1</v>
      </c>
      <c r="J418" s="665"/>
      <c r="K418" s="21">
        <f t="shared" si="72"/>
        <v>1</v>
      </c>
      <c r="L418" s="665"/>
      <c r="M418" s="21">
        <f t="shared" si="73"/>
        <v>1</v>
      </c>
      <c r="N418" s="665"/>
      <c r="O418" s="21">
        <f t="shared" si="74"/>
        <v>1</v>
      </c>
      <c r="P418" s="2805" t="e">
        <f>#REF!</f>
        <v>#REF!</v>
      </c>
      <c r="Q418" s="21">
        <f t="shared" si="75"/>
        <v>1</v>
      </c>
      <c r="R418" s="661">
        <f t="shared" si="76"/>
        <v>0</v>
      </c>
      <c r="S418" s="315">
        <f t="shared" si="68"/>
        <v>0</v>
      </c>
    </row>
    <row r="419" spans="1:19">
      <c r="A419" s="663"/>
      <c r="B419" s="663"/>
      <c r="C419" s="21"/>
      <c r="D419" s="2805"/>
      <c r="E419" s="21">
        <f t="shared" si="69"/>
        <v>1</v>
      </c>
      <c r="F419" s="2805" t="e">
        <f>#REF!</f>
        <v>#REF!</v>
      </c>
      <c r="G419" s="21">
        <f t="shared" si="70"/>
        <v>1</v>
      </c>
      <c r="H419" s="665"/>
      <c r="I419" s="21">
        <f t="shared" si="71"/>
        <v>1</v>
      </c>
      <c r="J419" s="665"/>
      <c r="K419" s="21">
        <f t="shared" si="72"/>
        <v>1</v>
      </c>
      <c r="L419" s="665"/>
      <c r="M419" s="21">
        <f t="shared" si="73"/>
        <v>1</v>
      </c>
      <c r="N419" s="665"/>
      <c r="O419" s="21">
        <f t="shared" si="74"/>
        <v>1</v>
      </c>
      <c r="P419" s="2805" t="e">
        <f>#REF!</f>
        <v>#REF!</v>
      </c>
      <c r="Q419" s="21">
        <f t="shared" si="75"/>
        <v>1</v>
      </c>
      <c r="R419" s="661">
        <f t="shared" si="76"/>
        <v>0</v>
      </c>
      <c r="S419" s="315">
        <f t="shared" si="68"/>
        <v>0</v>
      </c>
    </row>
    <row r="420" spans="1:19">
      <c r="A420" s="663"/>
      <c r="B420" s="663"/>
      <c r="C420" s="21"/>
      <c r="D420" s="2805"/>
      <c r="E420" s="21">
        <f t="shared" si="69"/>
        <v>1</v>
      </c>
      <c r="F420" s="2805" t="e">
        <f>#REF!</f>
        <v>#REF!</v>
      </c>
      <c r="G420" s="21">
        <f t="shared" si="70"/>
        <v>1</v>
      </c>
      <c r="H420" s="665"/>
      <c r="I420" s="21">
        <f t="shared" si="71"/>
        <v>1</v>
      </c>
      <c r="J420" s="665"/>
      <c r="K420" s="21">
        <f t="shared" si="72"/>
        <v>1</v>
      </c>
      <c r="L420" s="665"/>
      <c r="M420" s="21">
        <f t="shared" si="73"/>
        <v>1</v>
      </c>
      <c r="N420" s="665"/>
      <c r="O420" s="21">
        <f t="shared" si="74"/>
        <v>1</v>
      </c>
      <c r="P420" s="2805" t="e">
        <f>#REF!</f>
        <v>#REF!</v>
      </c>
      <c r="Q420" s="21">
        <f t="shared" si="75"/>
        <v>1</v>
      </c>
      <c r="R420" s="661">
        <f t="shared" si="76"/>
        <v>0</v>
      </c>
      <c r="S420" s="315">
        <f t="shared" si="68"/>
        <v>0</v>
      </c>
    </row>
    <row r="421" spans="1:19">
      <c r="A421" s="663"/>
      <c r="B421" s="663"/>
      <c r="C421" s="21"/>
      <c r="D421" s="2805"/>
      <c r="E421" s="21">
        <f t="shared" si="69"/>
        <v>1</v>
      </c>
      <c r="F421" s="2805" t="e">
        <f>#REF!</f>
        <v>#REF!</v>
      </c>
      <c r="G421" s="21">
        <f t="shared" si="70"/>
        <v>1</v>
      </c>
      <c r="H421" s="665"/>
      <c r="I421" s="21">
        <f t="shared" si="71"/>
        <v>1</v>
      </c>
      <c r="J421" s="665"/>
      <c r="K421" s="21">
        <f t="shared" si="72"/>
        <v>1</v>
      </c>
      <c r="L421" s="665"/>
      <c r="M421" s="21">
        <f t="shared" si="73"/>
        <v>1</v>
      </c>
      <c r="N421" s="665"/>
      <c r="O421" s="21">
        <f t="shared" si="74"/>
        <v>1</v>
      </c>
      <c r="P421" s="2805" t="e">
        <f>#REF!</f>
        <v>#REF!</v>
      </c>
      <c r="Q421" s="21">
        <f t="shared" si="75"/>
        <v>1</v>
      </c>
      <c r="R421" s="661">
        <f t="shared" si="76"/>
        <v>0</v>
      </c>
      <c r="S421" s="315">
        <f t="shared" si="68"/>
        <v>0</v>
      </c>
    </row>
    <row r="422" spans="1:19">
      <c r="A422" s="663"/>
      <c r="B422" s="663"/>
      <c r="C422" s="21"/>
      <c r="D422" s="2805"/>
      <c r="E422" s="21">
        <f t="shared" si="69"/>
        <v>1</v>
      </c>
      <c r="F422" s="2805" t="e">
        <f>#REF!</f>
        <v>#REF!</v>
      </c>
      <c r="G422" s="21">
        <f t="shared" si="70"/>
        <v>1</v>
      </c>
      <c r="H422" s="665"/>
      <c r="I422" s="21">
        <f t="shared" si="71"/>
        <v>1</v>
      </c>
      <c r="J422" s="665"/>
      <c r="K422" s="21">
        <f t="shared" si="72"/>
        <v>1</v>
      </c>
      <c r="L422" s="665"/>
      <c r="M422" s="21">
        <f t="shared" si="73"/>
        <v>1</v>
      </c>
      <c r="N422" s="665"/>
      <c r="O422" s="21">
        <f t="shared" si="74"/>
        <v>1</v>
      </c>
      <c r="P422" s="2805" t="e">
        <f>#REF!</f>
        <v>#REF!</v>
      </c>
      <c r="Q422" s="21">
        <f t="shared" si="75"/>
        <v>1</v>
      </c>
      <c r="R422" s="661">
        <f t="shared" si="76"/>
        <v>0</v>
      </c>
      <c r="S422" s="315">
        <f t="shared" si="68"/>
        <v>0</v>
      </c>
    </row>
    <row r="423" spans="1:19">
      <c r="A423" s="663"/>
      <c r="B423" s="663"/>
      <c r="C423" s="21"/>
      <c r="D423" s="2805"/>
      <c r="E423" s="21">
        <f t="shared" si="69"/>
        <v>1</v>
      </c>
      <c r="F423" s="2805" t="e">
        <f>#REF!</f>
        <v>#REF!</v>
      </c>
      <c r="G423" s="21">
        <f t="shared" si="70"/>
        <v>1</v>
      </c>
      <c r="H423" s="665"/>
      <c r="I423" s="21">
        <f t="shared" si="71"/>
        <v>1</v>
      </c>
      <c r="J423" s="665"/>
      <c r="K423" s="21">
        <f t="shared" si="72"/>
        <v>1</v>
      </c>
      <c r="L423" s="665"/>
      <c r="M423" s="21">
        <f t="shared" si="73"/>
        <v>1</v>
      </c>
      <c r="N423" s="665"/>
      <c r="O423" s="21">
        <f t="shared" si="74"/>
        <v>1</v>
      </c>
      <c r="P423" s="2805" t="e">
        <f>#REF!</f>
        <v>#REF!</v>
      </c>
      <c r="Q423" s="21">
        <f t="shared" si="75"/>
        <v>1</v>
      </c>
      <c r="R423" s="661">
        <f t="shared" si="76"/>
        <v>0</v>
      </c>
      <c r="S423" s="315">
        <f t="shared" ref="S423:S467" si="77">ROUND(R423*B423/10000,0)</f>
        <v>0</v>
      </c>
    </row>
    <row r="424" spans="1:19">
      <c r="A424" s="663"/>
      <c r="B424" s="663"/>
      <c r="C424" s="21"/>
      <c r="D424" s="2805"/>
      <c r="E424" s="21">
        <f t="shared" si="69"/>
        <v>1</v>
      </c>
      <c r="F424" s="2805" t="e">
        <f>#REF!</f>
        <v>#REF!</v>
      </c>
      <c r="G424" s="21">
        <f t="shared" si="70"/>
        <v>1</v>
      </c>
      <c r="H424" s="665"/>
      <c r="I424" s="21">
        <f t="shared" si="71"/>
        <v>1</v>
      </c>
      <c r="J424" s="665"/>
      <c r="K424" s="21">
        <f t="shared" si="72"/>
        <v>1</v>
      </c>
      <c r="L424" s="665"/>
      <c r="M424" s="21">
        <f t="shared" si="73"/>
        <v>1</v>
      </c>
      <c r="N424" s="665"/>
      <c r="O424" s="21">
        <f t="shared" si="74"/>
        <v>1</v>
      </c>
      <c r="P424" s="2805" t="e">
        <f>#REF!</f>
        <v>#REF!</v>
      </c>
      <c r="Q424" s="21">
        <f t="shared" si="75"/>
        <v>1</v>
      </c>
      <c r="R424" s="661">
        <f t="shared" si="76"/>
        <v>0</v>
      </c>
      <c r="S424" s="315">
        <f t="shared" si="77"/>
        <v>0</v>
      </c>
    </row>
    <row r="425" spans="1:19">
      <c r="A425" s="663"/>
      <c r="B425" s="663"/>
      <c r="C425" s="21"/>
      <c r="D425" s="2805"/>
      <c r="E425" s="21">
        <f t="shared" si="69"/>
        <v>1</v>
      </c>
      <c r="F425" s="2805" t="e">
        <f>#REF!</f>
        <v>#REF!</v>
      </c>
      <c r="G425" s="21">
        <f t="shared" si="70"/>
        <v>1</v>
      </c>
      <c r="H425" s="665"/>
      <c r="I425" s="21">
        <f t="shared" si="71"/>
        <v>1</v>
      </c>
      <c r="J425" s="665"/>
      <c r="K425" s="21">
        <f t="shared" si="72"/>
        <v>1</v>
      </c>
      <c r="L425" s="665"/>
      <c r="M425" s="21">
        <f t="shared" si="73"/>
        <v>1</v>
      </c>
      <c r="N425" s="665"/>
      <c r="O425" s="21">
        <f t="shared" si="74"/>
        <v>1</v>
      </c>
      <c r="P425" s="2805" t="e">
        <f>#REF!</f>
        <v>#REF!</v>
      </c>
      <c r="Q425" s="21">
        <f t="shared" si="75"/>
        <v>1</v>
      </c>
      <c r="R425" s="661">
        <f t="shared" si="76"/>
        <v>0</v>
      </c>
      <c r="S425" s="315">
        <f t="shared" si="77"/>
        <v>0</v>
      </c>
    </row>
    <row r="426" spans="1:19">
      <c r="A426" s="663"/>
      <c r="B426" s="663"/>
      <c r="C426" s="21"/>
      <c r="D426" s="2805"/>
      <c r="E426" s="21">
        <f t="shared" si="69"/>
        <v>1</v>
      </c>
      <c r="F426" s="2805" t="e">
        <f>#REF!</f>
        <v>#REF!</v>
      </c>
      <c r="G426" s="21">
        <f t="shared" si="70"/>
        <v>1</v>
      </c>
      <c r="H426" s="665"/>
      <c r="I426" s="21">
        <f t="shared" si="71"/>
        <v>1</v>
      </c>
      <c r="J426" s="665"/>
      <c r="K426" s="21">
        <f t="shared" si="72"/>
        <v>1</v>
      </c>
      <c r="L426" s="665"/>
      <c r="M426" s="21">
        <f t="shared" si="73"/>
        <v>1</v>
      </c>
      <c r="N426" s="665"/>
      <c r="O426" s="21">
        <f t="shared" si="74"/>
        <v>1</v>
      </c>
      <c r="P426" s="2805" t="e">
        <f>#REF!</f>
        <v>#REF!</v>
      </c>
      <c r="Q426" s="21">
        <f t="shared" si="75"/>
        <v>1</v>
      </c>
      <c r="R426" s="661">
        <f t="shared" si="76"/>
        <v>0</v>
      </c>
      <c r="S426" s="315">
        <f t="shared" si="77"/>
        <v>0</v>
      </c>
    </row>
    <row r="427" spans="1:19">
      <c r="A427" s="663"/>
      <c r="B427" s="663"/>
      <c r="C427" s="21"/>
      <c r="D427" s="2805"/>
      <c r="E427" s="21">
        <f t="shared" si="69"/>
        <v>1</v>
      </c>
      <c r="F427" s="2805" t="e">
        <f>#REF!</f>
        <v>#REF!</v>
      </c>
      <c r="G427" s="21">
        <f t="shared" si="70"/>
        <v>1</v>
      </c>
      <c r="H427" s="665"/>
      <c r="I427" s="21">
        <f t="shared" si="71"/>
        <v>1</v>
      </c>
      <c r="J427" s="665"/>
      <c r="K427" s="21">
        <f t="shared" si="72"/>
        <v>1</v>
      </c>
      <c r="L427" s="665"/>
      <c r="M427" s="21">
        <f t="shared" si="73"/>
        <v>1</v>
      </c>
      <c r="N427" s="665"/>
      <c r="O427" s="21">
        <f t="shared" si="74"/>
        <v>1</v>
      </c>
      <c r="P427" s="2805" t="e">
        <f>#REF!</f>
        <v>#REF!</v>
      </c>
      <c r="Q427" s="21">
        <f t="shared" si="75"/>
        <v>1</v>
      </c>
      <c r="R427" s="661">
        <f t="shared" si="76"/>
        <v>0</v>
      </c>
      <c r="S427" s="315">
        <f t="shared" si="77"/>
        <v>0</v>
      </c>
    </row>
    <row r="428" spans="1:19">
      <c r="A428" s="663"/>
      <c r="B428" s="663"/>
      <c r="C428" s="21"/>
      <c r="D428" s="2805"/>
      <c r="E428" s="21">
        <f t="shared" si="69"/>
        <v>1</v>
      </c>
      <c r="F428" s="2805" t="e">
        <f>#REF!</f>
        <v>#REF!</v>
      </c>
      <c r="G428" s="21">
        <f t="shared" si="70"/>
        <v>1</v>
      </c>
      <c r="H428" s="665"/>
      <c r="I428" s="21">
        <f t="shared" si="71"/>
        <v>1</v>
      </c>
      <c r="J428" s="665"/>
      <c r="K428" s="21">
        <f t="shared" si="72"/>
        <v>1</v>
      </c>
      <c r="L428" s="665"/>
      <c r="M428" s="21">
        <f t="shared" si="73"/>
        <v>1</v>
      </c>
      <c r="N428" s="665"/>
      <c r="O428" s="21">
        <f t="shared" si="74"/>
        <v>1</v>
      </c>
      <c r="P428" s="2805" t="e">
        <f>#REF!</f>
        <v>#REF!</v>
      </c>
      <c r="Q428" s="21">
        <f t="shared" si="75"/>
        <v>1</v>
      </c>
      <c r="R428" s="661">
        <f t="shared" si="76"/>
        <v>0</v>
      </c>
      <c r="S428" s="315">
        <f t="shared" si="77"/>
        <v>0</v>
      </c>
    </row>
    <row r="429" spans="1:19">
      <c r="A429" s="663"/>
      <c r="B429" s="663"/>
      <c r="C429" s="21"/>
      <c r="D429" s="2805"/>
      <c r="E429" s="21">
        <f t="shared" si="69"/>
        <v>1</v>
      </c>
      <c r="F429" s="2805" t="e">
        <f>#REF!</f>
        <v>#REF!</v>
      </c>
      <c r="G429" s="21">
        <f t="shared" si="70"/>
        <v>1</v>
      </c>
      <c r="H429" s="665"/>
      <c r="I429" s="21">
        <f t="shared" si="71"/>
        <v>1</v>
      </c>
      <c r="J429" s="665"/>
      <c r="K429" s="21">
        <f t="shared" si="72"/>
        <v>1</v>
      </c>
      <c r="L429" s="665"/>
      <c r="M429" s="21">
        <f t="shared" si="73"/>
        <v>1</v>
      </c>
      <c r="N429" s="665"/>
      <c r="O429" s="21">
        <f t="shared" si="74"/>
        <v>1</v>
      </c>
      <c r="P429" s="2805" t="e">
        <f>#REF!</f>
        <v>#REF!</v>
      </c>
      <c r="Q429" s="21">
        <f t="shared" si="75"/>
        <v>1</v>
      </c>
      <c r="R429" s="661">
        <f t="shared" si="76"/>
        <v>0</v>
      </c>
      <c r="S429" s="315">
        <f t="shared" si="77"/>
        <v>0</v>
      </c>
    </row>
    <row r="430" spans="1:19">
      <c r="A430" s="663"/>
      <c r="B430" s="663"/>
      <c r="C430" s="21"/>
      <c r="D430" s="2805"/>
      <c r="E430" s="21">
        <f t="shared" si="69"/>
        <v>1</v>
      </c>
      <c r="F430" s="2805" t="e">
        <f>#REF!</f>
        <v>#REF!</v>
      </c>
      <c r="G430" s="21">
        <f t="shared" si="70"/>
        <v>1</v>
      </c>
      <c r="H430" s="665"/>
      <c r="I430" s="21">
        <f t="shared" si="71"/>
        <v>1</v>
      </c>
      <c r="J430" s="665"/>
      <c r="K430" s="21">
        <f t="shared" si="72"/>
        <v>1</v>
      </c>
      <c r="L430" s="665"/>
      <c r="M430" s="21">
        <f t="shared" si="73"/>
        <v>1</v>
      </c>
      <c r="N430" s="665"/>
      <c r="O430" s="21">
        <f t="shared" si="74"/>
        <v>1</v>
      </c>
      <c r="P430" s="2805" t="e">
        <f>#REF!</f>
        <v>#REF!</v>
      </c>
      <c r="Q430" s="21">
        <f t="shared" si="75"/>
        <v>1</v>
      </c>
      <c r="R430" s="661">
        <f t="shared" si="76"/>
        <v>0</v>
      </c>
      <c r="S430" s="315">
        <f t="shared" si="77"/>
        <v>0</v>
      </c>
    </row>
    <row r="431" spans="1:19">
      <c r="A431" s="663"/>
      <c r="B431" s="663"/>
      <c r="C431" s="21"/>
      <c r="D431" s="2805"/>
      <c r="E431" s="21">
        <f t="shared" si="69"/>
        <v>1</v>
      </c>
      <c r="F431" s="2805" t="e">
        <f>#REF!</f>
        <v>#REF!</v>
      </c>
      <c r="G431" s="21">
        <f t="shared" si="70"/>
        <v>1</v>
      </c>
      <c r="H431" s="665"/>
      <c r="I431" s="21">
        <f t="shared" si="71"/>
        <v>1</v>
      </c>
      <c r="J431" s="665"/>
      <c r="K431" s="21">
        <f t="shared" si="72"/>
        <v>1</v>
      </c>
      <c r="L431" s="665"/>
      <c r="M431" s="21">
        <f t="shared" si="73"/>
        <v>1</v>
      </c>
      <c r="N431" s="665"/>
      <c r="O431" s="21">
        <f t="shared" si="74"/>
        <v>1</v>
      </c>
      <c r="P431" s="2805" t="e">
        <f>#REF!</f>
        <v>#REF!</v>
      </c>
      <c r="Q431" s="21">
        <f t="shared" si="75"/>
        <v>1</v>
      </c>
      <c r="R431" s="661">
        <f t="shared" si="76"/>
        <v>0</v>
      </c>
      <c r="S431" s="315">
        <f t="shared" si="77"/>
        <v>0</v>
      </c>
    </row>
    <row r="432" spans="1:19">
      <c r="A432" s="663"/>
      <c r="B432" s="663"/>
      <c r="C432" s="21"/>
      <c r="D432" s="2805"/>
      <c r="E432" s="21">
        <f t="shared" si="69"/>
        <v>1</v>
      </c>
      <c r="F432" s="2805" t="e">
        <f>#REF!</f>
        <v>#REF!</v>
      </c>
      <c r="G432" s="21">
        <f t="shared" si="70"/>
        <v>1</v>
      </c>
      <c r="H432" s="665"/>
      <c r="I432" s="21">
        <f t="shared" si="71"/>
        <v>1</v>
      </c>
      <c r="J432" s="665"/>
      <c r="K432" s="21">
        <f t="shared" si="72"/>
        <v>1</v>
      </c>
      <c r="L432" s="665"/>
      <c r="M432" s="21">
        <f t="shared" si="73"/>
        <v>1</v>
      </c>
      <c r="N432" s="665"/>
      <c r="O432" s="21">
        <f t="shared" si="74"/>
        <v>1</v>
      </c>
      <c r="P432" s="2805" t="e">
        <f>#REF!</f>
        <v>#REF!</v>
      </c>
      <c r="Q432" s="21">
        <f t="shared" si="75"/>
        <v>1</v>
      </c>
      <c r="R432" s="661">
        <f t="shared" si="76"/>
        <v>0</v>
      </c>
      <c r="S432" s="315">
        <f t="shared" si="77"/>
        <v>0</v>
      </c>
    </row>
    <row r="433" spans="1:19">
      <c r="A433" s="663"/>
      <c r="B433" s="663"/>
      <c r="C433" s="21"/>
      <c r="D433" s="2805"/>
      <c r="E433" s="21">
        <f t="shared" si="69"/>
        <v>1</v>
      </c>
      <c r="F433" s="2805" t="e">
        <f>#REF!</f>
        <v>#REF!</v>
      </c>
      <c r="G433" s="21">
        <f t="shared" si="70"/>
        <v>1</v>
      </c>
      <c r="H433" s="665"/>
      <c r="I433" s="21">
        <f t="shared" si="71"/>
        <v>1</v>
      </c>
      <c r="J433" s="665"/>
      <c r="K433" s="21">
        <f t="shared" si="72"/>
        <v>1</v>
      </c>
      <c r="L433" s="665"/>
      <c r="M433" s="21">
        <f t="shared" si="73"/>
        <v>1</v>
      </c>
      <c r="N433" s="665"/>
      <c r="O433" s="21">
        <f t="shared" si="74"/>
        <v>1</v>
      </c>
      <c r="P433" s="2805" t="e">
        <f>#REF!</f>
        <v>#REF!</v>
      </c>
      <c r="Q433" s="21">
        <f t="shared" si="75"/>
        <v>1</v>
      </c>
      <c r="R433" s="661">
        <f t="shared" si="76"/>
        <v>0</v>
      </c>
      <c r="S433" s="315">
        <f t="shared" si="77"/>
        <v>0</v>
      </c>
    </row>
    <row r="434" spans="1:19">
      <c r="A434" s="663"/>
      <c r="B434" s="663"/>
      <c r="C434" s="21"/>
      <c r="D434" s="2805"/>
      <c r="E434" s="21">
        <f t="shared" si="69"/>
        <v>1</v>
      </c>
      <c r="F434" s="2805" t="e">
        <f>#REF!</f>
        <v>#REF!</v>
      </c>
      <c r="G434" s="21">
        <f t="shared" si="70"/>
        <v>1</v>
      </c>
      <c r="H434" s="665"/>
      <c r="I434" s="21">
        <f t="shared" si="71"/>
        <v>1</v>
      </c>
      <c r="J434" s="665"/>
      <c r="K434" s="21">
        <f t="shared" si="72"/>
        <v>1</v>
      </c>
      <c r="L434" s="665"/>
      <c r="M434" s="21">
        <f t="shared" si="73"/>
        <v>1</v>
      </c>
      <c r="N434" s="665"/>
      <c r="O434" s="21">
        <f t="shared" si="74"/>
        <v>1</v>
      </c>
      <c r="P434" s="2805" t="e">
        <f>#REF!</f>
        <v>#REF!</v>
      </c>
      <c r="Q434" s="21">
        <f t="shared" si="75"/>
        <v>1</v>
      </c>
      <c r="R434" s="661">
        <f t="shared" si="76"/>
        <v>0</v>
      </c>
      <c r="S434" s="315">
        <f t="shared" si="77"/>
        <v>0</v>
      </c>
    </row>
    <row r="435" spans="1:19">
      <c r="A435" s="663"/>
      <c r="B435" s="663"/>
      <c r="C435" s="21"/>
      <c r="D435" s="2805"/>
      <c r="E435" s="21">
        <f t="shared" si="69"/>
        <v>1</v>
      </c>
      <c r="F435" s="2805" t="e">
        <f>#REF!</f>
        <v>#REF!</v>
      </c>
      <c r="G435" s="21">
        <f t="shared" si="70"/>
        <v>1</v>
      </c>
      <c r="H435" s="665"/>
      <c r="I435" s="21">
        <f t="shared" si="71"/>
        <v>1</v>
      </c>
      <c r="J435" s="665"/>
      <c r="K435" s="21">
        <f t="shared" si="72"/>
        <v>1</v>
      </c>
      <c r="L435" s="665"/>
      <c r="M435" s="21">
        <f t="shared" si="73"/>
        <v>1</v>
      </c>
      <c r="N435" s="665"/>
      <c r="O435" s="21">
        <f t="shared" si="74"/>
        <v>1</v>
      </c>
      <c r="P435" s="2805" t="e">
        <f>#REF!</f>
        <v>#REF!</v>
      </c>
      <c r="Q435" s="21">
        <f t="shared" si="75"/>
        <v>1</v>
      </c>
      <c r="R435" s="661">
        <f t="shared" si="76"/>
        <v>0</v>
      </c>
      <c r="S435" s="315">
        <f t="shared" si="77"/>
        <v>0</v>
      </c>
    </row>
    <row r="436" spans="1:19">
      <c r="A436" s="663"/>
      <c r="B436" s="663"/>
      <c r="C436" s="21"/>
      <c r="D436" s="2805"/>
      <c r="E436" s="21">
        <f t="shared" si="69"/>
        <v>1</v>
      </c>
      <c r="F436" s="2805" t="e">
        <f>#REF!</f>
        <v>#REF!</v>
      </c>
      <c r="G436" s="21">
        <f t="shared" si="70"/>
        <v>1</v>
      </c>
      <c r="H436" s="665"/>
      <c r="I436" s="21">
        <f t="shared" si="71"/>
        <v>1</v>
      </c>
      <c r="J436" s="665"/>
      <c r="K436" s="21">
        <f t="shared" si="72"/>
        <v>1</v>
      </c>
      <c r="L436" s="665"/>
      <c r="M436" s="21">
        <f t="shared" si="73"/>
        <v>1</v>
      </c>
      <c r="N436" s="665"/>
      <c r="O436" s="21">
        <f t="shared" si="74"/>
        <v>1</v>
      </c>
      <c r="P436" s="2805" t="e">
        <f>#REF!</f>
        <v>#REF!</v>
      </c>
      <c r="Q436" s="21">
        <f t="shared" si="75"/>
        <v>1</v>
      </c>
      <c r="R436" s="661">
        <f t="shared" si="76"/>
        <v>0</v>
      </c>
      <c r="S436" s="315">
        <f t="shared" si="77"/>
        <v>0</v>
      </c>
    </row>
    <row r="437" spans="1:19">
      <c r="A437" s="663"/>
      <c r="B437" s="663"/>
      <c r="C437" s="21"/>
      <c r="D437" s="2805"/>
      <c r="E437" s="21">
        <f t="shared" si="69"/>
        <v>1</v>
      </c>
      <c r="F437" s="2805" t="e">
        <f>#REF!</f>
        <v>#REF!</v>
      </c>
      <c r="G437" s="21">
        <f t="shared" si="70"/>
        <v>1</v>
      </c>
      <c r="H437" s="665"/>
      <c r="I437" s="21">
        <f t="shared" si="71"/>
        <v>1</v>
      </c>
      <c r="J437" s="665"/>
      <c r="K437" s="21">
        <f t="shared" si="72"/>
        <v>1</v>
      </c>
      <c r="L437" s="665"/>
      <c r="M437" s="21">
        <f t="shared" si="73"/>
        <v>1</v>
      </c>
      <c r="N437" s="665"/>
      <c r="O437" s="21">
        <f t="shared" si="74"/>
        <v>1</v>
      </c>
      <c r="P437" s="2805" t="e">
        <f>#REF!</f>
        <v>#REF!</v>
      </c>
      <c r="Q437" s="21">
        <f t="shared" si="75"/>
        <v>1</v>
      </c>
      <c r="R437" s="661">
        <f t="shared" si="76"/>
        <v>0</v>
      </c>
      <c r="S437" s="315">
        <f t="shared" si="77"/>
        <v>0</v>
      </c>
    </row>
    <row r="438" spans="1:19">
      <c r="A438" s="663"/>
      <c r="B438" s="663"/>
      <c r="C438" s="21"/>
      <c r="D438" s="2805"/>
      <c r="E438" s="21">
        <f t="shared" si="69"/>
        <v>1</v>
      </c>
      <c r="F438" s="2805" t="e">
        <f>#REF!</f>
        <v>#REF!</v>
      </c>
      <c r="G438" s="21">
        <f t="shared" si="70"/>
        <v>1</v>
      </c>
      <c r="H438" s="665"/>
      <c r="I438" s="21">
        <f t="shared" si="71"/>
        <v>1</v>
      </c>
      <c r="J438" s="665"/>
      <c r="K438" s="21">
        <f t="shared" si="72"/>
        <v>1</v>
      </c>
      <c r="L438" s="665"/>
      <c r="M438" s="21">
        <f t="shared" si="73"/>
        <v>1</v>
      </c>
      <c r="N438" s="665"/>
      <c r="O438" s="21">
        <f t="shared" si="74"/>
        <v>1</v>
      </c>
      <c r="P438" s="2805" t="e">
        <f>#REF!</f>
        <v>#REF!</v>
      </c>
      <c r="Q438" s="21">
        <f t="shared" si="75"/>
        <v>1</v>
      </c>
      <c r="R438" s="661">
        <f t="shared" si="76"/>
        <v>0</v>
      </c>
      <c r="S438" s="315">
        <f t="shared" si="77"/>
        <v>0</v>
      </c>
    </row>
    <row r="439" spans="1:19">
      <c r="A439" s="663"/>
      <c r="B439" s="663"/>
      <c r="C439" s="21"/>
      <c r="D439" s="2805"/>
      <c r="E439" s="21">
        <f t="shared" si="69"/>
        <v>1</v>
      </c>
      <c r="F439" s="2805" t="e">
        <f>#REF!</f>
        <v>#REF!</v>
      </c>
      <c r="G439" s="21">
        <f t="shared" si="70"/>
        <v>1</v>
      </c>
      <c r="H439" s="665"/>
      <c r="I439" s="21">
        <f t="shared" si="71"/>
        <v>1</v>
      </c>
      <c r="J439" s="665"/>
      <c r="K439" s="21">
        <f t="shared" si="72"/>
        <v>1</v>
      </c>
      <c r="L439" s="665"/>
      <c r="M439" s="21">
        <f t="shared" si="73"/>
        <v>1</v>
      </c>
      <c r="N439" s="665"/>
      <c r="O439" s="21">
        <f t="shared" si="74"/>
        <v>1</v>
      </c>
      <c r="P439" s="2805" t="e">
        <f>#REF!</f>
        <v>#REF!</v>
      </c>
      <c r="Q439" s="21">
        <f t="shared" si="75"/>
        <v>1</v>
      </c>
      <c r="R439" s="661">
        <f t="shared" si="76"/>
        <v>0</v>
      </c>
      <c r="S439" s="315">
        <f t="shared" si="77"/>
        <v>0</v>
      </c>
    </row>
    <row r="440" spans="1:19">
      <c r="A440" s="663"/>
      <c r="B440" s="663"/>
      <c r="C440" s="21"/>
      <c r="D440" s="2805"/>
      <c r="E440" s="21">
        <f t="shared" si="69"/>
        <v>1</v>
      </c>
      <c r="F440" s="2805" t="e">
        <f>#REF!</f>
        <v>#REF!</v>
      </c>
      <c r="G440" s="21">
        <f t="shared" si="70"/>
        <v>1</v>
      </c>
      <c r="H440" s="665"/>
      <c r="I440" s="21">
        <f t="shared" si="71"/>
        <v>1</v>
      </c>
      <c r="J440" s="665"/>
      <c r="K440" s="21">
        <f t="shared" si="72"/>
        <v>1</v>
      </c>
      <c r="L440" s="665"/>
      <c r="M440" s="21">
        <f t="shared" si="73"/>
        <v>1</v>
      </c>
      <c r="N440" s="665"/>
      <c r="O440" s="21">
        <f t="shared" si="74"/>
        <v>1</v>
      </c>
      <c r="P440" s="2805" t="e">
        <f>#REF!</f>
        <v>#REF!</v>
      </c>
      <c r="Q440" s="21">
        <f t="shared" si="75"/>
        <v>1</v>
      </c>
      <c r="R440" s="661">
        <f t="shared" si="76"/>
        <v>0</v>
      </c>
      <c r="S440" s="315">
        <f t="shared" si="77"/>
        <v>0</v>
      </c>
    </row>
    <row r="441" spans="1:19">
      <c r="A441" s="663"/>
      <c r="B441" s="663"/>
      <c r="C441" s="21"/>
      <c r="D441" s="2805"/>
      <c r="E441" s="21">
        <f t="shared" si="69"/>
        <v>1</v>
      </c>
      <c r="F441" s="2805" t="e">
        <f>#REF!</f>
        <v>#REF!</v>
      </c>
      <c r="G441" s="21">
        <f t="shared" si="70"/>
        <v>1</v>
      </c>
      <c r="H441" s="665"/>
      <c r="I441" s="21">
        <f t="shared" si="71"/>
        <v>1</v>
      </c>
      <c r="J441" s="665"/>
      <c r="K441" s="21">
        <f t="shared" si="72"/>
        <v>1</v>
      </c>
      <c r="L441" s="665"/>
      <c r="M441" s="21">
        <f t="shared" si="73"/>
        <v>1</v>
      </c>
      <c r="N441" s="665"/>
      <c r="O441" s="21">
        <f t="shared" si="74"/>
        <v>1</v>
      </c>
      <c r="P441" s="2805" t="e">
        <f>#REF!</f>
        <v>#REF!</v>
      </c>
      <c r="Q441" s="21">
        <f t="shared" si="75"/>
        <v>1</v>
      </c>
      <c r="R441" s="661">
        <f t="shared" si="76"/>
        <v>0</v>
      </c>
      <c r="S441" s="315">
        <f t="shared" si="77"/>
        <v>0</v>
      </c>
    </row>
    <row r="442" spans="1:19">
      <c r="A442" s="663"/>
      <c r="B442" s="663"/>
      <c r="C442" s="21"/>
      <c r="D442" s="2805"/>
      <c r="E442" s="21">
        <f t="shared" si="69"/>
        <v>1</v>
      </c>
      <c r="F442" s="2805" t="e">
        <f>#REF!</f>
        <v>#REF!</v>
      </c>
      <c r="G442" s="21">
        <f t="shared" si="70"/>
        <v>1</v>
      </c>
      <c r="H442" s="665"/>
      <c r="I442" s="21">
        <f t="shared" si="71"/>
        <v>1</v>
      </c>
      <c r="J442" s="665"/>
      <c r="K442" s="21">
        <f t="shared" si="72"/>
        <v>1</v>
      </c>
      <c r="L442" s="665"/>
      <c r="M442" s="21">
        <f t="shared" si="73"/>
        <v>1</v>
      </c>
      <c r="N442" s="665"/>
      <c r="O442" s="21">
        <f t="shared" si="74"/>
        <v>1</v>
      </c>
      <c r="P442" s="2805" t="e">
        <f>#REF!</f>
        <v>#REF!</v>
      </c>
      <c r="Q442" s="21">
        <f t="shared" si="75"/>
        <v>1</v>
      </c>
      <c r="R442" s="661">
        <f t="shared" si="76"/>
        <v>0</v>
      </c>
      <c r="S442" s="315">
        <f t="shared" si="77"/>
        <v>0</v>
      </c>
    </row>
    <row r="443" spans="1:19">
      <c r="A443" s="663"/>
      <c r="B443" s="663"/>
      <c r="C443" s="21"/>
      <c r="D443" s="2805"/>
      <c r="E443" s="21">
        <f t="shared" si="69"/>
        <v>1</v>
      </c>
      <c r="F443" s="2805" t="e">
        <f>#REF!</f>
        <v>#REF!</v>
      </c>
      <c r="G443" s="21">
        <f t="shared" si="70"/>
        <v>1</v>
      </c>
      <c r="H443" s="665"/>
      <c r="I443" s="21">
        <f t="shared" si="71"/>
        <v>1</v>
      </c>
      <c r="J443" s="665"/>
      <c r="K443" s="21">
        <f t="shared" si="72"/>
        <v>1</v>
      </c>
      <c r="L443" s="665"/>
      <c r="M443" s="21">
        <f t="shared" si="73"/>
        <v>1</v>
      </c>
      <c r="N443" s="665"/>
      <c r="O443" s="21">
        <f t="shared" si="74"/>
        <v>1</v>
      </c>
      <c r="P443" s="2805" t="e">
        <f>#REF!</f>
        <v>#REF!</v>
      </c>
      <c r="Q443" s="21">
        <f t="shared" si="75"/>
        <v>1</v>
      </c>
      <c r="R443" s="661">
        <f t="shared" si="76"/>
        <v>0</v>
      </c>
      <c r="S443" s="315">
        <f t="shared" si="77"/>
        <v>0</v>
      </c>
    </row>
    <row r="444" spans="1:19">
      <c r="A444" s="663"/>
      <c r="B444" s="663"/>
      <c r="C444" s="21"/>
      <c r="D444" s="2805"/>
      <c r="E444" s="21">
        <f t="shared" si="69"/>
        <v>1</v>
      </c>
      <c r="F444" s="2805" t="e">
        <f>#REF!</f>
        <v>#REF!</v>
      </c>
      <c r="G444" s="21">
        <f t="shared" si="70"/>
        <v>1</v>
      </c>
      <c r="H444" s="665"/>
      <c r="I444" s="21">
        <f t="shared" si="71"/>
        <v>1</v>
      </c>
      <c r="J444" s="665"/>
      <c r="K444" s="21">
        <f t="shared" si="72"/>
        <v>1</v>
      </c>
      <c r="L444" s="665"/>
      <c r="M444" s="21">
        <f t="shared" si="73"/>
        <v>1</v>
      </c>
      <c r="N444" s="665"/>
      <c r="O444" s="21">
        <f t="shared" si="74"/>
        <v>1</v>
      </c>
      <c r="P444" s="2805" t="e">
        <f>#REF!</f>
        <v>#REF!</v>
      </c>
      <c r="Q444" s="21">
        <f t="shared" si="75"/>
        <v>1</v>
      </c>
      <c r="R444" s="661">
        <f t="shared" si="76"/>
        <v>0</v>
      </c>
      <c r="S444" s="315">
        <f t="shared" si="77"/>
        <v>0</v>
      </c>
    </row>
    <row r="445" spans="1:19">
      <c r="A445" s="663"/>
      <c r="B445" s="663"/>
      <c r="C445" s="21"/>
      <c r="D445" s="2805"/>
      <c r="E445" s="21">
        <f t="shared" si="69"/>
        <v>1</v>
      </c>
      <c r="F445" s="2805" t="e">
        <f>#REF!</f>
        <v>#REF!</v>
      </c>
      <c r="G445" s="21">
        <f t="shared" si="70"/>
        <v>1</v>
      </c>
      <c r="H445" s="665"/>
      <c r="I445" s="21">
        <f t="shared" si="71"/>
        <v>1</v>
      </c>
      <c r="J445" s="665"/>
      <c r="K445" s="21">
        <f t="shared" si="72"/>
        <v>1</v>
      </c>
      <c r="L445" s="665"/>
      <c r="M445" s="21">
        <f t="shared" si="73"/>
        <v>1</v>
      </c>
      <c r="N445" s="665"/>
      <c r="O445" s="21">
        <f t="shared" si="74"/>
        <v>1</v>
      </c>
      <c r="P445" s="2805" t="e">
        <f>#REF!</f>
        <v>#REF!</v>
      </c>
      <c r="Q445" s="21">
        <f t="shared" si="75"/>
        <v>1</v>
      </c>
      <c r="R445" s="661">
        <f t="shared" si="76"/>
        <v>0</v>
      </c>
      <c r="S445" s="315">
        <f t="shared" si="77"/>
        <v>0</v>
      </c>
    </row>
    <row r="446" spans="1:19">
      <c r="A446" s="663"/>
      <c r="B446" s="663"/>
      <c r="C446" s="21"/>
      <c r="D446" s="2805"/>
      <c r="E446" s="21">
        <f t="shared" si="69"/>
        <v>1</v>
      </c>
      <c r="F446" s="2805" t="e">
        <f>#REF!</f>
        <v>#REF!</v>
      </c>
      <c r="G446" s="21">
        <f t="shared" si="70"/>
        <v>1</v>
      </c>
      <c r="H446" s="665"/>
      <c r="I446" s="21">
        <f t="shared" si="71"/>
        <v>1</v>
      </c>
      <c r="J446" s="665"/>
      <c r="K446" s="21">
        <f t="shared" si="72"/>
        <v>1</v>
      </c>
      <c r="L446" s="665"/>
      <c r="M446" s="21">
        <f t="shared" si="73"/>
        <v>1</v>
      </c>
      <c r="N446" s="665"/>
      <c r="O446" s="21">
        <f t="shared" si="74"/>
        <v>1</v>
      </c>
      <c r="P446" s="2805" t="e">
        <f>#REF!</f>
        <v>#REF!</v>
      </c>
      <c r="Q446" s="21">
        <f t="shared" si="75"/>
        <v>1</v>
      </c>
      <c r="R446" s="661">
        <f t="shared" si="76"/>
        <v>0</v>
      </c>
      <c r="S446" s="315">
        <f t="shared" si="77"/>
        <v>0</v>
      </c>
    </row>
    <row r="447" spans="1:19">
      <c r="A447" s="663"/>
      <c r="B447" s="663"/>
      <c r="C447" s="21"/>
      <c r="D447" s="2805"/>
      <c r="E447" s="21">
        <f t="shared" si="69"/>
        <v>1</v>
      </c>
      <c r="F447" s="2805" t="e">
        <f>#REF!</f>
        <v>#REF!</v>
      </c>
      <c r="G447" s="21">
        <f t="shared" si="70"/>
        <v>1</v>
      </c>
      <c r="H447" s="665"/>
      <c r="I447" s="21">
        <f t="shared" si="71"/>
        <v>1</v>
      </c>
      <c r="J447" s="665"/>
      <c r="K447" s="21">
        <f t="shared" si="72"/>
        <v>1</v>
      </c>
      <c r="L447" s="665"/>
      <c r="M447" s="21">
        <f t="shared" si="73"/>
        <v>1</v>
      </c>
      <c r="N447" s="665"/>
      <c r="O447" s="21">
        <f t="shared" si="74"/>
        <v>1</v>
      </c>
      <c r="P447" s="2805" t="e">
        <f>#REF!</f>
        <v>#REF!</v>
      </c>
      <c r="Q447" s="21">
        <f t="shared" si="75"/>
        <v>1</v>
      </c>
      <c r="R447" s="661">
        <f t="shared" si="76"/>
        <v>0</v>
      </c>
      <c r="S447" s="315">
        <f t="shared" si="77"/>
        <v>0</v>
      </c>
    </row>
    <row r="448" spans="1:19">
      <c r="A448" s="663"/>
      <c r="B448" s="663"/>
      <c r="C448" s="21"/>
      <c r="D448" s="2805"/>
      <c r="E448" s="21">
        <f t="shared" si="69"/>
        <v>1</v>
      </c>
      <c r="F448" s="2805" t="e">
        <f>#REF!</f>
        <v>#REF!</v>
      </c>
      <c r="G448" s="21">
        <f t="shared" si="70"/>
        <v>1</v>
      </c>
      <c r="H448" s="665"/>
      <c r="I448" s="21">
        <f t="shared" si="71"/>
        <v>1</v>
      </c>
      <c r="J448" s="665"/>
      <c r="K448" s="21">
        <f t="shared" si="72"/>
        <v>1</v>
      </c>
      <c r="L448" s="665"/>
      <c r="M448" s="21">
        <f t="shared" si="73"/>
        <v>1</v>
      </c>
      <c r="N448" s="665"/>
      <c r="O448" s="21">
        <f t="shared" si="74"/>
        <v>1</v>
      </c>
      <c r="P448" s="2805" t="e">
        <f>#REF!</f>
        <v>#REF!</v>
      </c>
      <c r="Q448" s="21">
        <f t="shared" si="75"/>
        <v>1</v>
      </c>
      <c r="R448" s="661">
        <f t="shared" si="76"/>
        <v>0</v>
      </c>
      <c r="S448" s="315">
        <f t="shared" si="77"/>
        <v>0</v>
      </c>
    </row>
    <row r="449" spans="1:19">
      <c r="A449" s="663"/>
      <c r="B449" s="663"/>
      <c r="C449" s="21"/>
      <c r="D449" s="2805"/>
      <c r="E449" s="21">
        <f t="shared" si="69"/>
        <v>1</v>
      </c>
      <c r="F449" s="2805" t="e">
        <f>#REF!</f>
        <v>#REF!</v>
      </c>
      <c r="G449" s="21">
        <f t="shared" si="70"/>
        <v>1</v>
      </c>
      <c r="H449" s="665"/>
      <c r="I449" s="21">
        <f t="shared" si="71"/>
        <v>1</v>
      </c>
      <c r="J449" s="665"/>
      <c r="K449" s="21">
        <f t="shared" si="72"/>
        <v>1</v>
      </c>
      <c r="L449" s="665"/>
      <c r="M449" s="21">
        <f t="shared" si="73"/>
        <v>1</v>
      </c>
      <c r="N449" s="665"/>
      <c r="O449" s="21">
        <f t="shared" si="74"/>
        <v>1</v>
      </c>
      <c r="P449" s="2805" t="e">
        <f>#REF!</f>
        <v>#REF!</v>
      </c>
      <c r="Q449" s="21">
        <f t="shared" si="75"/>
        <v>1</v>
      </c>
      <c r="R449" s="661">
        <f t="shared" si="76"/>
        <v>0</v>
      </c>
      <c r="S449" s="315">
        <f t="shared" si="77"/>
        <v>0</v>
      </c>
    </row>
    <row r="450" spans="1:19">
      <c r="A450" s="663"/>
      <c r="B450" s="663"/>
      <c r="C450" s="21"/>
      <c r="D450" s="2805"/>
      <c r="E450" s="21">
        <f t="shared" si="69"/>
        <v>1</v>
      </c>
      <c r="F450" s="2805" t="e">
        <f>#REF!</f>
        <v>#REF!</v>
      </c>
      <c r="G450" s="21">
        <f t="shared" si="70"/>
        <v>1</v>
      </c>
      <c r="H450" s="665"/>
      <c r="I450" s="21">
        <f t="shared" si="71"/>
        <v>1</v>
      </c>
      <c r="J450" s="665"/>
      <c r="K450" s="21">
        <f t="shared" si="72"/>
        <v>1</v>
      </c>
      <c r="L450" s="665"/>
      <c r="M450" s="21">
        <f t="shared" si="73"/>
        <v>1</v>
      </c>
      <c r="N450" s="665"/>
      <c r="O450" s="21">
        <f t="shared" si="74"/>
        <v>1</v>
      </c>
      <c r="P450" s="2805" t="e">
        <f>#REF!</f>
        <v>#REF!</v>
      </c>
      <c r="Q450" s="21">
        <f t="shared" si="75"/>
        <v>1</v>
      </c>
      <c r="R450" s="661">
        <f t="shared" si="76"/>
        <v>0</v>
      </c>
      <c r="S450" s="315">
        <f t="shared" si="77"/>
        <v>0</v>
      </c>
    </row>
    <row r="451" spans="1:19">
      <c r="A451" s="663"/>
      <c r="B451" s="663"/>
      <c r="C451" s="21"/>
      <c r="D451" s="2805"/>
      <c r="E451" s="21">
        <f t="shared" si="69"/>
        <v>1</v>
      </c>
      <c r="F451" s="2805" t="e">
        <f>#REF!</f>
        <v>#REF!</v>
      </c>
      <c r="G451" s="21">
        <f t="shared" si="70"/>
        <v>1</v>
      </c>
      <c r="H451" s="665"/>
      <c r="I451" s="21">
        <f t="shared" si="71"/>
        <v>1</v>
      </c>
      <c r="J451" s="665"/>
      <c r="K451" s="21">
        <f t="shared" si="72"/>
        <v>1</v>
      </c>
      <c r="L451" s="665"/>
      <c r="M451" s="21">
        <f t="shared" si="73"/>
        <v>1</v>
      </c>
      <c r="N451" s="665"/>
      <c r="O451" s="21">
        <f t="shared" si="74"/>
        <v>1</v>
      </c>
      <c r="P451" s="2805" t="e">
        <f>#REF!</f>
        <v>#REF!</v>
      </c>
      <c r="Q451" s="21">
        <f t="shared" si="75"/>
        <v>1</v>
      </c>
      <c r="R451" s="661">
        <f t="shared" si="76"/>
        <v>0</v>
      </c>
      <c r="S451" s="315">
        <f t="shared" si="77"/>
        <v>0</v>
      </c>
    </row>
    <row r="452" spans="1:19">
      <c r="A452" s="663"/>
      <c r="B452" s="663"/>
      <c r="C452" s="21"/>
      <c r="D452" s="2805"/>
      <c r="E452" s="21">
        <f t="shared" si="69"/>
        <v>1</v>
      </c>
      <c r="F452" s="2805" t="e">
        <f>#REF!</f>
        <v>#REF!</v>
      </c>
      <c r="G452" s="21">
        <f t="shared" si="70"/>
        <v>1</v>
      </c>
      <c r="H452" s="665"/>
      <c r="I452" s="21">
        <f t="shared" si="71"/>
        <v>1</v>
      </c>
      <c r="J452" s="665"/>
      <c r="K452" s="21">
        <f t="shared" si="72"/>
        <v>1</v>
      </c>
      <c r="L452" s="665"/>
      <c r="M452" s="21">
        <f t="shared" si="73"/>
        <v>1</v>
      </c>
      <c r="N452" s="665"/>
      <c r="O452" s="21">
        <f t="shared" si="74"/>
        <v>1</v>
      </c>
      <c r="P452" s="2805" t="e">
        <f>#REF!</f>
        <v>#REF!</v>
      </c>
      <c r="Q452" s="21">
        <f t="shared" si="75"/>
        <v>1</v>
      </c>
      <c r="R452" s="661">
        <f t="shared" si="76"/>
        <v>0</v>
      </c>
      <c r="S452" s="315">
        <f t="shared" si="77"/>
        <v>0</v>
      </c>
    </row>
    <row r="453" spans="1:19">
      <c r="A453" s="663"/>
      <c r="B453" s="663"/>
      <c r="C453" s="21"/>
      <c r="D453" s="2805"/>
      <c r="E453" s="21">
        <f t="shared" si="69"/>
        <v>1</v>
      </c>
      <c r="F453" s="2805" t="e">
        <f>#REF!</f>
        <v>#REF!</v>
      </c>
      <c r="G453" s="21">
        <f t="shared" si="70"/>
        <v>1</v>
      </c>
      <c r="H453" s="665"/>
      <c r="I453" s="21">
        <f t="shared" si="71"/>
        <v>1</v>
      </c>
      <c r="J453" s="665"/>
      <c r="K453" s="21">
        <f t="shared" si="72"/>
        <v>1</v>
      </c>
      <c r="L453" s="665"/>
      <c r="M453" s="21">
        <f t="shared" si="73"/>
        <v>1</v>
      </c>
      <c r="N453" s="665"/>
      <c r="O453" s="21">
        <f t="shared" si="74"/>
        <v>1</v>
      </c>
      <c r="P453" s="2805" t="e">
        <f>#REF!</f>
        <v>#REF!</v>
      </c>
      <c r="Q453" s="21">
        <f t="shared" si="75"/>
        <v>1</v>
      </c>
      <c r="R453" s="661">
        <f t="shared" si="76"/>
        <v>0</v>
      </c>
      <c r="S453" s="315">
        <f t="shared" si="77"/>
        <v>0</v>
      </c>
    </row>
    <row r="454" spans="1:19">
      <c r="A454" s="663"/>
      <c r="B454" s="663"/>
      <c r="C454" s="21"/>
      <c r="D454" s="2805"/>
      <c r="E454" s="21">
        <f t="shared" si="69"/>
        <v>1</v>
      </c>
      <c r="F454" s="2805" t="e">
        <f>#REF!</f>
        <v>#REF!</v>
      </c>
      <c r="G454" s="21">
        <f t="shared" si="70"/>
        <v>1</v>
      </c>
      <c r="H454" s="665"/>
      <c r="I454" s="21">
        <f t="shared" si="71"/>
        <v>1</v>
      </c>
      <c r="J454" s="665"/>
      <c r="K454" s="21">
        <f t="shared" si="72"/>
        <v>1</v>
      </c>
      <c r="L454" s="665"/>
      <c r="M454" s="21">
        <f t="shared" si="73"/>
        <v>1</v>
      </c>
      <c r="N454" s="665"/>
      <c r="O454" s="21">
        <f t="shared" si="74"/>
        <v>1</v>
      </c>
      <c r="P454" s="2805" t="e">
        <f>#REF!</f>
        <v>#REF!</v>
      </c>
      <c r="Q454" s="21">
        <f t="shared" si="75"/>
        <v>1</v>
      </c>
      <c r="R454" s="661">
        <f t="shared" si="76"/>
        <v>0</v>
      </c>
      <c r="S454" s="315">
        <f t="shared" si="77"/>
        <v>0</v>
      </c>
    </row>
    <row r="455" spans="1:19">
      <c r="A455" s="663"/>
      <c r="B455" s="663"/>
      <c r="C455" s="21"/>
      <c r="D455" s="2805"/>
      <c r="E455" s="21">
        <f t="shared" si="69"/>
        <v>1</v>
      </c>
      <c r="F455" s="2805" t="e">
        <f>#REF!</f>
        <v>#REF!</v>
      </c>
      <c r="G455" s="21">
        <f t="shared" si="70"/>
        <v>1</v>
      </c>
      <c r="H455" s="665"/>
      <c r="I455" s="21">
        <f t="shared" si="71"/>
        <v>1</v>
      </c>
      <c r="J455" s="665"/>
      <c r="K455" s="21">
        <f t="shared" si="72"/>
        <v>1</v>
      </c>
      <c r="L455" s="665"/>
      <c r="M455" s="21">
        <f t="shared" si="73"/>
        <v>1</v>
      </c>
      <c r="N455" s="665"/>
      <c r="O455" s="21">
        <f t="shared" si="74"/>
        <v>1</v>
      </c>
      <c r="P455" s="2805" t="e">
        <f>#REF!</f>
        <v>#REF!</v>
      </c>
      <c r="Q455" s="21">
        <f t="shared" si="75"/>
        <v>1</v>
      </c>
      <c r="R455" s="661">
        <f t="shared" si="76"/>
        <v>0</v>
      </c>
      <c r="S455" s="315">
        <f t="shared" si="77"/>
        <v>0</v>
      </c>
    </row>
    <row r="456" spans="1:19">
      <c r="A456" s="663"/>
      <c r="B456" s="663"/>
      <c r="C456" s="21"/>
      <c r="D456" s="2805"/>
      <c r="E456" s="21">
        <f t="shared" si="69"/>
        <v>1</v>
      </c>
      <c r="F456" s="2805" t="e">
        <f>#REF!</f>
        <v>#REF!</v>
      </c>
      <c r="G456" s="21">
        <f t="shared" si="70"/>
        <v>1</v>
      </c>
      <c r="H456" s="665"/>
      <c r="I456" s="21">
        <f t="shared" si="71"/>
        <v>1</v>
      </c>
      <c r="J456" s="665"/>
      <c r="K456" s="21">
        <f t="shared" si="72"/>
        <v>1</v>
      </c>
      <c r="L456" s="665"/>
      <c r="M456" s="21">
        <f t="shared" si="73"/>
        <v>1</v>
      </c>
      <c r="N456" s="665"/>
      <c r="O456" s="21">
        <f t="shared" si="74"/>
        <v>1</v>
      </c>
      <c r="P456" s="2805" t="e">
        <f>#REF!</f>
        <v>#REF!</v>
      </c>
      <c r="Q456" s="21">
        <f t="shared" si="75"/>
        <v>1</v>
      </c>
      <c r="R456" s="661">
        <f t="shared" si="76"/>
        <v>0</v>
      </c>
      <c r="S456" s="315">
        <f t="shared" si="77"/>
        <v>0</v>
      </c>
    </row>
    <row r="457" spans="1:19">
      <c r="A457" s="663"/>
      <c r="B457" s="663"/>
      <c r="C457" s="21"/>
      <c r="D457" s="2805"/>
      <c r="E457" s="21">
        <f t="shared" si="69"/>
        <v>1</v>
      </c>
      <c r="F457" s="2805" t="e">
        <f>#REF!</f>
        <v>#REF!</v>
      </c>
      <c r="G457" s="21">
        <f t="shared" si="70"/>
        <v>1</v>
      </c>
      <c r="H457" s="665"/>
      <c r="I457" s="21">
        <f t="shared" si="71"/>
        <v>1</v>
      </c>
      <c r="J457" s="665"/>
      <c r="K457" s="21">
        <f t="shared" si="72"/>
        <v>1</v>
      </c>
      <c r="L457" s="665"/>
      <c r="M457" s="21">
        <f t="shared" si="73"/>
        <v>1</v>
      </c>
      <c r="N457" s="665"/>
      <c r="O457" s="21">
        <f t="shared" si="74"/>
        <v>1</v>
      </c>
      <c r="P457" s="2805" t="e">
        <f>#REF!</f>
        <v>#REF!</v>
      </c>
      <c r="Q457" s="21">
        <f t="shared" si="75"/>
        <v>1</v>
      </c>
      <c r="R457" s="661">
        <f t="shared" si="76"/>
        <v>0</v>
      </c>
      <c r="S457" s="315">
        <f t="shared" si="77"/>
        <v>0</v>
      </c>
    </row>
    <row r="458" spans="1:19">
      <c r="A458" s="663"/>
      <c r="B458" s="663"/>
      <c r="C458" s="21"/>
      <c r="D458" s="2805"/>
      <c r="E458" s="21">
        <f t="shared" si="69"/>
        <v>1</v>
      </c>
      <c r="F458" s="2805" t="e">
        <f>#REF!</f>
        <v>#REF!</v>
      </c>
      <c r="G458" s="21">
        <f t="shared" si="70"/>
        <v>1</v>
      </c>
      <c r="H458" s="665"/>
      <c r="I458" s="21">
        <f t="shared" si="71"/>
        <v>1</v>
      </c>
      <c r="J458" s="665"/>
      <c r="K458" s="21">
        <f t="shared" si="72"/>
        <v>1</v>
      </c>
      <c r="L458" s="665"/>
      <c r="M458" s="21">
        <f t="shared" si="73"/>
        <v>1</v>
      </c>
      <c r="N458" s="665"/>
      <c r="O458" s="21">
        <f t="shared" si="74"/>
        <v>1</v>
      </c>
      <c r="P458" s="2805" t="e">
        <f>#REF!</f>
        <v>#REF!</v>
      </c>
      <c r="Q458" s="21">
        <f t="shared" si="75"/>
        <v>1</v>
      </c>
      <c r="R458" s="661">
        <f t="shared" si="76"/>
        <v>0</v>
      </c>
      <c r="S458" s="315">
        <f t="shared" si="77"/>
        <v>0</v>
      </c>
    </row>
    <row r="459" spans="1:19">
      <c r="A459" s="663"/>
      <c r="B459" s="663"/>
      <c r="C459" s="21"/>
      <c r="D459" s="2805"/>
      <c r="E459" s="21">
        <f t="shared" si="69"/>
        <v>1</v>
      </c>
      <c r="F459" s="2805" t="e">
        <f>#REF!</f>
        <v>#REF!</v>
      </c>
      <c r="G459" s="21">
        <f t="shared" si="70"/>
        <v>1</v>
      </c>
      <c r="H459" s="665"/>
      <c r="I459" s="21">
        <f t="shared" si="71"/>
        <v>1</v>
      </c>
      <c r="J459" s="665"/>
      <c r="K459" s="21">
        <f t="shared" si="72"/>
        <v>1</v>
      </c>
      <c r="L459" s="665"/>
      <c r="M459" s="21">
        <f t="shared" si="73"/>
        <v>1</v>
      </c>
      <c r="N459" s="665"/>
      <c r="O459" s="21">
        <f t="shared" si="74"/>
        <v>1</v>
      </c>
      <c r="P459" s="2805" t="e">
        <f>#REF!</f>
        <v>#REF!</v>
      </c>
      <c r="Q459" s="21">
        <f t="shared" si="75"/>
        <v>1</v>
      </c>
      <c r="R459" s="661">
        <f t="shared" si="76"/>
        <v>0</v>
      </c>
      <c r="S459" s="315">
        <f t="shared" si="77"/>
        <v>0</v>
      </c>
    </row>
    <row r="460" spans="1:19">
      <c r="A460" s="663"/>
      <c r="B460" s="663"/>
      <c r="C460" s="21"/>
      <c r="D460" s="2805"/>
      <c r="E460" s="21">
        <f t="shared" si="69"/>
        <v>1</v>
      </c>
      <c r="F460" s="2805" t="e">
        <f>#REF!</f>
        <v>#REF!</v>
      </c>
      <c r="G460" s="21">
        <f t="shared" si="70"/>
        <v>1</v>
      </c>
      <c r="H460" s="665"/>
      <c r="I460" s="21">
        <f t="shared" si="71"/>
        <v>1</v>
      </c>
      <c r="J460" s="665"/>
      <c r="K460" s="21">
        <f t="shared" si="72"/>
        <v>1</v>
      </c>
      <c r="L460" s="665"/>
      <c r="M460" s="21">
        <f t="shared" si="73"/>
        <v>1</v>
      </c>
      <c r="N460" s="665"/>
      <c r="O460" s="21">
        <f t="shared" si="74"/>
        <v>1</v>
      </c>
      <c r="P460" s="2805" t="e">
        <f>#REF!</f>
        <v>#REF!</v>
      </c>
      <c r="Q460" s="21">
        <f t="shared" si="75"/>
        <v>1</v>
      </c>
      <c r="R460" s="661">
        <f t="shared" si="76"/>
        <v>0</v>
      </c>
      <c r="S460" s="315">
        <f t="shared" si="77"/>
        <v>0</v>
      </c>
    </row>
    <row r="461" spans="1:19">
      <c r="A461" s="663"/>
      <c r="B461" s="663"/>
      <c r="C461" s="21"/>
      <c r="D461" s="2805"/>
      <c r="E461" s="21">
        <f t="shared" si="69"/>
        <v>1</v>
      </c>
      <c r="F461" s="2805" t="e">
        <f>#REF!</f>
        <v>#REF!</v>
      </c>
      <c r="G461" s="21">
        <f t="shared" si="70"/>
        <v>1</v>
      </c>
      <c r="H461" s="665"/>
      <c r="I461" s="21">
        <f t="shared" si="71"/>
        <v>1</v>
      </c>
      <c r="J461" s="665"/>
      <c r="K461" s="21">
        <f t="shared" si="72"/>
        <v>1</v>
      </c>
      <c r="L461" s="665"/>
      <c r="M461" s="21">
        <f t="shared" si="73"/>
        <v>1</v>
      </c>
      <c r="N461" s="665"/>
      <c r="O461" s="21">
        <f t="shared" si="74"/>
        <v>1</v>
      </c>
      <c r="P461" s="2805" t="e">
        <f>#REF!</f>
        <v>#REF!</v>
      </c>
      <c r="Q461" s="21">
        <f t="shared" si="75"/>
        <v>1</v>
      </c>
      <c r="R461" s="661">
        <f t="shared" si="76"/>
        <v>0</v>
      </c>
      <c r="S461" s="315">
        <f t="shared" si="77"/>
        <v>0</v>
      </c>
    </row>
    <row r="462" spans="1:19">
      <c r="A462" s="663"/>
      <c r="B462" s="663"/>
      <c r="C462" s="21"/>
      <c r="D462" s="2805"/>
      <c r="E462" s="21">
        <f t="shared" si="69"/>
        <v>1</v>
      </c>
      <c r="F462" s="2805" t="e">
        <f>#REF!</f>
        <v>#REF!</v>
      </c>
      <c r="G462" s="21">
        <f t="shared" si="70"/>
        <v>1</v>
      </c>
      <c r="H462" s="665"/>
      <c r="I462" s="21">
        <f t="shared" si="71"/>
        <v>1</v>
      </c>
      <c r="J462" s="665"/>
      <c r="K462" s="21">
        <f t="shared" si="72"/>
        <v>1</v>
      </c>
      <c r="L462" s="665"/>
      <c r="M462" s="21">
        <f t="shared" si="73"/>
        <v>1</v>
      </c>
      <c r="N462" s="665"/>
      <c r="O462" s="21">
        <f t="shared" si="74"/>
        <v>1</v>
      </c>
      <c r="P462" s="2805" t="e">
        <f>#REF!</f>
        <v>#REF!</v>
      </c>
      <c r="Q462" s="21">
        <f t="shared" si="75"/>
        <v>1</v>
      </c>
      <c r="R462" s="661">
        <f t="shared" si="76"/>
        <v>0</v>
      </c>
      <c r="S462" s="315">
        <f t="shared" si="77"/>
        <v>0</v>
      </c>
    </row>
    <row r="463" spans="1:19">
      <c r="A463" s="663"/>
      <c r="B463" s="663"/>
      <c r="C463" s="21"/>
      <c r="D463" s="2805"/>
      <c r="E463" s="21">
        <f t="shared" si="69"/>
        <v>1</v>
      </c>
      <c r="F463" s="2805" t="e">
        <f>#REF!</f>
        <v>#REF!</v>
      </c>
      <c r="G463" s="21">
        <f t="shared" si="70"/>
        <v>1</v>
      </c>
      <c r="H463" s="665"/>
      <c r="I463" s="21">
        <f t="shared" si="71"/>
        <v>1</v>
      </c>
      <c r="J463" s="665"/>
      <c r="K463" s="21">
        <f t="shared" si="72"/>
        <v>1</v>
      </c>
      <c r="L463" s="665"/>
      <c r="M463" s="21">
        <f t="shared" si="73"/>
        <v>1</v>
      </c>
      <c r="N463" s="665"/>
      <c r="O463" s="21">
        <f t="shared" si="74"/>
        <v>1</v>
      </c>
      <c r="P463" s="2805" t="e">
        <f>#REF!</f>
        <v>#REF!</v>
      </c>
      <c r="Q463" s="21">
        <f t="shared" si="75"/>
        <v>1</v>
      </c>
      <c r="R463" s="661">
        <f t="shared" si="76"/>
        <v>0</v>
      </c>
      <c r="S463" s="315">
        <f t="shared" si="77"/>
        <v>0</v>
      </c>
    </row>
    <row r="464" spans="1:19">
      <c r="A464" s="663"/>
      <c r="B464" s="663"/>
      <c r="C464" s="21"/>
      <c r="D464" s="2805"/>
      <c r="E464" s="21">
        <f t="shared" si="69"/>
        <v>1</v>
      </c>
      <c r="F464" s="2805" t="e">
        <f>#REF!</f>
        <v>#REF!</v>
      </c>
      <c r="G464" s="21">
        <f t="shared" si="70"/>
        <v>1</v>
      </c>
      <c r="H464" s="665"/>
      <c r="I464" s="21">
        <f t="shared" si="71"/>
        <v>1</v>
      </c>
      <c r="J464" s="665"/>
      <c r="K464" s="21">
        <f t="shared" si="72"/>
        <v>1</v>
      </c>
      <c r="L464" s="665"/>
      <c r="M464" s="21">
        <f t="shared" si="73"/>
        <v>1</v>
      </c>
      <c r="N464" s="665"/>
      <c r="O464" s="21">
        <f t="shared" si="74"/>
        <v>1</v>
      </c>
      <c r="P464" s="2805" t="e">
        <f>#REF!</f>
        <v>#REF!</v>
      </c>
      <c r="Q464" s="21">
        <f t="shared" si="75"/>
        <v>1</v>
      </c>
      <c r="R464" s="661">
        <f t="shared" si="76"/>
        <v>0</v>
      </c>
      <c r="S464" s="315">
        <f t="shared" si="77"/>
        <v>0</v>
      </c>
    </row>
    <row r="465" spans="1:19">
      <c r="A465" s="663"/>
      <c r="B465" s="663"/>
      <c r="C465" s="21"/>
      <c r="D465" s="2805"/>
      <c r="E465" s="21">
        <f t="shared" si="69"/>
        <v>1</v>
      </c>
      <c r="F465" s="2805" t="e">
        <f>#REF!</f>
        <v>#REF!</v>
      </c>
      <c r="G465" s="21">
        <f t="shared" si="70"/>
        <v>1</v>
      </c>
      <c r="H465" s="665"/>
      <c r="I465" s="21">
        <f t="shared" si="71"/>
        <v>1</v>
      </c>
      <c r="J465" s="665"/>
      <c r="K465" s="21">
        <f t="shared" si="72"/>
        <v>1</v>
      </c>
      <c r="L465" s="665"/>
      <c r="M465" s="21">
        <f t="shared" si="73"/>
        <v>1</v>
      </c>
      <c r="N465" s="665"/>
      <c r="O465" s="21">
        <f t="shared" si="74"/>
        <v>1</v>
      </c>
      <c r="P465" s="2805" t="e">
        <f>#REF!</f>
        <v>#REF!</v>
      </c>
      <c r="Q465" s="21">
        <f t="shared" si="75"/>
        <v>1</v>
      </c>
      <c r="R465" s="661">
        <f t="shared" si="76"/>
        <v>0</v>
      </c>
      <c r="S465" s="315">
        <f t="shared" si="77"/>
        <v>0</v>
      </c>
    </row>
    <row r="466" spans="1:19">
      <c r="A466" s="663"/>
      <c r="B466" s="663"/>
      <c r="C466" s="21"/>
      <c r="D466" s="2805"/>
      <c r="E466" s="21">
        <f t="shared" si="69"/>
        <v>1</v>
      </c>
      <c r="F466" s="2805" t="e">
        <f>#REF!</f>
        <v>#REF!</v>
      </c>
      <c r="G466" s="21">
        <f t="shared" si="70"/>
        <v>1</v>
      </c>
      <c r="H466" s="665"/>
      <c r="I466" s="21">
        <f t="shared" si="71"/>
        <v>1</v>
      </c>
      <c r="J466" s="665"/>
      <c r="K466" s="21">
        <f t="shared" si="72"/>
        <v>1</v>
      </c>
      <c r="L466" s="665"/>
      <c r="M466" s="21">
        <f t="shared" si="73"/>
        <v>1</v>
      </c>
      <c r="N466" s="665"/>
      <c r="O466" s="21">
        <f t="shared" si="74"/>
        <v>1</v>
      </c>
      <c r="P466" s="2805" t="e">
        <f>#REF!</f>
        <v>#REF!</v>
      </c>
      <c r="Q466" s="21">
        <f t="shared" si="75"/>
        <v>1</v>
      </c>
      <c r="R466" s="661">
        <f t="shared" si="76"/>
        <v>0</v>
      </c>
      <c r="S466" s="315">
        <f t="shared" si="77"/>
        <v>0</v>
      </c>
    </row>
    <row r="467" spans="1:19">
      <c r="A467" s="663"/>
      <c r="B467" s="663"/>
      <c r="C467" s="21"/>
      <c r="D467" s="2805"/>
      <c r="E467" s="21">
        <f t="shared" si="69"/>
        <v>1</v>
      </c>
      <c r="F467" s="2805" t="e">
        <f>#REF!</f>
        <v>#REF!</v>
      </c>
      <c r="G467" s="21">
        <f t="shared" si="70"/>
        <v>1</v>
      </c>
      <c r="H467" s="665"/>
      <c r="I467" s="21">
        <f t="shared" si="71"/>
        <v>1</v>
      </c>
      <c r="J467" s="665"/>
      <c r="K467" s="21">
        <f t="shared" si="72"/>
        <v>1</v>
      </c>
      <c r="L467" s="665"/>
      <c r="M467" s="21">
        <f t="shared" si="73"/>
        <v>1</v>
      </c>
      <c r="N467" s="665"/>
      <c r="O467" s="21">
        <f t="shared" si="74"/>
        <v>1</v>
      </c>
      <c r="P467" s="2805" t="e">
        <f>#REF!</f>
        <v>#REF!</v>
      </c>
      <c r="Q467" s="21">
        <f t="shared" si="75"/>
        <v>1</v>
      </c>
      <c r="R467" s="661">
        <f t="shared" si="76"/>
        <v>0</v>
      </c>
      <c r="S467" s="315">
        <f t="shared" si="77"/>
        <v>0</v>
      </c>
    </row>
    <row r="468" spans="1:19">
      <c r="A468" s="663"/>
      <c r="B468" s="663"/>
      <c r="C468" s="21"/>
      <c r="D468" s="2805"/>
      <c r="E468" s="21">
        <f t="shared" si="69"/>
        <v>1</v>
      </c>
      <c r="F468" s="2805" t="e">
        <f>#REF!</f>
        <v>#REF!</v>
      </c>
      <c r="G468" s="21">
        <f t="shared" si="70"/>
        <v>1</v>
      </c>
      <c r="H468" s="665"/>
      <c r="I468" s="21">
        <f t="shared" si="71"/>
        <v>1</v>
      </c>
      <c r="J468" s="665"/>
      <c r="K468" s="21">
        <f t="shared" si="72"/>
        <v>1</v>
      </c>
      <c r="L468" s="665"/>
      <c r="M468" s="21">
        <f t="shared" si="73"/>
        <v>1</v>
      </c>
      <c r="N468" s="665"/>
      <c r="O468" s="21">
        <f t="shared" si="74"/>
        <v>1</v>
      </c>
      <c r="P468" s="2805" t="e">
        <f>#REF!</f>
        <v>#REF!</v>
      </c>
      <c r="Q468" s="21">
        <f t="shared" si="75"/>
        <v>1</v>
      </c>
      <c r="R468" s="661">
        <f t="shared" si="76"/>
        <v>0</v>
      </c>
      <c r="S468" s="315">
        <f t="shared" ref="S468:S497" si="78">ROUND(R468*B468/10000,0)</f>
        <v>0</v>
      </c>
    </row>
    <row r="469" spans="1:19">
      <c r="A469" s="663"/>
      <c r="B469" s="663"/>
      <c r="C469" s="21"/>
      <c r="D469" s="2805"/>
      <c r="E469" s="21">
        <f t="shared" si="69"/>
        <v>1</v>
      </c>
      <c r="F469" s="2805" t="e">
        <f>#REF!</f>
        <v>#REF!</v>
      </c>
      <c r="G469" s="21">
        <f t="shared" si="70"/>
        <v>1</v>
      </c>
      <c r="H469" s="665"/>
      <c r="I469" s="21">
        <f t="shared" si="71"/>
        <v>1</v>
      </c>
      <c r="J469" s="665"/>
      <c r="K469" s="21">
        <f t="shared" si="72"/>
        <v>1</v>
      </c>
      <c r="L469" s="665"/>
      <c r="M469" s="21">
        <f t="shared" si="73"/>
        <v>1</v>
      </c>
      <c r="N469" s="665"/>
      <c r="O469" s="21">
        <f t="shared" si="74"/>
        <v>1</v>
      </c>
      <c r="P469" s="2805" t="e">
        <f>#REF!</f>
        <v>#REF!</v>
      </c>
      <c r="Q469" s="21">
        <f t="shared" si="75"/>
        <v>1</v>
      </c>
      <c r="R469" s="661">
        <f t="shared" si="76"/>
        <v>0</v>
      </c>
      <c r="S469" s="315">
        <f t="shared" si="78"/>
        <v>0</v>
      </c>
    </row>
    <row r="470" spans="1:19">
      <c r="A470" s="663"/>
      <c r="B470" s="663"/>
      <c r="C470" s="21"/>
      <c r="D470" s="2805"/>
      <c r="E470" s="21">
        <f t="shared" si="69"/>
        <v>1</v>
      </c>
      <c r="F470" s="2805" t="e">
        <f>#REF!</f>
        <v>#REF!</v>
      </c>
      <c r="G470" s="21">
        <f t="shared" si="70"/>
        <v>1</v>
      </c>
      <c r="H470" s="665"/>
      <c r="I470" s="21">
        <f t="shared" si="71"/>
        <v>1</v>
      </c>
      <c r="J470" s="665"/>
      <c r="K470" s="21">
        <f t="shared" si="72"/>
        <v>1</v>
      </c>
      <c r="L470" s="665"/>
      <c r="M470" s="21">
        <f t="shared" si="73"/>
        <v>1</v>
      </c>
      <c r="N470" s="665"/>
      <c r="O470" s="21">
        <f t="shared" si="74"/>
        <v>1</v>
      </c>
      <c r="P470" s="2805" t="e">
        <f>#REF!</f>
        <v>#REF!</v>
      </c>
      <c r="Q470" s="21">
        <f t="shared" si="75"/>
        <v>1</v>
      </c>
      <c r="R470" s="661">
        <f t="shared" si="76"/>
        <v>0</v>
      </c>
      <c r="S470" s="315">
        <f t="shared" si="78"/>
        <v>0</v>
      </c>
    </row>
    <row r="471" spans="1:19">
      <c r="A471" s="663"/>
      <c r="B471" s="663"/>
      <c r="C471" s="21"/>
      <c r="D471" s="2805"/>
      <c r="E471" s="21">
        <f t="shared" si="69"/>
        <v>1</v>
      </c>
      <c r="F471" s="2805" t="e">
        <f>#REF!</f>
        <v>#REF!</v>
      </c>
      <c r="G471" s="21">
        <f t="shared" si="70"/>
        <v>1</v>
      </c>
      <c r="H471" s="665"/>
      <c r="I471" s="21">
        <f t="shared" si="71"/>
        <v>1</v>
      </c>
      <c r="J471" s="665"/>
      <c r="K471" s="21">
        <f t="shared" si="72"/>
        <v>1</v>
      </c>
      <c r="L471" s="665"/>
      <c r="M471" s="21">
        <f t="shared" si="73"/>
        <v>1</v>
      </c>
      <c r="N471" s="665"/>
      <c r="O471" s="21">
        <f t="shared" si="74"/>
        <v>1</v>
      </c>
      <c r="P471" s="2805" t="e">
        <f>#REF!</f>
        <v>#REF!</v>
      </c>
      <c r="Q471" s="21">
        <f t="shared" si="75"/>
        <v>1</v>
      </c>
      <c r="R471" s="661">
        <f t="shared" si="76"/>
        <v>0</v>
      </c>
      <c r="S471" s="315">
        <f t="shared" si="78"/>
        <v>0</v>
      </c>
    </row>
    <row r="472" spans="1:19">
      <c r="A472" s="663"/>
      <c r="B472" s="663"/>
      <c r="C472" s="21"/>
      <c r="D472" s="2805"/>
      <c r="E472" s="21">
        <f t="shared" si="69"/>
        <v>1</v>
      </c>
      <c r="F472" s="2805" t="e">
        <f>#REF!</f>
        <v>#REF!</v>
      </c>
      <c r="G472" s="21">
        <f t="shared" si="70"/>
        <v>1</v>
      </c>
      <c r="H472" s="665"/>
      <c r="I472" s="21">
        <f t="shared" si="71"/>
        <v>1</v>
      </c>
      <c r="J472" s="665"/>
      <c r="K472" s="21">
        <f t="shared" si="72"/>
        <v>1</v>
      </c>
      <c r="L472" s="665"/>
      <c r="M472" s="21">
        <f t="shared" si="73"/>
        <v>1</v>
      </c>
      <c r="N472" s="665"/>
      <c r="O472" s="21">
        <f t="shared" si="74"/>
        <v>1</v>
      </c>
      <c r="P472" s="2805" t="e">
        <f>#REF!</f>
        <v>#REF!</v>
      </c>
      <c r="Q472" s="21">
        <f t="shared" si="75"/>
        <v>1</v>
      </c>
      <c r="R472" s="661">
        <f t="shared" si="76"/>
        <v>0</v>
      </c>
      <c r="S472" s="315">
        <f t="shared" si="78"/>
        <v>0</v>
      </c>
    </row>
    <row r="473" spans="1:19">
      <c r="A473" s="663"/>
      <c r="B473" s="663"/>
      <c r="C473" s="21"/>
      <c r="D473" s="2805"/>
      <c r="E473" s="21">
        <f t="shared" si="69"/>
        <v>1</v>
      </c>
      <c r="F473" s="2805" t="e">
        <f>#REF!</f>
        <v>#REF!</v>
      </c>
      <c r="G473" s="21">
        <f t="shared" si="70"/>
        <v>1</v>
      </c>
      <c r="H473" s="665"/>
      <c r="I473" s="21">
        <f t="shared" si="71"/>
        <v>1</v>
      </c>
      <c r="J473" s="665"/>
      <c r="K473" s="21">
        <f t="shared" si="72"/>
        <v>1</v>
      </c>
      <c r="L473" s="665"/>
      <c r="M473" s="21">
        <f t="shared" si="73"/>
        <v>1</v>
      </c>
      <c r="N473" s="665"/>
      <c r="O473" s="21">
        <f t="shared" si="74"/>
        <v>1</v>
      </c>
      <c r="P473" s="2805" t="e">
        <f>#REF!</f>
        <v>#REF!</v>
      </c>
      <c r="Q473" s="21">
        <f t="shared" si="75"/>
        <v>1</v>
      </c>
      <c r="R473" s="661">
        <f t="shared" si="76"/>
        <v>0</v>
      </c>
      <c r="S473" s="315">
        <f t="shared" si="78"/>
        <v>0</v>
      </c>
    </row>
    <row r="474" spans="1:19">
      <c r="A474" s="663"/>
      <c r="B474" s="663"/>
      <c r="C474" s="21"/>
      <c r="D474" s="2805"/>
      <c r="E474" s="21">
        <f t="shared" ref="E474:E524" si="79">(SUMIF($5:$5,D474,$6:$6)-SUMIF($5:$5,$D$24,$6:$6)+100)/100</f>
        <v>1</v>
      </c>
      <c r="F474" s="2805"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5"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5"/>
      <c r="E475" s="21">
        <f t="shared" si="79"/>
        <v>1</v>
      </c>
      <c r="F475" s="2805" t="e">
        <f>#REF!</f>
        <v>#REF!</v>
      </c>
      <c r="G475" s="21">
        <f t="shared" si="80"/>
        <v>1</v>
      </c>
      <c r="H475" s="665"/>
      <c r="I475" s="21">
        <f t="shared" si="81"/>
        <v>1</v>
      </c>
      <c r="J475" s="665"/>
      <c r="K475" s="21">
        <f t="shared" si="82"/>
        <v>1</v>
      </c>
      <c r="L475" s="665"/>
      <c r="M475" s="21">
        <f t="shared" si="83"/>
        <v>1</v>
      </c>
      <c r="N475" s="665"/>
      <c r="O475" s="21">
        <f t="shared" si="84"/>
        <v>1</v>
      </c>
      <c r="P475" s="2805" t="e">
        <f>#REF!</f>
        <v>#REF!</v>
      </c>
      <c r="Q475" s="21">
        <f t="shared" si="85"/>
        <v>1</v>
      </c>
      <c r="R475" s="661">
        <f t="shared" si="86"/>
        <v>0</v>
      </c>
      <c r="S475" s="315">
        <f t="shared" si="78"/>
        <v>0</v>
      </c>
    </row>
    <row r="476" spans="1:19">
      <c r="A476" s="663"/>
      <c r="B476" s="663"/>
      <c r="C476" s="21"/>
      <c r="D476" s="2805"/>
      <c r="E476" s="21">
        <f t="shared" si="79"/>
        <v>1</v>
      </c>
      <c r="F476" s="2805" t="e">
        <f>#REF!</f>
        <v>#REF!</v>
      </c>
      <c r="G476" s="21">
        <f t="shared" si="80"/>
        <v>1</v>
      </c>
      <c r="H476" s="665"/>
      <c r="I476" s="21">
        <f t="shared" si="81"/>
        <v>1</v>
      </c>
      <c r="J476" s="665"/>
      <c r="K476" s="21">
        <f t="shared" si="82"/>
        <v>1</v>
      </c>
      <c r="L476" s="665"/>
      <c r="M476" s="21">
        <f t="shared" si="83"/>
        <v>1</v>
      </c>
      <c r="N476" s="665"/>
      <c r="O476" s="21">
        <f t="shared" si="84"/>
        <v>1</v>
      </c>
      <c r="P476" s="2805" t="e">
        <f>#REF!</f>
        <v>#REF!</v>
      </c>
      <c r="Q476" s="21">
        <f t="shared" si="85"/>
        <v>1</v>
      </c>
      <c r="R476" s="661">
        <f t="shared" si="86"/>
        <v>0</v>
      </c>
      <c r="S476" s="315">
        <f t="shared" si="78"/>
        <v>0</v>
      </c>
    </row>
    <row r="477" spans="1:19">
      <c r="A477" s="663"/>
      <c r="B477" s="663"/>
      <c r="C477" s="21"/>
      <c r="D477" s="2805"/>
      <c r="E477" s="21">
        <f t="shared" si="79"/>
        <v>1</v>
      </c>
      <c r="F477" s="2805" t="e">
        <f>#REF!</f>
        <v>#REF!</v>
      </c>
      <c r="G477" s="21">
        <f t="shared" si="80"/>
        <v>1</v>
      </c>
      <c r="H477" s="665"/>
      <c r="I477" s="21">
        <f t="shared" si="81"/>
        <v>1</v>
      </c>
      <c r="J477" s="665"/>
      <c r="K477" s="21">
        <f t="shared" si="82"/>
        <v>1</v>
      </c>
      <c r="L477" s="665"/>
      <c r="M477" s="21">
        <f t="shared" si="83"/>
        <v>1</v>
      </c>
      <c r="N477" s="665"/>
      <c r="O477" s="21">
        <f t="shared" si="84"/>
        <v>1</v>
      </c>
      <c r="P477" s="2805" t="e">
        <f>#REF!</f>
        <v>#REF!</v>
      </c>
      <c r="Q477" s="21">
        <f t="shared" si="85"/>
        <v>1</v>
      </c>
      <c r="R477" s="661">
        <f t="shared" si="86"/>
        <v>0</v>
      </c>
      <c r="S477" s="315">
        <f t="shared" si="78"/>
        <v>0</v>
      </c>
    </row>
    <row r="478" spans="1:19">
      <c r="A478" s="663"/>
      <c r="B478" s="663"/>
      <c r="C478" s="21"/>
      <c r="D478" s="2805"/>
      <c r="E478" s="21">
        <f t="shared" si="79"/>
        <v>1</v>
      </c>
      <c r="F478" s="2805" t="e">
        <f>#REF!</f>
        <v>#REF!</v>
      </c>
      <c r="G478" s="21">
        <f t="shared" si="80"/>
        <v>1</v>
      </c>
      <c r="H478" s="665"/>
      <c r="I478" s="21">
        <f t="shared" si="81"/>
        <v>1</v>
      </c>
      <c r="J478" s="665"/>
      <c r="K478" s="21">
        <f t="shared" si="82"/>
        <v>1</v>
      </c>
      <c r="L478" s="665"/>
      <c r="M478" s="21">
        <f t="shared" si="83"/>
        <v>1</v>
      </c>
      <c r="N478" s="665"/>
      <c r="O478" s="21">
        <f t="shared" si="84"/>
        <v>1</v>
      </c>
      <c r="P478" s="2805" t="e">
        <f>#REF!</f>
        <v>#REF!</v>
      </c>
      <c r="Q478" s="21">
        <f t="shared" si="85"/>
        <v>1</v>
      </c>
      <c r="R478" s="661">
        <f t="shared" si="86"/>
        <v>0</v>
      </c>
      <c r="S478" s="315">
        <f t="shared" si="78"/>
        <v>0</v>
      </c>
    </row>
    <row r="479" spans="1:19">
      <c r="A479" s="663"/>
      <c r="B479" s="663"/>
      <c r="C479" s="21"/>
      <c r="D479" s="2805"/>
      <c r="E479" s="21">
        <f t="shared" si="79"/>
        <v>1</v>
      </c>
      <c r="F479" s="2805" t="e">
        <f>#REF!</f>
        <v>#REF!</v>
      </c>
      <c r="G479" s="21">
        <f t="shared" si="80"/>
        <v>1</v>
      </c>
      <c r="H479" s="665"/>
      <c r="I479" s="21">
        <f t="shared" si="81"/>
        <v>1</v>
      </c>
      <c r="J479" s="665"/>
      <c r="K479" s="21">
        <f t="shared" si="82"/>
        <v>1</v>
      </c>
      <c r="L479" s="665"/>
      <c r="M479" s="21">
        <f t="shared" si="83"/>
        <v>1</v>
      </c>
      <c r="N479" s="665"/>
      <c r="O479" s="21">
        <f t="shared" si="84"/>
        <v>1</v>
      </c>
      <c r="P479" s="2805" t="e">
        <f>#REF!</f>
        <v>#REF!</v>
      </c>
      <c r="Q479" s="21">
        <f t="shared" si="85"/>
        <v>1</v>
      </c>
      <c r="R479" s="661">
        <f t="shared" si="86"/>
        <v>0</v>
      </c>
      <c r="S479" s="315">
        <f t="shared" si="78"/>
        <v>0</v>
      </c>
    </row>
    <row r="480" spans="1:19">
      <c r="A480" s="663"/>
      <c r="B480" s="663"/>
      <c r="C480" s="21"/>
      <c r="D480" s="2805"/>
      <c r="E480" s="21">
        <f t="shared" si="79"/>
        <v>1</v>
      </c>
      <c r="F480" s="2805" t="e">
        <f>#REF!</f>
        <v>#REF!</v>
      </c>
      <c r="G480" s="21">
        <f t="shared" si="80"/>
        <v>1</v>
      </c>
      <c r="H480" s="665"/>
      <c r="I480" s="21">
        <f t="shared" si="81"/>
        <v>1</v>
      </c>
      <c r="J480" s="665"/>
      <c r="K480" s="21">
        <f t="shared" si="82"/>
        <v>1</v>
      </c>
      <c r="L480" s="665"/>
      <c r="M480" s="21">
        <f t="shared" si="83"/>
        <v>1</v>
      </c>
      <c r="N480" s="665"/>
      <c r="O480" s="21">
        <f t="shared" si="84"/>
        <v>1</v>
      </c>
      <c r="P480" s="2805" t="e">
        <f>#REF!</f>
        <v>#REF!</v>
      </c>
      <c r="Q480" s="21">
        <f t="shared" si="85"/>
        <v>1</v>
      </c>
      <c r="R480" s="661">
        <f t="shared" si="86"/>
        <v>0</v>
      </c>
      <c r="S480" s="315">
        <f t="shared" si="78"/>
        <v>0</v>
      </c>
    </row>
    <row r="481" spans="1:19">
      <c r="A481" s="663"/>
      <c r="B481" s="663"/>
      <c r="C481" s="21"/>
      <c r="D481" s="2805"/>
      <c r="E481" s="21">
        <f t="shared" si="79"/>
        <v>1</v>
      </c>
      <c r="F481" s="2805" t="e">
        <f>#REF!</f>
        <v>#REF!</v>
      </c>
      <c r="G481" s="21">
        <f t="shared" si="80"/>
        <v>1</v>
      </c>
      <c r="H481" s="665"/>
      <c r="I481" s="21">
        <f t="shared" si="81"/>
        <v>1</v>
      </c>
      <c r="J481" s="665"/>
      <c r="K481" s="21">
        <f t="shared" si="82"/>
        <v>1</v>
      </c>
      <c r="L481" s="665"/>
      <c r="M481" s="21">
        <f t="shared" si="83"/>
        <v>1</v>
      </c>
      <c r="N481" s="665"/>
      <c r="O481" s="21">
        <f t="shared" si="84"/>
        <v>1</v>
      </c>
      <c r="P481" s="2805" t="e">
        <f>#REF!</f>
        <v>#REF!</v>
      </c>
      <c r="Q481" s="21">
        <f t="shared" si="85"/>
        <v>1</v>
      </c>
      <c r="R481" s="661">
        <f t="shared" si="86"/>
        <v>0</v>
      </c>
      <c r="S481" s="315">
        <f t="shared" si="78"/>
        <v>0</v>
      </c>
    </row>
    <row r="482" spans="1:19">
      <c r="A482" s="663"/>
      <c r="B482" s="663"/>
      <c r="C482" s="21"/>
      <c r="D482" s="2805"/>
      <c r="E482" s="21">
        <f t="shared" si="79"/>
        <v>1</v>
      </c>
      <c r="F482" s="2805" t="e">
        <f>#REF!</f>
        <v>#REF!</v>
      </c>
      <c r="G482" s="21">
        <f t="shared" si="80"/>
        <v>1</v>
      </c>
      <c r="H482" s="665"/>
      <c r="I482" s="21">
        <f t="shared" si="81"/>
        <v>1</v>
      </c>
      <c r="J482" s="665"/>
      <c r="K482" s="21">
        <f t="shared" si="82"/>
        <v>1</v>
      </c>
      <c r="L482" s="665"/>
      <c r="M482" s="21">
        <f t="shared" si="83"/>
        <v>1</v>
      </c>
      <c r="N482" s="665"/>
      <c r="O482" s="21">
        <f t="shared" si="84"/>
        <v>1</v>
      </c>
      <c r="P482" s="2805" t="e">
        <f>#REF!</f>
        <v>#REF!</v>
      </c>
      <c r="Q482" s="21">
        <f t="shared" si="85"/>
        <v>1</v>
      </c>
      <c r="R482" s="661">
        <f t="shared" si="86"/>
        <v>0</v>
      </c>
      <c r="S482" s="315">
        <f t="shared" si="78"/>
        <v>0</v>
      </c>
    </row>
    <row r="483" spans="1:19">
      <c r="A483" s="663"/>
      <c r="B483" s="663"/>
      <c r="C483" s="21"/>
      <c r="D483" s="2805"/>
      <c r="E483" s="21">
        <f t="shared" si="79"/>
        <v>1</v>
      </c>
      <c r="F483" s="2805" t="e">
        <f>#REF!</f>
        <v>#REF!</v>
      </c>
      <c r="G483" s="21">
        <f t="shared" si="80"/>
        <v>1</v>
      </c>
      <c r="H483" s="665"/>
      <c r="I483" s="21">
        <f t="shared" si="81"/>
        <v>1</v>
      </c>
      <c r="J483" s="665"/>
      <c r="K483" s="21">
        <f t="shared" si="82"/>
        <v>1</v>
      </c>
      <c r="L483" s="665"/>
      <c r="M483" s="21">
        <f t="shared" si="83"/>
        <v>1</v>
      </c>
      <c r="N483" s="665"/>
      <c r="O483" s="21">
        <f t="shared" si="84"/>
        <v>1</v>
      </c>
      <c r="P483" s="2805" t="e">
        <f>#REF!</f>
        <v>#REF!</v>
      </c>
      <c r="Q483" s="21">
        <f t="shared" si="85"/>
        <v>1</v>
      </c>
      <c r="R483" s="661">
        <f t="shared" si="86"/>
        <v>0</v>
      </c>
      <c r="S483" s="315">
        <f t="shared" si="78"/>
        <v>0</v>
      </c>
    </row>
    <row r="484" spans="1:19">
      <c r="A484" s="663"/>
      <c r="B484" s="663"/>
      <c r="C484" s="21"/>
      <c r="D484" s="2805"/>
      <c r="E484" s="21">
        <f t="shared" si="79"/>
        <v>1</v>
      </c>
      <c r="F484" s="2805" t="e">
        <f>#REF!</f>
        <v>#REF!</v>
      </c>
      <c r="G484" s="21">
        <f t="shared" si="80"/>
        <v>1</v>
      </c>
      <c r="H484" s="665"/>
      <c r="I484" s="21">
        <f t="shared" si="81"/>
        <v>1</v>
      </c>
      <c r="J484" s="665"/>
      <c r="K484" s="21">
        <f t="shared" si="82"/>
        <v>1</v>
      </c>
      <c r="L484" s="665"/>
      <c r="M484" s="21">
        <f t="shared" si="83"/>
        <v>1</v>
      </c>
      <c r="N484" s="665"/>
      <c r="O484" s="21">
        <f t="shared" si="84"/>
        <v>1</v>
      </c>
      <c r="P484" s="2805" t="e">
        <f>#REF!</f>
        <v>#REF!</v>
      </c>
      <c r="Q484" s="21">
        <f t="shared" si="85"/>
        <v>1</v>
      </c>
      <c r="R484" s="661">
        <f t="shared" si="86"/>
        <v>0</v>
      </c>
      <c r="S484" s="315">
        <f t="shared" si="78"/>
        <v>0</v>
      </c>
    </row>
    <row r="485" spans="1:19">
      <c r="A485" s="663"/>
      <c r="B485" s="663"/>
      <c r="C485" s="21"/>
      <c r="D485" s="2805"/>
      <c r="E485" s="21">
        <f t="shared" si="79"/>
        <v>1</v>
      </c>
      <c r="F485" s="2805" t="e">
        <f>#REF!</f>
        <v>#REF!</v>
      </c>
      <c r="G485" s="21">
        <f t="shared" si="80"/>
        <v>1</v>
      </c>
      <c r="H485" s="665"/>
      <c r="I485" s="21">
        <f t="shared" si="81"/>
        <v>1</v>
      </c>
      <c r="J485" s="665"/>
      <c r="K485" s="21">
        <f t="shared" si="82"/>
        <v>1</v>
      </c>
      <c r="L485" s="665"/>
      <c r="M485" s="21">
        <f t="shared" si="83"/>
        <v>1</v>
      </c>
      <c r="N485" s="665"/>
      <c r="O485" s="21">
        <f t="shared" si="84"/>
        <v>1</v>
      </c>
      <c r="P485" s="2805" t="e">
        <f>#REF!</f>
        <v>#REF!</v>
      </c>
      <c r="Q485" s="21">
        <f t="shared" si="85"/>
        <v>1</v>
      </c>
      <c r="R485" s="661">
        <f t="shared" si="86"/>
        <v>0</v>
      </c>
      <c r="S485" s="315">
        <f t="shared" si="78"/>
        <v>0</v>
      </c>
    </row>
    <row r="486" spans="1:19">
      <c r="A486" s="663"/>
      <c r="B486" s="663"/>
      <c r="C486" s="21"/>
      <c r="D486" s="2805"/>
      <c r="E486" s="21">
        <f t="shared" si="79"/>
        <v>1</v>
      </c>
      <c r="F486" s="2805" t="e">
        <f>#REF!</f>
        <v>#REF!</v>
      </c>
      <c r="G486" s="21">
        <f t="shared" si="80"/>
        <v>1</v>
      </c>
      <c r="H486" s="665"/>
      <c r="I486" s="21">
        <f t="shared" si="81"/>
        <v>1</v>
      </c>
      <c r="J486" s="665"/>
      <c r="K486" s="21">
        <f t="shared" si="82"/>
        <v>1</v>
      </c>
      <c r="L486" s="665"/>
      <c r="M486" s="21">
        <f t="shared" si="83"/>
        <v>1</v>
      </c>
      <c r="N486" s="665"/>
      <c r="O486" s="21">
        <f t="shared" si="84"/>
        <v>1</v>
      </c>
      <c r="P486" s="2805" t="e">
        <f>#REF!</f>
        <v>#REF!</v>
      </c>
      <c r="Q486" s="21">
        <f t="shared" si="85"/>
        <v>1</v>
      </c>
      <c r="R486" s="661">
        <f t="shared" si="86"/>
        <v>0</v>
      </c>
      <c r="S486" s="315">
        <f t="shared" si="78"/>
        <v>0</v>
      </c>
    </row>
    <row r="487" spans="1:19">
      <c r="A487" s="663"/>
      <c r="B487" s="663"/>
      <c r="C487" s="21"/>
      <c r="D487" s="2805"/>
      <c r="E487" s="21">
        <f t="shared" si="79"/>
        <v>1</v>
      </c>
      <c r="F487" s="2805" t="e">
        <f>#REF!</f>
        <v>#REF!</v>
      </c>
      <c r="G487" s="21">
        <f t="shared" si="80"/>
        <v>1</v>
      </c>
      <c r="H487" s="665"/>
      <c r="I487" s="21">
        <f t="shared" si="81"/>
        <v>1</v>
      </c>
      <c r="J487" s="665"/>
      <c r="K487" s="21">
        <f t="shared" si="82"/>
        <v>1</v>
      </c>
      <c r="L487" s="665"/>
      <c r="M487" s="21">
        <f t="shared" si="83"/>
        <v>1</v>
      </c>
      <c r="N487" s="665"/>
      <c r="O487" s="21">
        <f t="shared" si="84"/>
        <v>1</v>
      </c>
      <c r="P487" s="2805" t="e">
        <f>#REF!</f>
        <v>#REF!</v>
      </c>
      <c r="Q487" s="21">
        <f t="shared" si="85"/>
        <v>1</v>
      </c>
      <c r="R487" s="661">
        <f t="shared" si="86"/>
        <v>0</v>
      </c>
      <c r="S487" s="315">
        <f t="shared" si="78"/>
        <v>0</v>
      </c>
    </row>
    <row r="488" spans="1:19">
      <c r="A488" s="663"/>
      <c r="B488" s="663"/>
      <c r="C488" s="21"/>
      <c r="D488" s="2805"/>
      <c r="E488" s="21">
        <f t="shared" si="79"/>
        <v>1</v>
      </c>
      <c r="F488" s="2805" t="e">
        <f>#REF!</f>
        <v>#REF!</v>
      </c>
      <c r="G488" s="21">
        <f t="shared" si="80"/>
        <v>1</v>
      </c>
      <c r="H488" s="665"/>
      <c r="I488" s="21">
        <f t="shared" si="81"/>
        <v>1</v>
      </c>
      <c r="J488" s="665"/>
      <c r="K488" s="21">
        <f t="shared" si="82"/>
        <v>1</v>
      </c>
      <c r="L488" s="665"/>
      <c r="M488" s="21">
        <f t="shared" si="83"/>
        <v>1</v>
      </c>
      <c r="N488" s="665"/>
      <c r="O488" s="21">
        <f t="shared" si="84"/>
        <v>1</v>
      </c>
      <c r="P488" s="2805" t="e">
        <f>#REF!</f>
        <v>#REF!</v>
      </c>
      <c r="Q488" s="21">
        <f t="shared" si="85"/>
        <v>1</v>
      </c>
      <c r="R488" s="661">
        <f t="shared" si="86"/>
        <v>0</v>
      </c>
      <c r="S488" s="315">
        <f t="shared" si="78"/>
        <v>0</v>
      </c>
    </row>
    <row r="489" spans="1:19">
      <c r="A489" s="663"/>
      <c r="B489" s="663"/>
      <c r="C489" s="21"/>
      <c r="D489" s="2805"/>
      <c r="E489" s="21">
        <f t="shared" si="79"/>
        <v>1</v>
      </c>
      <c r="F489" s="2805" t="e">
        <f>#REF!</f>
        <v>#REF!</v>
      </c>
      <c r="G489" s="21">
        <f t="shared" si="80"/>
        <v>1</v>
      </c>
      <c r="H489" s="665"/>
      <c r="I489" s="21">
        <f t="shared" si="81"/>
        <v>1</v>
      </c>
      <c r="J489" s="665"/>
      <c r="K489" s="21">
        <f t="shared" si="82"/>
        <v>1</v>
      </c>
      <c r="L489" s="665"/>
      <c r="M489" s="21">
        <f t="shared" si="83"/>
        <v>1</v>
      </c>
      <c r="N489" s="665"/>
      <c r="O489" s="21">
        <f t="shared" si="84"/>
        <v>1</v>
      </c>
      <c r="P489" s="2805" t="e">
        <f>#REF!</f>
        <v>#REF!</v>
      </c>
      <c r="Q489" s="21">
        <f t="shared" si="85"/>
        <v>1</v>
      </c>
      <c r="R489" s="661">
        <f t="shared" si="86"/>
        <v>0</v>
      </c>
      <c r="S489" s="315">
        <f t="shared" si="78"/>
        <v>0</v>
      </c>
    </row>
    <row r="490" spans="1:19">
      <c r="A490" s="663"/>
      <c r="B490" s="663"/>
      <c r="C490" s="21"/>
      <c r="D490" s="2805"/>
      <c r="E490" s="21">
        <f t="shared" si="79"/>
        <v>1</v>
      </c>
      <c r="F490" s="2805" t="e">
        <f>#REF!</f>
        <v>#REF!</v>
      </c>
      <c r="G490" s="21">
        <f t="shared" si="80"/>
        <v>1</v>
      </c>
      <c r="H490" s="665"/>
      <c r="I490" s="21">
        <f t="shared" si="81"/>
        <v>1</v>
      </c>
      <c r="J490" s="665"/>
      <c r="K490" s="21">
        <f t="shared" si="82"/>
        <v>1</v>
      </c>
      <c r="L490" s="665"/>
      <c r="M490" s="21">
        <f t="shared" si="83"/>
        <v>1</v>
      </c>
      <c r="N490" s="665"/>
      <c r="O490" s="21">
        <f t="shared" si="84"/>
        <v>1</v>
      </c>
      <c r="P490" s="2805" t="e">
        <f>#REF!</f>
        <v>#REF!</v>
      </c>
      <c r="Q490" s="21">
        <f t="shared" si="85"/>
        <v>1</v>
      </c>
      <c r="R490" s="661">
        <f t="shared" si="86"/>
        <v>0</v>
      </c>
      <c r="S490" s="315">
        <f t="shared" si="78"/>
        <v>0</v>
      </c>
    </row>
    <row r="491" spans="1:19">
      <c r="A491" s="663"/>
      <c r="B491" s="663"/>
      <c r="C491" s="21"/>
      <c r="D491" s="2805"/>
      <c r="E491" s="21">
        <f t="shared" si="79"/>
        <v>1</v>
      </c>
      <c r="F491" s="2805" t="e">
        <f>#REF!</f>
        <v>#REF!</v>
      </c>
      <c r="G491" s="21">
        <f t="shared" si="80"/>
        <v>1</v>
      </c>
      <c r="H491" s="665"/>
      <c r="I491" s="21">
        <f t="shared" si="81"/>
        <v>1</v>
      </c>
      <c r="J491" s="665"/>
      <c r="K491" s="21">
        <f t="shared" si="82"/>
        <v>1</v>
      </c>
      <c r="L491" s="665"/>
      <c r="M491" s="21">
        <f t="shared" si="83"/>
        <v>1</v>
      </c>
      <c r="N491" s="665"/>
      <c r="O491" s="21">
        <f t="shared" si="84"/>
        <v>1</v>
      </c>
      <c r="P491" s="2805" t="e">
        <f>#REF!</f>
        <v>#REF!</v>
      </c>
      <c r="Q491" s="21">
        <f t="shared" si="85"/>
        <v>1</v>
      </c>
      <c r="R491" s="661">
        <f t="shared" si="86"/>
        <v>0</v>
      </c>
      <c r="S491" s="315">
        <f t="shared" si="78"/>
        <v>0</v>
      </c>
    </row>
    <row r="492" spans="1:19">
      <c r="A492" s="663"/>
      <c r="B492" s="663"/>
      <c r="C492" s="21"/>
      <c r="D492" s="2805"/>
      <c r="E492" s="21">
        <f t="shared" si="79"/>
        <v>1</v>
      </c>
      <c r="F492" s="2805" t="e">
        <f>#REF!</f>
        <v>#REF!</v>
      </c>
      <c r="G492" s="21">
        <f t="shared" si="80"/>
        <v>1</v>
      </c>
      <c r="H492" s="665"/>
      <c r="I492" s="21">
        <f t="shared" si="81"/>
        <v>1</v>
      </c>
      <c r="J492" s="665"/>
      <c r="K492" s="21">
        <f t="shared" si="82"/>
        <v>1</v>
      </c>
      <c r="L492" s="665"/>
      <c r="M492" s="21">
        <f t="shared" si="83"/>
        <v>1</v>
      </c>
      <c r="N492" s="665"/>
      <c r="O492" s="21">
        <f t="shared" si="84"/>
        <v>1</v>
      </c>
      <c r="P492" s="2805" t="e">
        <f>#REF!</f>
        <v>#REF!</v>
      </c>
      <c r="Q492" s="21">
        <f t="shared" si="85"/>
        <v>1</v>
      </c>
      <c r="R492" s="661">
        <f t="shared" si="86"/>
        <v>0</v>
      </c>
      <c r="S492" s="315">
        <f t="shared" si="78"/>
        <v>0</v>
      </c>
    </row>
    <row r="493" spans="1:19">
      <c r="A493" s="663"/>
      <c r="B493" s="663"/>
      <c r="C493" s="21"/>
      <c r="D493" s="2805"/>
      <c r="E493" s="21">
        <f t="shared" si="79"/>
        <v>1</v>
      </c>
      <c r="F493" s="2805" t="e">
        <f>#REF!</f>
        <v>#REF!</v>
      </c>
      <c r="G493" s="21">
        <f t="shared" si="80"/>
        <v>1</v>
      </c>
      <c r="H493" s="665"/>
      <c r="I493" s="21">
        <f t="shared" si="81"/>
        <v>1</v>
      </c>
      <c r="J493" s="665"/>
      <c r="K493" s="21">
        <f t="shared" si="82"/>
        <v>1</v>
      </c>
      <c r="L493" s="665"/>
      <c r="M493" s="21">
        <f t="shared" si="83"/>
        <v>1</v>
      </c>
      <c r="N493" s="665"/>
      <c r="O493" s="21">
        <f t="shared" si="84"/>
        <v>1</v>
      </c>
      <c r="P493" s="2805" t="e">
        <f>#REF!</f>
        <v>#REF!</v>
      </c>
      <c r="Q493" s="21">
        <f t="shared" si="85"/>
        <v>1</v>
      </c>
      <c r="R493" s="661">
        <f t="shared" si="86"/>
        <v>0</v>
      </c>
      <c r="S493" s="315">
        <f t="shared" si="78"/>
        <v>0</v>
      </c>
    </row>
    <row r="494" spans="1:19">
      <c r="A494" s="663"/>
      <c r="B494" s="663"/>
      <c r="C494" s="21"/>
      <c r="D494" s="2805"/>
      <c r="E494" s="21">
        <f t="shared" si="79"/>
        <v>1</v>
      </c>
      <c r="F494" s="2805" t="e">
        <f>#REF!</f>
        <v>#REF!</v>
      </c>
      <c r="G494" s="21">
        <f t="shared" si="80"/>
        <v>1</v>
      </c>
      <c r="H494" s="665"/>
      <c r="I494" s="21">
        <f t="shared" si="81"/>
        <v>1</v>
      </c>
      <c r="J494" s="665"/>
      <c r="K494" s="21">
        <f t="shared" si="82"/>
        <v>1</v>
      </c>
      <c r="L494" s="665"/>
      <c r="M494" s="21">
        <f t="shared" si="83"/>
        <v>1</v>
      </c>
      <c r="N494" s="665"/>
      <c r="O494" s="21">
        <f t="shared" si="84"/>
        <v>1</v>
      </c>
      <c r="P494" s="2805" t="e">
        <f>#REF!</f>
        <v>#REF!</v>
      </c>
      <c r="Q494" s="21">
        <f t="shared" si="85"/>
        <v>1</v>
      </c>
      <c r="R494" s="661">
        <f t="shared" si="86"/>
        <v>0</v>
      </c>
      <c r="S494" s="315">
        <f t="shared" si="78"/>
        <v>0</v>
      </c>
    </row>
    <row r="495" spans="1:19">
      <c r="A495" s="663"/>
      <c r="B495" s="663"/>
      <c r="C495" s="21"/>
      <c r="D495" s="2805"/>
      <c r="E495" s="21">
        <f t="shared" si="79"/>
        <v>1</v>
      </c>
      <c r="F495" s="2805" t="e">
        <f>#REF!</f>
        <v>#REF!</v>
      </c>
      <c r="G495" s="21">
        <f t="shared" si="80"/>
        <v>1</v>
      </c>
      <c r="H495" s="665"/>
      <c r="I495" s="21">
        <f t="shared" si="81"/>
        <v>1</v>
      </c>
      <c r="J495" s="665"/>
      <c r="K495" s="21">
        <f t="shared" si="82"/>
        <v>1</v>
      </c>
      <c r="L495" s="665"/>
      <c r="M495" s="21">
        <f t="shared" si="83"/>
        <v>1</v>
      </c>
      <c r="N495" s="665"/>
      <c r="O495" s="21">
        <f t="shared" si="84"/>
        <v>1</v>
      </c>
      <c r="P495" s="2805" t="e">
        <f>#REF!</f>
        <v>#REF!</v>
      </c>
      <c r="Q495" s="21">
        <f t="shared" si="85"/>
        <v>1</v>
      </c>
      <c r="R495" s="661">
        <f t="shared" si="86"/>
        <v>0</v>
      </c>
      <c r="S495" s="315">
        <f t="shared" si="78"/>
        <v>0</v>
      </c>
    </row>
    <row r="496" spans="1:19">
      <c r="A496" s="663"/>
      <c r="B496" s="663"/>
      <c r="C496" s="21"/>
      <c r="D496" s="2805"/>
      <c r="E496" s="21">
        <f t="shared" si="79"/>
        <v>1</v>
      </c>
      <c r="F496" s="2805" t="e">
        <f>#REF!</f>
        <v>#REF!</v>
      </c>
      <c r="G496" s="21">
        <f t="shared" si="80"/>
        <v>1</v>
      </c>
      <c r="H496" s="665"/>
      <c r="I496" s="21">
        <f t="shared" si="81"/>
        <v>1</v>
      </c>
      <c r="J496" s="665"/>
      <c r="K496" s="21">
        <f t="shared" si="82"/>
        <v>1</v>
      </c>
      <c r="L496" s="665"/>
      <c r="M496" s="21">
        <f t="shared" si="83"/>
        <v>1</v>
      </c>
      <c r="N496" s="665"/>
      <c r="O496" s="21">
        <f t="shared" si="84"/>
        <v>1</v>
      </c>
      <c r="P496" s="2805" t="e">
        <f>#REF!</f>
        <v>#REF!</v>
      </c>
      <c r="Q496" s="21">
        <f t="shared" si="85"/>
        <v>1</v>
      </c>
      <c r="R496" s="661">
        <f t="shared" si="86"/>
        <v>0</v>
      </c>
      <c r="S496" s="315">
        <f t="shared" si="78"/>
        <v>0</v>
      </c>
    </row>
    <row r="497" spans="1:19">
      <c r="A497" s="663"/>
      <c r="B497" s="663"/>
      <c r="C497" s="21"/>
      <c r="D497" s="2805"/>
      <c r="E497" s="21">
        <f t="shared" si="79"/>
        <v>1</v>
      </c>
      <c r="F497" s="2805" t="e">
        <f>#REF!</f>
        <v>#REF!</v>
      </c>
      <c r="G497" s="21">
        <f t="shared" si="80"/>
        <v>1</v>
      </c>
      <c r="H497" s="665"/>
      <c r="I497" s="21">
        <f t="shared" si="81"/>
        <v>1</v>
      </c>
      <c r="J497" s="665"/>
      <c r="K497" s="21">
        <f t="shared" si="82"/>
        <v>1</v>
      </c>
      <c r="L497" s="665"/>
      <c r="M497" s="21">
        <f t="shared" si="83"/>
        <v>1</v>
      </c>
      <c r="N497" s="665"/>
      <c r="O497" s="21">
        <f t="shared" si="84"/>
        <v>1</v>
      </c>
      <c r="P497" s="2805" t="e">
        <f>#REF!</f>
        <v>#REF!</v>
      </c>
      <c r="Q497" s="21">
        <f t="shared" si="85"/>
        <v>1</v>
      </c>
      <c r="R497" s="661">
        <f t="shared" si="86"/>
        <v>0</v>
      </c>
      <c r="S497" s="315">
        <f t="shared" si="78"/>
        <v>0</v>
      </c>
    </row>
    <row r="498" spans="1:19">
      <c r="A498" s="663"/>
      <c r="B498" s="663"/>
      <c r="C498" s="21"/>
      <c r="D498" s="2805"/>
      <c r="E498" s="21">
        <f t="shared" si="79"/>
        <v>1</v>
      </c>
      <c r="F498" s="2805" t="e">
        <f>#REF!</f>
        <v>#REF!</v>
      </c>
      <c r="G498" s="21">
        <f t="shared" si="80"/>
        <v>1</v>
      </c>
      <c r="H498" s="665"/>
      <c r="I498" s="21">
        <f t="shared" si="81"/>
        <v>1</v>
      </c>
      <c r="J498" s="665"/>
      <c r="K498" s="21">
        <f t="shared" si="82"/>
        <v>1</v>
      </c>
      <c r="L498" s="665"/>
      <c r="M498" s="21">
        <f t="shared" si="83"/>
        <v>1</v>
      </c>
      <c r="N498" s="665"/>
      <c r="O498" s="21">
        <f t="shared" si="84"/>
        <v>1</v>
      </c>
      <c r="P498" s="2805" t="e">
        <f>#REF!</f>
        <v>#REF!</v>
      </c>
      <c r="Q498" s="21">
        <f t="shared" si="85"/>
        <v>1</v>
      </c>
      <c r="R498" s="661">
        <f t="shared" si="86"/>
        <v>0</v>
      </c>
      <c r="S498" s="315">
        <f t="shared" ref="S498:S524" si="87">ROUND(R498*B498/10000,0)</f>
        <v>0</v>
      </c>
    </row>
    <row r="499" spans="1:19">
      <c r="A499" s="663"/>
      <c r="B499" s="663"/>
      <c r="C499" s="21"/>
      <c r="D499" s="2805"/>
      <c r="E499" s="21">
        <f t="shared" si="79"/>
        <v>1</v>
      </c>
      <c r="F499" s="2805" t="e">
        <f>#REF!</f>
        <v>#REF!</v>
      </c>
      <c r="G499" s="21">
        <f t="shared" si="80"/>
        <v>1</v>
      </c>
      <c r="H499" s="665"/>
      <c r="I499" s="21">
        <f t="shared" si="81"/>
        <v>1</v>
      </c>
      <c r="J499" s="665"/>
      <c r="K499" s="21">
        <f t="shared" si="82"/>
        <v>1</v>
      </c>
      <c r="L499" s="665"/>
      <c r="M499" s="21">
        <f t="shared" si="83"/>
        <v>1</v>
      </c>
      <c r="N499" s="665"/>
      <c r="O499" s="21">
        <f t="shared" si="84"/>
        <v>1</v>
      </c>
      <c r="P499" s="2805" t="e">
        <f>#REF!</f>
        <v>#REF!</v>
      </c>
      <c r="Q499" s="21">
        <f t="shared" si="85"/>
        <v>1</v>
      </c>
      <c r="R499" s="661">
        <f t="shared" si="86"/>
        <v>0</v>
      </c>
      <c r="S499" s="315">
        <f t="shared" si="87"/>
        <v>0</v>
      </c>
    </row>
    <row r="500" spans="1:19">
      <c r="A500" s="663"/>
      <c r="B500" s="663"/>
      <c r="C500" s="21"/>
      <c r="D500" s="2805"/>
      <c r="E500" s="21">
        <f t="shared" si="79"/>
        <v>1</v>
      </c>
      <c r="F500" s="2805" t="e">
        <f>#REF!</f>
        <v>#REF!</v>
      </c>
      <c r="G500" s="21">
        <f t="shared" si="80"/>
        <v>1</v>
      </c>
      <c r="H500" s="665"/>
      <c r="I500" s="21">
        <f t="shared" si="81"/>
        <v>1</v>
      </c>
      <c r="J500" s="665"/>
      <c r="K500" s="21">
        <f t="shared" si="82"/>
        <v>1</v>
      </c>
      <c r="L500" s="665"/>
      <c r="M500" s="21">
        <f t="shared" si="83"/>
        <v>1</v>
      </c>
      <c r="N500" s="665"/>
      <c r="O500" s="21">
        <f t="shared" si="84"/>
        <v>1</v>
      </c>
      <c r="P500" s="2805" t="e">
        <f>#REF!</f>
        <v>#REF!</v>
      </c>
      <c r="Q500" s="21">
        <f t="shared" si="85"/>
        <v>1</v>
      </c>
      <c r="R500" s="661">
        <f t="shared" si="86"/>
        <v>0</v>
      </c>
      <c r="S500" s="315">
        <f t="shared" si="87"/>
        <v>0</v>
      </c>
    </row>
    <row r="501" spans="1:19">
      <c r="A501" s="663"/>
      <c r="B501" s="663"/>
      <c r="C501" s="21"/>
      <c r="D501" s="2805"/>
      <c r="E501" s="21">
        <f t="shared" si="79"/>
        <v>1</v>
      </c>
      <c r="F501" s="2805" t="e">
        <f>#REF!</f>
        <v>#REF!</v>
      </c>
      <c r="G501" s="21">
        <f t="shared" si="80"/>
        <v>1</v>
      </c>
      <c r="H501" s="665"/>
      <c r="I501" s="21">
        <f t="shared" si="81"/>
        <v>1</v>
      </c>
      <c r="J501" s="665"/>
      <c r="K501" s="21">
        <f t="shared" si="82"/>
        <v>1</v>
      </c>
      <c r="L501" s="665"/>
      <c r="M501" s="21">
        <f t="shared" si="83"/>
        <v>1</v>
      </c>
      <c r="N501" s="665"/>
      <c r="O501" s="21">
        <f t="shared" si="84"/>
        <v>1</v>
      </c>
      <c r="P501" s="2805" t="e">
        <f>#REF!</f>
        <v>#REF!</v>
      </c>
      <c r="Q501" s="21">
        <f t="shared" si="85"/>
        <v>1</v>
      </c>
      <c r="R501" s="661">
        <f t="shared" si="86"/>
        <v>0</v>
      </c>
      <c r="S501" s="315">
        <f t="shared" si="87"/>
        <v>0</v>
      </c>
    </row>
    <row r="502" spans="1:19">
      <c r="A502" s="663"/>
      <c r="B502" s="663"/>
      <c r="C502" s="21"/>
      <c r="D502" s="2805"/>
      <c r="E502" s="21">
        <f t="shared" si="79"/>
        <v>1</v>
      </c>
      <c r="F502" s="2805" t="e">
        <f>#REF!</f>
        <v>#REF!</v>
      </c>
      <c r="G502" s="21">
        <f t="shared" si="80"/>
        <v>1</v>
      </c>
      <c r="H502" s="665"/>
      <c r="I502" s="21">
        <f t="shared" si="81"/>
        <v>1</v>
      </c>
      <c r="J502" s="665"/>
      <c r="K502" s="21">
        <f t="shared" si="82"/>
        <v>1</v>
      </c>
      <c r="L502" s="665"/>
      <c r="M502" s="21">
        <f t="shared" si="83"/>
        <v>1</v>
      </c>
      <c r="N502" s="665"/>
      <c r="O502" s="21">
        <f t="shared" si="84"/>
        <v>1</v>
      </c>
      <c r="P502" s="2805" t="e">
        <f>#REF!</f>
        <v>#REF!</v>
      </c>
      <c r="Q502" s="21">
        <f t="shared" si="85"/>
        <v>1</v>
      </c>
      <c r="R502" s="661">
        <f t="shared" si="86"/>
        <v>0</v>
      </c>
      <c r="S502" s="315">
        <f t="shared" si="87"/>
        <v>0</v>
      </c>
    </row>
    <row r="503" spans="1:19">
      <c r="A503" s="663"/>
      <c r="B503" s="663"/>
      <c r="C503" s="21"/>
      <c r="D503" s="2805"/>
      <c r="E503" s="21">
        <f t="shared" si="79"/>
        <v>1</v>
      </c>
      <c r="F503" s="2805" t="e">
        <f>#REF!</f>
        <v>#REF!</v>
      </c>
      <c r="G503" s="21">
        <f t="shared" si="80"/>
        <v>1</v>
      </c>
      <c r="H503" s="665"/>
      <c r="I503" s="21">
        <f t="shared" si="81"/>
        <v>1</v>
      </c>
      <c r="J503" s="665"/>
      <c r="K503" s="21">
        <f t="shared" si="82"/>
        <v>1</v>
      </c>
      <c r="L503" s="665"/>
      <c r="M503" s="21">
        <f t="shared" si="83"/>
        <v>1</v>
      </c>
      <c r="N503" s="665"/>
      <c r="O503" s="21">
        <f t="shared" si="84"/>
        <v>1</v>
      </c>
      <c r="P503" s="2805" t="e">
        <f>#REF!</f>
        <v>#REF!</v>
      </c>
      <c r="Q503" s="21">
        <f t="shared" si="85"/>
        <v>1</v>
      </c>
      <c r="R503" s="661">
        <f t="shared" si="86"/>
        <v>0</v>
      </c>
      <c r="S503" s="315">
        <f t="shared" si="87"/>
        <v>0</v>
      </c>
    </row>
    <row r="504" spans="1:19">
      <c r="A504" s="663"/>
      <c r="B504" s="663"/>
      <c r="C504" s="21"/>
      <c r="D504" s="2805"/>
      <c r="E504" s="21">
        <f t="shared" si="79"/>
        <v>1</v>
      </c>
      <c r="F504" s="2805" t="e">
        <f>#REF!</f>
        <v>#REF!</v>
      </c>
      <c r="G504" s="21">
        <f t="shared" si="80"/>
        <v>1</v>
      </c>
      <c r="H504" s="665"/>
      <c r="I504" s="21">
        <f t="shared" si="81"/>
        <v>1</v>
      </c>
      <c r="J504" s="665"/>
      <c r="K504" s="21">
        <f t="shared" si="82"/>
        <v>1</v>
      </c>
      <c r="L504" s="665"/>
      <c r="M504" s="21">
        <f t="shared" si="83"/>
        <v>1</v>
      </c>
      <c r="N504" s="665"/>
      <c r="O504" s="21">
        <f t="shared" si="84"/>
        <v>1</v>
      </c>
      <c r="P504" s="2805" t="e">
        <f>#REF!</f>
        <v>#REF!</v>
      </c>
      <c r="Q504" s="21">
        <f t="shared" si="85"/>
        <v>1</v>
      </c>
      <c r="R504" s="661">
        <f t="shared" si="86"/>
        <v>0</v>
      </c>
      <c r="S504" s="315">
        <f t="shared" si="87"/>
        <v>0</v>
      </c>
    </row>
    <row r="505" spans="1:19">
      <c r="A505" s="663"/>
      <c r="B505" s="663"/>
      <c r="C505" s="21"/>
      <c r="D505" s="2805"/>
      <c r="E505" s="21">
        <f t="shared" si="79"/>
        <v>1</v>
      </c>
      <c r="F505" s="2805" t="e">
        <f>#REF!</f>
        <v>#REF!</v>
      </c>
      <c r="G505" s="21">
        <f t="shared" si="80"/>
        <v>1</v>
      </c>
      <c r="H505" s="665"/>
      <c r="I505" s="21">
        <f t="shared" si="81"/>
        <v>1</v>
      </c>
      <c r="J505" s="665"/>
      <c r="K505" s="21">
        <f t="shared" si="82"/>
        <v>1</v>
      </c>
      <c r="L505" s="665"/>
      <c r="M505" s="21">
        <f t="shared" si="83"/>
        <v>1</v>
      </c>
      <c r="N505" s="665"/>
      <c r="O505" s="21">
        <f t="shared" si="84"/>
        <v>1</v>
      </c>
      <c r="P505" s="2805" t="e">
        <f>#REF!</f>
        <v>#REF!</v>
      </c>
      <c r="Q505" s="21">
        <f t="shared" si="85"/>
        <v>1</v>
      </c>
      <c r="R505" s="661">
        <f t="shared" si="86"/>
        <v>0</v>
      </c>
      <c r="S505" s="315">
        <f t="shared" si="87"/>
        <v>0</v>
      </c>
    </row>
    <row r="506" spans="1:19">
      <c r="A506" s="663"/>
      <c r="B506" s="663"/>
      <c r="C506" s="21"/>
      <c r="D506" s="2805"/>
      <c r="E506" s="21">
        <f t="shared" si="79"/>
        <v>1</v>
      </c>
      <c r="F506" s="2805" t="e">
        <f>#REF!</f>
        <v>#REF!</v>
      </c>
      <c r="G506" s="21">
        <f t="shared" si="80"/>
        <v>1</v>
      </c>
      <c r="H506" s="665"/>
      <c r="I506" s="21">
        <f t="shared" si="81"/>
        <v>1</v>
      </c>
      <c r="J506" s="665"/>
      <c r="K506" s="21">
        <f t="shared" si="82"/>
        <v>1</v>
      </c>
      <c r="L506" s="665"/>
      <c r="M506" s="21">
        <f t="shared" si="83"/>
        <v>1</v>
      </c>
      <c r="N506" s="665"/>
      <c r="O506" s="21">
        <f t="shared" si="84"/>
        <v>1</v>
      </c>
      <c r="P506" s="2805" t="e">
        <f>#REF!</f>
        <v>#REF!</v>
      </c>
      <c r="Q506" s="21">
        <f t="shared" si="85"/>
        <v>1</v>
      </c>
      <c r="R506" s="661">
        <f t="shared" si="86"/>
        <v>0</v>
      </c>
      <c r="S506" s="315">
        <f t="shared" si="87"/>
        <v>0</v>
      </c>
    </row>
    <row r="507" spans="1:19">
      <c r="A507" s="663"/>
      <c r="B507" s="663"/>
      <c r="C507" s="21"/>
      <c r="D507" s="2805"/>
      <c r="E507" s="21">
        <f t="shared" si="79"/>
        <v>1</v>
      </c>
      <c r="F507" s="2805" t="e">
        <f>#REF!</f>
        <v>#REF!</v>
      </c>
      <c r="G507" s="21">
        <f t="shared" si="80"/>
        <v>1</v>
      </c>
      <c r="H507" s="665"/>
      <c r="I507" s="21">
        <f t="shared" si="81"/>
        <v>1</v>
      </c>
      <c r="J507" s="665"/>
      <c r="K507" s="21">
        <f t="shared" si="82"/>
        <v>1</v>
      </c>
      <c r="L507" s="665"/>
      <c r="M507" s="21">
        <f t="shared" si="83"/>
        <v>1</v>
      </c>
      <c r="N507" s="665"/>
      <c r="O507" s="21">
        <f t="shared" si="84"/>
        <v>1</v>
      </c>
      <c r="P507" s="2805" t="e">
        <f>#REF!</f>
        <v>#REF!</v>
      </c>
      <c r="Q507" s="21">
        <f t="shared" si="85"/>
        <v>1</v>
      </c>
      <c r="R507" s="661">
        <f t="shared" si="86"/>
        <v>0</v>
      </c>
      <c r="S507" s="315">
        <f t="shared" si="87"/>
        <v>0</v>
      </c>
    </row>
    <row r="508" spans="1:19">
      <c r="A508" s="663"/>
      <c r="B508" s="663"/>
      <c r="C508" s="21"/>
      <c r="D508" s="2805"/>
      <c r="E508" s="21">
        <f t="shared" si="79"/>
        <v>1</v>
      </c>
      <c r="F508" s="2805" t="e">
        <f>#REF!</f>
        <v>#REF!</v>
      </c>
      <c r="G508" s="21">
        <f t="shared" si="80"/>
        <v>1</v>
      </c>
      <c r="H508" s="665"/>
      <c r="I508" s="21">
        <f t="shared" si="81"/>
        <v>1</v>
      </c>
      <c r="J508" s="665"/>
      <c r="K508" s="21">
        <f t="shared" si="82"/>
        <v>1</v>
      </c>
      <c r="L508" s="665"/>
      <c r="M508" s="21">
        <f t="shared" si="83"/>
        <v>1</v>
      </c>
      <c r="N508" s="665"/>
      <c r="O508" s="21">
        <f t="shared" si="84"/>
        <v>1</v>
      </c>
      <c r="P508" s="2805" t="e">
        <f>#REF!</f>
        <v>#REF!</v>
      </c>
      <c r="Q508" s="21">
        <f t="shared" si="85"/>
        <v>1</v>
      </c>
      <c r="R508" s="661">
        <f t="shared" si="86"/>
        <v>0</v>
      </c>
      <c r="S508" s="315">
        <f t="shared" si="87"/>
        <v>0</v>
      </c>
    </row>
    <row r="509" spans="1:19">
      <c r="A509" s="663"/>
      <c r="B509" s="663"/>
      <c r="C509" s="21"/>
      <c r="D509" s="2805"/>
      <c r="E509" s="21">
        <f t="shared" si="79"/>
        <v>1</v>
      </c>
      <c r="F509" s="2805" t="e">
        <f>#REF!</f>
        <v>#REF!</v>
      </c>
      <c r="G509" s="21">
        <f t="shared" si="80"/>
        <v>1</v>
      </c>
      <c r="H509" s="665"/>
      <c r="I509" s="21">
        <f t="shared" si="81"/>
        <v>1</v>
      </c>
      <c r="J509" s="665"/>
      <c r="K509" s="21">
        <f t="shared" si="82"/>
        <v>1</v>
      </c>
      <c r="L509" s="665"/>
      <c r="M509" s="21">
        <f t="shared" si="83"/>
        <v>1</v>
      </c>
      <c r="N509" s="665"/>
      <c r="O509" s="21">
        <f t="shared" si="84"/>
        <v>1</v>
      </c>
      <c r="P509" s="2805" t="e">
        <f>#REF!</f>
        <v>#REF!</v>
      </c>
      <c r="Q509" s="21">
        <f t="shared" si="85"/>
        <v>1</v>
      </c>
      <c r="R509" s="661">
        <f t="shared" si="86"/>
        <v>0</v>
      </c>
      <c r="S509" s="315">
        <f t="shared" si="87"/>
        <v>0</v>
      </c>
    </row>
    <row r="510" spans="1:19">
      <c r="A510" s="663"/>
      <c r="B510" s="663"/>
      <c r="C510" s="21"/>
      <c r="D510" s="2805"/>
      <c r="E510" s="21">
        <f t="shared" si="79"/>
        <v>1</v>
      </c>
      <c r="F510" s="2805" t="e">
        <f>#REF!</f>
        <v>#REF!</v>
      </c>
      <c r="G510" s="21">
        <f t="shared" si="80"/>
        <v>1</v>
      </c>
      <c r="H510" s="665"/>
      <c r="I510" s="21">
        <f t="shared" si="81"/>
        <v>1</v>
      </c>
      <c r="J510" s="665"/>
      <c r="K510" s="21">
        <f t="shared" si="82"/>
        <v>1</v>
      </c>
      <c r="L510" s="665"/>
      <c r="M510" s="21">
        <f t="shared" si="83"/>
        <v>1</v>
      </c>
      <c r="N510" s="665"/>
      <c r="O510" s="21">
        <f t="shared" si="84"/>
        <v>1</v>
      </c>
      <c r="P510" s="2805" t="e">
        <f>#REF!</f>
        <v>#REF!</v>
      </c>
      <c r="Q510" s="21">
        <f t="shared" si="85"/>
        <v>1</v>
      </c>
      <c r="R510" s="661">
        <f t="shared" si="86"/>
        <v>0</v>
      </c>
      <c r="S510" s="315">
        <f t="shared" si="87"/>
        <v>0</v>
      </c>
    </row>
    <row r="511" spans="1:19">
      <c r="A511" s="663"/>
      <c r="B511" s="663"/>
      <c r="C511" s="21"/>
      <c r="D511" s="2805"/>
      <c r="E511" s="21">
        <f t="shared" si="79"/>
        <v>1</v>
      </c>
      <c r="F511" s="2805" t="e">
        <f>#REF!</f>
        <v>#REF!</v>
      </c>
      <c r="G511" s="21">
        <f t="shared" si="80"/>
        <v>1</v>
      </c>
      <c r="H511" s="665"/>
      <c r="I511" s="21">
        <f t="shared" si="81"/>
        <v>1</v>
      </c>
      <c r="J511" s="665"/>
      <c r="K511" s="21">
        <f t="shared" si="82"/>
        <v>1</v>
      </c>
      <c r="L511" s="665"/>
      <c r="M511" s="21">
        <f t="shared" si="83"/>
        <v>1</v>
      </c>
      <c r="N511" s="665"/>
      <c r="O511" s="21">
        <f t="shared" si="84"/>
        <v>1</v>
      </c>
      <c r="P511" s="2805" t="e">
        <f>#REF!</f>
        <v>#REF!</v>
      </c>
      <c r="Q511" s="21">
        <f t="shared" si="85"/>
        <v>1</v>
      </c>
      <c r="R511" s="661">
        <f t="shared" si="86"/>
        <v>0</v>
      </c>
      <c r="S511" s="315">
        <f t="shared" si="87"/>
        <v>0</v>
      </c>
    </row>
    <row r="512" spans="1:19">
      <c r="A512" s="663"/>
      <c r="B512" s="663"/>
      <c r="C512" s="21"/>
      <c r="D512" s="2805"/>
      <c r="E512" s="21">
        <f t="shared" si="79"/>
        <v>1</v>
      </c>
      <c r="F512" s="2805" t="e">
        <f>#REF!</f>
        <v>#REF!</v>
      </c>
      <c r="G512" s="21">
        <f t="shared" si="80"/>
        <v>1</v>
      </c>
      <c r="H512" s="665"/>
      <c r="I512" s="21">
        <f t="shared" si="81"/>
        <v>1</v>
      </c>
      <c r="J512" s="665"/>
      <c r="K512" s="21">
        <f t="shared" si="82"/>
        <v>1</v>
      </c>
      <c r="L512" s="665"/>
      <c r="M512" s="21">
        <f t="shared" si="83"/>
        <v>1</v>
      </c>
      <c r="N512" s="665"/>
      <c r="O512" s="21">
        <f t="shared" si="84"/>
        <v>1</v>
      </c>
      <c r="P512" s="2805" t="e">
        <f>#REF!</f>
        <v>#REF!</v>
      </c>
      <c r="Q512" s="21">
        <f t="shared" si="85"/>
        <v>1</v>
      </c>
      <c r="R512" s="661">
        <f t="shared" si="86"/>
        <v>0</v>
      </c>
      <c r="S512" s="315">
        <f t="shared" si="87"/>
        <v>0</v>
      </c>
    </row>
    <row r="513" spans="1:19">
      <c r="A513" s="663"/>
      <c r="B513" s="663"/>
      <c r="C513" s="21"/>
      <c r="D513" s="2805"/>
      <c r="E513" s="21">
        <f t="shared" si="79"/>
        <v>1</v>
      </c>
      <c r="F513" s="2805" t="e">
        <f>#REF!</f>
        <v>#REF!</v>
      </c>
      <c r="G513" s="21">
        <f t="shared" si="80"/>
        <v>1</v>
      </c>
      <c r="H513" s="665"/>
      <c r="I513" s="21">
        <f t="shared" si="81"/>
        <v>1</v>
      </c>
      <c r="J513" s="665"/>
      <c r="K513" s="21">
        <f t="shared" si="82"/>
        <v>1</v>
      </c>
      <c r="L513" s="665"/>
      <c r="M513" s="21">
        <f t="shared" si="83"/>
        <v>1</v>
      </c>
      <c r="N513" s="665"/>
      <c r="O513" s="21">
        <f t="shared" si="84"/>
        <v>1</v>
      </c>
      <c r="P513" s="2805" t="e">
        <f>#REF!</f>
        <v>#REF!</v>
      </c>
      <c r="Q513" s="21">
        <f t="shared" si="85"/>
        <v>1</v>
      </c>
      <c r="R513" s="661">
        <f t="shared" si="86"/>
        <v>0</v>
      </c>
      <c r="S513" s="315">
        <f t="shared" si="87"/>
        <v>0</v>
      </c>
    </row>
    <row r="514" spans="1:19">
      <c r="A514" s="663"/>
      <c r="B514" s="663"/>
      <c r="C514" s="21"/>
      <c r="D514" s="2805"/>
      <c r="E514" s="21">
        <f t="shared" si="79"/>
        <v>1</v>
      </c>
      <c r="F514" s="2805" t="e">
        <f>#REF!</f>
        <v>#REF!</v>
      </c>
      <c r="G514" s="21">
        <f t="shared" si="80"/>
        <v>1</v>
      </c>
      <c r="H514" s="665"/>
      <c r="I514" s="21">
        <f t="shared" si="81"/>
        <v>1</v>
      </c>
      <c r="J514" s="665"/>
      <c r="K514" s="21">
        <f t="shared" si="82"/>
        <v>1</v>
      </c>
      <c r="L514" s="665"/>
      <c r="M514" s="21">
        <f t="shared" si="83"/>
        <v>1</v>
      </c>
      <c r="N514" s="665"/>
      <c r="O514" s="21">
        <f t="shared" si="84"/>
        <v>1</v>
      </c>
      <c r="P514" s="2805" t="e">
        <f>#REF!</f>
        <v>#REF!</v>
      </c>
      <c r="Q514" s="21">
        <f t="shared" si="85"/>
        <v>1</v>
      </c>
      <c r="R514" s="661">
        <f t="shared" si="86"/>
        <v>0</v>
      </c>
      <c r="S514" s="315">
        <f t="shared" si="87"/>
        <v>0</v>
      </c>
    </row>
    <row r="515" spans="1:19">
      <c r="A515" s="663"/>
      <c r="B515" s="663"/>
      <c r="C515" s="21"/>
      <c r="D515" s="2805"/>
      <c r="E515" s="21">
        <f t="shared" si="79"/>
        <v>1</v>
      </c>
      <c r="F515" s="2805" t="e">
        <f>#REF!</f>
        <v>#REF!</v>
      </c>
      <c r="G515" s="21">
        <f t="shared" si="80"/>
        <v>1</v>
      </c>
      <c r="H515" s="665"/>
      <c r="I515" s="21">
        <f t="shared" si="81"/>
        <v>1</v>
      </c>
      <c r="J515" s="665"/>
      <c r="K515" s="21">
        <f t="shared" si="82"/>
        <v>1</v>
      </c>
      <c r="L515" s="665"/>
      <c r="M515" s="21">
        <f t="shared" si="83"/>
        <v>1</v>
      </c>
      <c r="N515" s="665"/>
      <c r="O515" s="21">
        <f t="shared" si="84"/>
        <v>1</v>
      </c>
      <c r="P515" s="2805" t="e">
        <f>#REF!</f>
        <v>#REF!</v>
      </c>
      <c r="Q515" s="21">
        <f t="shared" si="85"/>
        <v>1</v>
      </c>
      <c r="R515" s="661">
        <f t="shared" si="86"/>
        <v>0</v>
      </c>
      <c r="S515" s="315">
        <f t="shared" si="87"/>
        <v>0</v>
      </c>
    </row>
    <row r="516" spans="1:19">
      <c r="A516" s="663"/>
      <c r="B516" s="663"/>
      <c r="C516" s="21"/>
      <c r="D516" s="2805"/>
      <c r="E516" s="21">
        <f t="shared" si="79"/>
        <v>1</v>
      </c>
      <c r="F516" s="2805" t="e">
        <f>#REF!</f>
        <v>#REF!</v>
      </c>
      <c r="G516" s="21">
        <f t="shared" si="80"/>
        <v>1</v>
      </c>
      <c r="H516" s="665"/>
      <c r="I516" s="21">
        <f t="shared" si="81"/>
        <v>1</v>
      </c>
      <c r="J516" s="665"/>
      <c r="K516" s="21">
        <f t="shared" si="82"/>
        <v>1</v>
      </c>
      <c r="L516" s="665"/>
      <c r="M516" s="21">
        <f t="shared" si="83"/>
        <v>1</v>
      </c>
      <c r="N516" s="665"/>
      <c r="O516" s="21">
        <f t="shared" si="84"/>
        <v>1</v>
      </c>
      <c r="P516" s="2805" t="e">
        <f>#REF!</f>
        <v>#REF!</v>
      </c>
      <c r="Q516" s="21">
        <f t="shared" si="85"/>
        <v>1</v>
      </c>
      <c r="R516" s="661">
        <f t="shared" si="86"/>
        <v>0</v>
      </c>
      <c r="S516" s="315">
        <f t="shared" si="87"/>
        <v>0</v>
      </c>
    </row>
    <row r="517" spans="1:19">
      <c r="A517" s="663"/>
      <c r="B517" s="663"/>
      <c r="C517" s="21"/>
      <c r="D517" s="2805"/>
      <c r="E517" s="21">
        <f t="shared" si="79"/>
        <v>1</v>
      </c>
      <c r="F517" s="2805" t="e">
        <f>#REF!</f>
        <v>#REF!</v>
      </c>
      <c r="G517" s="21">
        <f t="shared" si="80"/>
        <v>1</v>
      </c>
      <c r="H517" s="665"/>
      <c r="I517" s="21">
        <f t="shared" si="81"/>
        <v>1</v>
      </c>
      <c r="J517" s="665"/>
      <c r="K517" s="21">
        <f t="shared" si="82"/>
        <v>1</v>
      </c>
      <c r="L517" s="665"/>
      <c r="M517" s="21">
        <f t="shared" si="83"/>
        <v>1</v>
      </c>
      <c r="N517" s="665"/>
      <c r="O517" s="21">
        <f t="shared" si="84"/>
        <v>1</v>
      </c>
      <c r="P517" s="2805" t="e">
        <f>#REF!</f>
        <v>#REF!</v>
      </c>
      <c r="Q517" s="21">
        <f t="shared" si="85"/>
        <v>1</v>
      </c>
      <c r="R517" s="661">
        <f t="shared" si="86"/>
        <v>0</v>
      </c>
      <c r="S517" s="315">
        <f t="shared" si="87"/>
        <v>0</v>
      </c>
    </row>
    <row r="518" spans="1:19">
      <c r="A518" s="663"/>
      <c r="B518" s="663"/>
      <c r="C518" s="21"/>
      <c r="D518" s="2805"/>
      <c r="E518" s="21">
        <f t="shared" si="79"/>
        <v>1</v>
      </c>
      <c r="F518" s="2805" t="e">
        <f>#REF!</f>
        <v>#REF!</v>
      </c>
      <c r="G518" s="21">
        <f t="shared" si="80"/>
        <v>1</v>
      </c>
      <c r="H518" s="665"/>
      <c r="I518" s="21">
        <f t="shared" si="81"/>
        <v>1</v>
      </c>
      <c r="J518" s="665"/>
      <c r="K518" s="21">
        <f t="shared" si="82"/>
        <v>1</v>
      </c>
      <c r="L518" s="665"/>
      <c r="M518" s="21">
        <f t="shared" si="83"/>
        <v>1</v>
      </c>
      <c r="N518" s="665"/>
      <c r="O518" s="21">
        <f t="shared" si="84"/>
        <v>1</v>
      </c>
      <c r="P518" s="2805" t="e">
        <f>#REF!</f>
        <v>#REF!</v>
      </c>
      <c r="Q518" s="21">
        <f t="shared" si="85"/>
        <v>1</v>
      </c>
      <c r="R518" s="661">
        <f t="shared" si="86"/>
        <v>0</v>
      </c>
      <c r="S518" s="315">
        <f t="shared" si="87"/>
        <v>0</v>
      </c>
    </row>
    <row r="519" spans="1:19">
      <c r="A519" s="663"/>
      <c r="B519" s="663"/>
      <c r="C519" s="21"/>
      <c r="D519" s="2805"/>
      <c r="E519" s="21">
        <f t="shared" si="79"/>
        <v>1</v>
      </c>
      <c r="F519" s="2805" t="e">
        <f>#REF!</f>
        <v>#REF!</v>
      </c>
      <c r="G519" s="21">
        <f t="shared" si="80"/>
        <v>1</v>
      </c>
      <c r="H519" s="665"/>
      <c r="I519" s="21">
        <f t="shared" si="81"/>
        <v>1</v>
      </c>
      <c r="J519" s="665"/>
      <c r="K519" s="21">
        <f t="shared" si="82"/>
        <v>1</v>
      </c>
      <c r="L519" s="665"/>
      <c r="M519" s="21">
        <f t="shared" si="83"/>
        <v>1</v>
      </c>
      <c r="N519" s="665"/>
      <c r="O519" s="21">
        <f t="shared" si="84"/>
        <v>1</v>
      </c>
      <c r="P519" s="2805" t="e">
        <f>#REF!</f>
        <v>#REF!</v>
      </c>
      <c r="Q519" s="21">
        <f t="shared" si="85"/>
        <v>1</v>
      </c>
      <c r="R519" s="661">
        <f t="shared" si="86"/>
        <v>0</v>
      </c>
      <c r="S519" s="315">
        <f t="shared" si="87"/>
        <v>0</v>
      </c>
    </row>
    <row r="520" spans="1:19">
      <c r="A520" s="663"/>
      <c r="B520" s="663"/>
      <c r="C520" s="21"/>
      <c r="D520" s="2805"/>
      <c r="E520" s="21">
        <f t="shared" si="79"/>
        <v>1</v>
      </c>
      <c r="F520" s="2805" t="e">
        <f>#REF!</f>
        <v>#REF!</v>
      </c>
      <c r="G520" s="21">
        <f t="shared" si="80"/>
        <v>1</v>
      </c>
      <c r="H520" s="665"/>
      <c r="I520" s="21">
        <f t="shared" si="81"/>
        <v>1</v>
      </c>
      <c r="J520" s="665"/>
      <c r="K520" s="21">
        <f t="shared" si="82"/>
        <v>1</v>
      </c>
      <c r="L520" s="665"/>
      <c r="M520" s="21">
        <f t="shared" si="83"/>
        <v>1</v>
      </c>
      <c r="N520" s="665"/>
      <c r="O520" s="21">
        <f t="shared" si="84"/>
        <v>1</v>
      </c>
      <c r="P520" s="2805" t="e">
        <f>#REF!</f>
        <v>#REF!</v>
      </c>
      <c r="Q520" s="21">
        <f t="shared" si="85"/>
        <v>1</v>
      </c>
      <c r="R520" s="661">
        <f t="shared" si="86"/>
        <v>0</v>
      </c>
      <c r="S520" s="315">
        <f t="shared" si="87"/>
        <v>0</v>
      </c>
    </row>
    <row r="521" spans="1:19">
      <c r="A521" s="663"/>
      <c r="B521" s="663"/>
      <c r="C521" s="21"/>
      <c r="D521" s="2805"/>
      <c r="E521" s="21">
        <f t="shared" si="79"/>
        <v>1</v>
      </c>
      <c r="F521" s="2805" t="e">
        <f>#REF!</f>
        <v>#REF!</v>
      </c>
      <c r="G521" s="21">
        <f t="shared" si="80"/>
        <v>1</v>
      </c>
      <c r="H521" s="665"/>
      <c r="I521" s="21">
        <f t="shared" si="81"/>
        <v>1</v>
      </c>
      <c r="J521" s="665"/>
      <c r="K521" s="21">
        <f t="shared" si="82"/>
        <v>1</v>
      </c>
      <c r="L521" s="665"/>
      <c r="M521" s="21">
        <f t="shared" si="83"/>
        <v>1</v>
      </c>
      <c r="N521" s="665"/>
      <c r="O521" s="21">
        <f t="shared" si="84"/>
        <v>1</v>
      </c>
      <c r="P521" s="2805" t="e">
        <f>#REF!</f>
        <v>#REF!</v>
      </c>
      <c r="Q521" s="21">
        <f t="shared" si="85"/>
        <v>1</v>
      </c>
      <c r="R521" s="661">
        <f t="shared" si="86"/>
        <v>0</v>
      </c>
      <c r="S521" s="315">
        <f t="shared" si="87"/>
        <v>0</v>
      </c>
    </row>
    <row r="522" spans="1:19">
      <c r="A522" s="663"/>
      <c r="B522" s="663"/>
      <c r="C522" s="21"/>
      <c r="D522" s="2805"/>
      <c r="E522" s="21">
        <f t="shared" si="79"/>
        <v>1</v>
      </c>
      <c r="F522" s="2805" t="e">
        <f>#REF!</f>
        <v>#REF!</v>
      </c>
      <c r="G522" s="21">
        <f t="shared" si="80"/>
        <v>1</v>
      </c>
      <c r="H522" s="665"/>
      <c r="I522" s="21">
        <f t="shared" si="81"/>
        <v>1</v>
      </c>
      <c r="J522" s="665"/>
      <c r="K522" s="21">
        <f t="shared" si="82"/>
        <v>1</v>
      </c>
      <c r="L522" s="665"/>
      <c r="M522" s="21">
        <f t="shared" si="83"/>
        <v>1</v>
      </c>
      <c r="N522" s="665"/>
      <c r="O522" s="21">
        <f t="shared" si="84"/>
        <v>1</v>
      </c>
      <c r="P522" s="2805" t="e">
        <f>#REF!</f>
        <v>#REF!</v>
      </c>
      <c r="Q522" s="21">
        <f t="shared" si="85"/>
        <v>1</v>
      </c>
      <c r="R522" s="661">
        <f t="shared" si="86"/>
        <v>0</v>
      </c>
      <c r="S522" s="315">
        <f t="shared" si="87"/>
        <v>0</v>
      </c>
    </row>
    <row r="523" spans="1:19">
      <c r="A523" s="663"/>
      <c r="B523" s="663"/>
      <c r="C523" s="21"/>
      <c r="D523" s="2805"/>
      <c r="E523" s="21">
        <f t="shared" si="79"/>
        <v>1</v>
      </c>
      <c r="F523" s="2805" t="e">
        <f>#REF!</f>
        <v>#REF!</v>
      </c>
      <c r="G523" s="21">
        <f t="shared" si="80"/>
        <v>1</v>
      </c>
      <c r="H523" s="665"/>
      <c r="I523" s="21">
        <f t="shared" si="81"/>
        <v>1</v>
      </c>
      <c r="J523" s="665"/>
      <c r="K523" s="21">
        <f t="shared" si="82"/>
        <v>1</v>
      </c>
      <c r="L523" s="665"/>
      <c r="M523" s="21">
        <f t="shared" si="83"/>
        <v>1</v>
      </c>
      <c r="N523" s="665"/>
      <c r="O523" s="21">
        <f t="shared" si="84"/>
        <v>1</v>
      </c>
      <c r="P523" s="2805" t="e">
        <f>#REF!</f>
        <v>#REF!</v>
      </c>
      <c r="Q523" s="21">
        <f t="shared" si="85"/>
        <v>1</v>
      </c>
      <c r="R523" s="661">
        <f t="shared" si="86"/>
        <v>0</v>
      </c>
      <c r="S523" s="315">
        <f t="shared" si="87"/>
        <v>0</v>
      </c>
    </row>
    <row r="524" spans="1:19">
      <c r="A524" s="663"/>
      <c r="B524" s="663"/>
      <c r="C524" s="21"/>
      <c r="D524" s="2805"/>
      <c r="E524" s="21">
        <f t="shared" si="79"/>
        <v>1</v>
      </c>
      <c r="F524" s="2805" t="e">
        <f>#REF!</f>
        <v>#REF!</v>
      </c>
      <c r="G524" s="21">
        <f t="shared" si="80"/>
        <v>1</v>
      </c>
      <c r="H524" s="665"/>
      <c r="I524" s="21">
        <f t="shared" si="81"/>
        <v>1</v>
      </c>
      <c r="J524" s="665"/>
      <c r="K524" s="21">
        <f t="shared" si="82"/>
        <v>1</v>
      </c>
      <c r="L524" s="665"/>
      <c r="M524" s="21">
        <f t="shared" si="83"/>
        <v>1</v>
      </c>
      <c r="N524" s="665"/>
      <c r="O524" s="21">
        <f t="shared" si="84"/>
        <v>1</v>
      </c>
      <c r="P524" s="2805"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1" workbookViewId="0">
      <selection activeCell="L38" sqref="L38"/>
    </sheetView>
  </sheetViews>
  <sheetFormatPr defaultRowHeight="13.5"/>
  <cols>
    <col min="1" max="1" width="6.375" style="3456" customWidth="1"/>
    <col min="2" max="2" width="19.375" style="3499" customWidth="1"/>
    <col min="3" max="3" width="7" style="3456" customWidth="1"/>
    <col min="4" max="4" width="3.25" style="3456" customWidth="1"/>
    <col min="5" max="5" width="7.375" style="3456" customWidth="1"/>
    <col min="6" max="6" width="3.5" style="3456" customWidth="1"/>
    <col min="7" max="7" width="19.375" style="3500" customWidth="1"/>
    <col min="8" max="8" width="19.5" style="3456" customWidth="1"/>
    <col min="9" max="9" width="8.625" style="3456" customWidth="1"/>
    <col min="10" max="10" width="10.5" style="3451" customWidth="1"/>
    <col min="11" max="11" width="4.875" style="3451" customWidth="1"/>
    <col min="12" max="12" width="16.375" style="3451" customWidth="1"/>
    <col min="13" max="16" width="8.125" style="3456" customWidth="1"/>
    <col min="17" max="256" width="9" style="3456"/>
    <col min="257" max="257" width="6.375" style="3456" customWidth="1"/>
    <col min="258" max="258" width="19.375" style="3456" customWidth="1"/>
    <col min="259" max="259" width="7" style="3456" customWidth="1"/>
    <col min="260" max="260" width="3.25" style="3456" customWidth="1"/>
    <col min="261" max="261" width="7.375" style="3456" customWidth="1"/>
    <col min="262" max="262" width="3.5" style="3456" customWidth="1"/>
    <col min="263" max="263" width="19.375" style="3456" customWidth="1"/>
    <col min="264" max="264" width="19.5" style="3456" customWidth="1"/>
    <col min="265" max="265" width="8.625" style="3456" customWidth="1"/>
    <col min="266" max="266" width="10.5" style="3456" customWidth="1"/>
    <col min="267" max="267" width="4.875" style="3456" customWidth="1"/>
    <col min="268" max="268" width="16.375" style="3456" customWidth="1"/>
    <col min="269" max="272" width="8.125" style="3456" customWidth="1"/>
    <col min="273" max="512" width="9" style="3456"/>
    <col min="513" max="513" width="6.375" style="3456" customWidth="1"/>
    <col min="514" max="514" width="19.375" style="3456" customWidth="1"/>
    <col min="515" max="515" width="7" style="3456" customWidth="1"/>
    <col min="516" max="516" width="3.25" style="3456" customWidth="1"/>
    <col min="517" max="517" width="7.375" style="3456" customWidth="1"/>
    <col min="518" max="518" width="3.5" style="3456" customWidth="1"/>
    <col min="519" max="519" width="19.375" style="3456" customWidth="1"/>
    <col min="520" max="520" width="19.5" style="3456" customWidth="1"/>
    <col min="521" max="521" width="8.625" style="3456" customWidth="1"/>
    <col min="522" max="522" width="10.5" style="3456" customWidth="1"/>
    <col min="523" max="523" width="4.875" style="3456" customWidth="1"/>
    <col min="524" max="524" width="16.375" style="3456" customWidth="1"/>
    <col min="525" max="528" width="8.125" style="3456" customWidth="1"/>
    <col min="529" max="768" width="9" style="3456"/>
    <col min="769" max="769" width="6.375" style="3456" customWidth="1"/>
    <col min="770" max="770" width="19.375" style="3456" customWidth="1"/>
    <col min="771" max="771" width="7" style="3456" customWidth="1"/>
    <col min="772" max="772" width="3.25" style="3456" customWidth="1"/>
    <col min="773" max="773" width="7.375" style="3456" customWidth="1"/>
    <col min="774" max="774" width="3.5" style="3456" customWidth="1"/>
    <col min="775" max="775" width="19.375" style="3456" customWidth="1"/>
    <col min="776" max="776" width="19.5" style="3456" customWidth="1"/>
    <col min="777" max="777" width="8.625" style="3456" customWidth="1"/>
    <col min="778" max="778" width="10.5" style="3456" customWidth="1"/>
    <col min="779" max="779" width="4.875" style="3456" customWidth="1"/>
    <col min="780" max="780" width="16.375" style="3456" customWidth="1"/>
    <col min="781" max="784" width="8.125" style="3456" customWidth="1"/>
    <col min="785" max="1024" width="9" style="3456"/>
    <col min="1025" max="1025" width="6.375" style="3456" customWidth="1"/>
    <col min="1026" max="1026" width="19.375" style="3456" customWidth="1"/>
    <col min="1027" max="1027" width="7" style="3456" customWidth="1"/>
    <col min="1028" max="1028" width="3.25" style="3456" customWidth="1"/>
    <col min="1029" max="1029" width="7.375" style="3456" customWidth="1"/>
    <col min="1030" max="1030" width="3.5" style="3456" customWidth="1"/>
    <col min="1031" max="1031" width="19.375" style="3456" customWidth="1"/>
    <col min="1032" max="1032" width="19.5" style="3456" customWidth="1"/>
    <col min="1033" max="1033" width="8.625" style="3456" customWidth="1"/>
    <col min="1034" max="1034" width="10.5" style="3456" customWidth="1"/>
    <col min="1035" max="1035" width="4.875" style="3456" customWidth="1"/>
    <col min="1036" max="1036" width="16.375" style="3456" customWidth="1"/>
    <col min="1037" max="1040" width="8.125" style="3456" customWidth="1"/>
    <col min="1041" max="1280" width="9" style="3456"/>
    <col min="1281" max="1281" width="6.375" style="3456" customWidth="1"/>
    <col min="1282" max="1282" width="19.375" style="3456" customWidth="1"/>
    <col min="1283" max="1283" width="7" style="3456" customWidth="1"/>
    <col min="1284" max="1284" width="3.25" style="3456" customWidth="1"/>
    <col min="1285" max="1285" width="7.375" style="3456" customWidth="1"/>
    <col min="1286" max="1286" width="3.5" style="3456" customWidth="1"/>
    <col min="1287" max="1287" width="19.375" style="3456" customWidth="1"/>
    <col min="1288" max="1288" width="19.5" style="3456" customWidth="1"/>
    <col min="1289" max="1289" width="8.625" style="3456" customWidth="1"/>
    <col min="1290" max="1290" width="10.5" style="3456" customWidth="1"/>
    <col min="1291" max="1291" width="4.875" style="3456" customWidth="1"/>
    <col min="1292" max="1292" width="16.375" style="3456" customWidth="1"/>
    <col min="1293" max="1296" width="8.125" style="3456" customWidth="1"/>
    <col min="1297" max="1536" width="9" style="3456"/>
    <col min="1537" max="1537" width="6.375" style="3456" customWidth="1"/>
    <col min="1538" max="1538" width="19.375" style="3456" customWidth="1"/>
    <col min="1539" max="1539" width="7" style="3456" customWidth="1"/>
    <col min="1540" max="1540" width="3.25" style="3456" customWidth="1"/>
    <col min="1541" max="1541" width="7.375" style="3456" customWidth="1"/>
    <col min="1542" max="1542" width="3.5" style="3456" customWidth="1"/>
    <col min="1543" max="1543" width="19.375" style="3456" customWidth="1"/>
    <col min="1544" max="1544" width="19.5" style="3456" customWidth="1"/>
    <col min="1545" max="1545" width="8.625" style="3456" customWidth="1"/>
    <col min="1546" max="1546" width="10.5" style="3456" customWidth="1"/>
    <col min="1547" max="1547" width="4.875" style="3456" customWidth="1"/>
    <col min="1548" max="1548" width="16.375" style="3456" customWidth="1"/>
    <col min="1549" max="1552" width="8.125" style="3456" customWidth="1"/>
    <col min="1553" max="1792" width="9" style="3456"/>
    <col min="1793" max="1793" width="6.375" style="3456" customWidth="1"/>
    <col min="1794" max="1794" width="19.375" style="3456" customWidth="1"/>
    <col min="1795" max="1795" width="7" style="3456" customWidth="1"/>
    <col min="1796" max="1796" width="3.25" style="3456" customWidth="1"/>
    <col min="1797" max="1797" width="7.375" style="3456" customWidth="1"/>
    <col min="1798" max="1798" width="3.5" style="3456" customWidth="1"/>
    <col min="1799" max="1799" width="19.375" style="3456" customWidth="1"/>
    <col min="1800" max="1800" width="19.5" style="3456" customWidth="1"/>
    <col min="1801" max="1801" width="8.625" style="3456" customWidth="1"/>
    <col min="1802" max="1802" width="10.5" style="3456" customWidth="1"/>
    <col min="1803" max="1803" width="4.875" style="3456" customWidth="1"/>
    <col min="1804" max="1804" width="16.375" style="3456" customWidth="1"/>
    <col min="1805" max="1808" width="8.125" style="3456" customWidth="1"/>
    <col min="1809" max="2048" width="9" style="3456"/>
    <col min="2049" max="2049" width="6.375" style="3456" customWidth="1"/>
    <col min="2050" max="2050" width="19.375" style="3456" customWidth="1"/>
    <col min="2051" max="2051" width="7" style="3456" customWidth="1"/>
    <col min="2052" max="2052" width="3.25" style="3456" customWidth="1"/>
    <col min="2053" max="2053" width="7.375" style="3456" customWidth="1"/>
    <col min="2054" max="2054" width="3.5" style="3456" customWidth="1"/>
    <col min="2055" max="2055" width="19.375" style="3456" customWidth="1"/>
    <col min="2056" max="2056" width="19.5" style="3456" customWidth="1"/>
    <col min="2057" max="2057" width="8.625" style="3456" customWidth="1"/>
    <col min="2058" max="2058" width="10.5" style="3456" customWidth="1"/>
    <col min="2059" max="2059" width="4.875" style="3456" customWidth="1"/>
    <col min="2060" max="2060" width="16.375" style="3456" customWidth="1"/>
    <col min="2061" max="2064" width="8.125" style="3456" customWidth="1"/>
    <col min="2065" max="2304" width="9" style="3456"/>
    <col min="2305" max="2305" width="6.375" style="3456" customWidth="1"/>
    <col min="2306" max="2306" width="19.375" style="3456" customWidth="1"/>
    <col min="2307" max="2307" width="7" style="3456" customWidth="1"/>
    <col min="2308" max="2308" width="3.25" style="3456" customWidth="1"/>
    <col min="2309" max="2309" width="7.375" style="3456" customWidth="1"/>
    <col min="2310" max="2310" width="3.5" style="3456" customWidth="1"/>
    <col min="2311" max="2311" width="19.375" style="3456" customWidth="1"/>
    <col min="2312" max="2312" width="19.5" style="3456" customWidth="1"/>
    <col min="2313" max="2313" width="8.625" style="3456" customWidth="1"/>
    <col min="2314" max="2314" width="10.5" style="3456" customWidth="1"/>
    <col min="2315" max="2315" width="4.875" style="3456" customWidth="1"/>
    <col min="2316" max="2316" width="16.375" style="3456" customWidth="1"/>
    <col min="2317" max="2320" width="8.125" style="3456" customWidth="1"/>
    <col min="2321" max="2560" width="9" style="3456"/>
    <col min="2561" max="2561" width="6.375" style="3456" customWidth="1"/>
    <col min="2562" max="2562" width="19.375" style="3456" customWidth="1"/>
    <col min="2563" max="2563" width="7" style="3456" customWidth="1"/>
    <col min="2564" max="2564" width="3.25" style="3456" customWidth="1"/>
    <col min="2565" max="2565" width="7.375" style="3456" customWidth="1"/>
    <col min="2566" max="2566" width="3.5" style="3456" customWidth="1"/>
    <col min="2567" max="2567" width="19.375" style="3456" customWidth="1"/>
    <col min="2568" max="2568" width="19.5" style="3456" customWidth="1"/>
    <col min="2569" max="2569" width="8.625" style="3456" customWidth="1"/>
    <col min="2570" max="2570" width="10.5" style="3456" customWidth="1"/>
    <col min="2571" max="2571" width="4.875" style="3456" customWidth="1"/>
    <col min="2572" max="2572" width="16.375" style="3456" customWidth="1"/>
    <col min="2573" max="2576" width="8.125" style="3456" customWidth="1"/>
    <col min="2577" max="2816" width="9" style="3456"/>
    <col min="2817" max="2817" width="6.375" style="3456" customWidth="1"/>
    <col min="2818" max="2818" width="19.375" style="3456" customWidth="1"/>
    <col min="2819" max="2819" width="7" style="3456" customWidth="1"/>
    <col min="2820" max="2820" width="3.25" style="3456" customWidth="1"/>
    <col min="2821" max="2821" width="7.375" style="3456" customWidth="1"/>
    <col min="2822" max="2822" width="3.5" style="3456" customWidth="1"/>
    <col min="2823" max="2823" width="19.375" style="3456" customWidth="1"/>
    <col min="2824" max="2824" width="19.5" style="3456" customWidth="1"/>
    <col min="2825" max="2825" width="8.625" style="3456" customWidth="1"/>
    <col min="2826" max="2826" width="10.5" style="3456" customWidth="1"/>
    <col min="2827" max="2827" width="4.875" style="3456" customWidth="1"/>
    <col min="2828" max="2828" width="16.375" style="3456" customWidth="1"/>
    <col min="2829" max="2832" width="8.125" style="3456" customWidth="1"/>
    <col min="2833" max="3072" width="9" style="3456"/>
    <col min="3073" max="3073" width="6.375" style="3456" customWidth="1"/>
    <col min="3074" max="3074" width="19.375" style="3456" customWidth="1"/>
    <col min="3075" max="3075" width="7" style="3456" customWidth="1"/>
    <col min="3076" max="3076" width="3.25" style="3456" customWidth="1"/>
    <col min="3077" max="3077" width="7.375" style="3456" customWidth="1"/>
    <col min="3078" max="3078" width="3.5" style="3456" customWidth="1"/>
    <col min="3079" max="3079" width="19.375" style="3456" customWidth="1"/>
    <col min="3080" max="3080" width="19.5" style="3456" customWidth="1"/>
    <col min="3081" max="3081" width="8.625" style="3456" customWidth="1"/>
    <col min="3082" max="3082" width="10.5" style="3456" customWidth="1"/>
    <col min="3083" max="3083" width="4.875" style="3456" customWidth="1"/>
    <col min="3084" max="3084" width="16.375" style="3456" customWidth="1"/>
    <col min="3085" max="3088" width="8.125" style="3456" customWidth="1"/>
    <col min="3089" max="3328" width="9" style="3456"/>
    <col min="3329" max="3329" width="6.375" style="3456" customWidth="1"/>
    <col min="3330" max="3330" width="19.375" style="3456" customWidth="1"/>
    <col min="3331" max="3331" width="7" style="3456" customWidth="1"/>
    <col min="3332" max="3332" width="3.25" style="3456" customWidth="1"/>
    <col min="3333" max="3333" width="7.375" style="3456" customWidth="1"/>
    <col min="3334" max="3334" width="3.5" style="3456" customWidth="1"/>
    <col min="3335" max="3335" width="19.375" style="3456" customWidth="1"/>
    <col min="3336" max="3336" width="19.5" style="3456" customWidth="1"/>
    <col min="3337" max="3337" width="8.625" style="3456" customWidth="1"/>
    <col min="3338" max="3338" width="10.5" style="3456" customWidth="1"/>
    <col min="3339" max="3339" width="4.875" style="3456" customWidth="1"/>
    <col min="3340" max="3340" width="16.375" style="3456" customWidth="1"/>
    <col min="3341" max="3344" width="8.125" style="3456" customWidth="1"/>
    <col min="3345" max="3584" width="9" style="3456"/>
    <col min="3585" max="3585" width="6.375" style="3456" customWidth="1"/>
    <col min="3586" max="3586" width="19.375" style="3456" customWidth="1"/>
    <col min="3587" max="3587" width="7" style="3456" customWidth="1"/>
    <col min="3588" max="3588" width="3.25" style="3456" customWidth="1"/>
    <col min="3589" max="3589" width="7.375" style="3456" customWidth="1"/>
    <col min="3590" max="3590" width="3.5" style="3456" customWidth="1"/>
    <col min="3591" max="3591" width="19.375" style="3456" customWidth="1"/>
    <col min="3592" max="3592" width="19.5" style="3456" customWidth="1"/>
    <col min="3593" max="3593" width="8.625" style="3456" customWidth="1"/>
    <col min="3594" max="3594" width="10.5" style="3456" customWidth="1"/>
    <col min="3595" max="3595" width="4.875" style="3456" customWidth="1"/>
    <col min="3596" max="3596" width="16.375" style="3456" customWidth="1"/>
    <col min="3597" max="3600" width="8.125" style="3456" customWidth="1"/>
    <col min="3601" max="3840" width="9" style="3456"/>
    <col min="3841" max="3841" width="6.375" style="3456" customWidth="1"/>
    <col min="3842" max="3842" width="19.375" style="3456" customWidth="1"/>
    <col min="3843" max="3843" width="7" style="3456" customWidth="1"/>
    <col min="3844" max="3844" width="3.25" style="3456" customWidth="1"/>
    <col min="3845" max="3845" width="7.375" style="3456" customWidth="1"/>
    <col min="3846" max="3846" width="3.5" style="3456" customWidth="1"/>
    <col min="3847" max="3847" width="19.375" style="3456" customWidth="1"/>
    <col min="3848" max="3848" width="19.5" style="3456" customWidth="1"/>
    <col min="3849" max="3849" width="8.625" style="3456" customWidth="1"/>
    <col min="3850" max="3850" width="10.5" style="3456" customWidth="1"/>
    <col min="3851" max="3851" width="4.875" style="3456" customWidth="1"/>
    <col min="3852" max="3852" width="16.375" style="3456" customWidth="1"/>
    <col min="3853" max="3856" width="8.125" style="3456" customWidth="1"/>
    <col min="3857" max="4096" width="9" style="3456"/>
    <col min="4097" max="4097" width="6.375" style="3456" customWidth="1"/>
    <col min="4098" max="4098" width="19.375" style="3456" customWidth="1"/>
    <col min="4099" max="4099" width="7" style="3456" customWidth="1"/>
    <col min="4100" max="4100" width="3.25" style="3456" customWidth="1"/>
    <col min="4101" max="4101" width="7.375" style="3456" customWidth="1"/>
    <col min="4102" max="4102" width="3.5" style="3456" customWidth="1"/>
    <col min="4103" max="4103" width="19.375" style="3456" customWidth="1"/>
    <col min="4104" max="4104" width="19.5" style="3456" customWidth="1"/>
    <col min="4105" max="4105" width="8.625" style="3456" customWidth="1"/>
    <col min="4106" max="4106" width="10.5" style="3456" customWidth="1"/>
    <col min="4107" max="4107" width="4.875" style="3456" customWidth="1"/>
    <col min="4108" max="4108" width="16.375" style="3456" customWidth="1"/>
    <col min="4109" max="4112" width="8.125" style="3456" customWidth="1"/>
    <col min="4113" max="4352" width="9" style="3456"/>
    <col min="4353" max="4353" width="6.375" style="3456" customWidth="1"/>
    <col min="4354" max="4354" width="19.375" style="3456" customWidth="1"/>
    <col min="4355" max="4355" width="7" style="3456" customWidth="1"/>
    <col min="4356" max="4356" width="3.25" style="3456" customWidth="1"/>
    <col min="4357" max="4357" width="7.375" style="3456" customWidth="1"/>
    <col min="4358" max="4358" width="3.5" style="3456" customWidth="1"/>
    <col min="4359" max="4359" width="19.375" style="3456" customWidth="1"/>
    <col min="4360" max="4360" width="19.5" style="3456" customWidth="1"/>
    <col min="4361" max="4361" width="8.625" style="3456" customWidth="1"/>
    <col min="4362" max="4362" width="10.5" style="3456" customWidth="1"/>
    <col min="4363" max="4363" width="4.875" style="3456" customWidth="1"/>
    <col min="4364" max="4364" width="16.375" style="3456" customWidth="1"/>
    <col min="4365" max="4368" width="8.125" style="3456" customWidth="1"/>
    <col min="4369" max="4608" width="9" style="3456"/>
    <col min="4609" max="4609" width="6.375" style="3456" customWidth="1"/>
    <col min="4610" max="4610" width="19.375" style="3456" customWidth="1"/>
    <col min="4611" max="4611" width="7" style="3456" customWidth="1"/>
    <col min="4612" max="4612" width="3.25" style="3456" customWidth="1"/>
    <col min="4613" max="4613" width="7.375" style="3456" customWidth="1"/>
    <col min="4614" max="4614" width="3.5" style="3456" customWidth="1"/>
    <col min="4615" max="4615" width="19.375" style="3456" customWidth="1"/>
    <col min="4616" max="4616" width="19.5" style="3456" customWidth="1"/>
    <col min="4617" max="4617" width="8.625" style="3456" customWidth="1"/>
    <col min="4618" max="4618" width="10.5" style="3456" customWidth="1"/>
    <col min="4619" max="4619" width="4.875" style="3456" customWidth="1"/>
    <col min="4620" max="4620" width="16.375" style="3456" customWidth="1"/>
    <col min="4621" max="4624" width="8.125" style="3456" customWidth="1"/>
    <col min="4625" max="4864" width="9" style="3456"/>
    <col min="4865" max="4865" width="6.375" style="3456" customWidth="1"/>
    <col min="4866" max="4866" width="19.375" style="3456" customWidth="1"/>
    <col min="4867" max="4867" width="7" style="3456" customWidth="1"/>
    <col min="4868" max="4868" width="3.25" style="3456" customWidth="1"/>
    <col min="4869" max="4869" width="7.375" style="3456" customWidth="1"/>
    <col min="4870" max="4870" width="3.5" style="3456" customWidth="1"/>
    <col min="4871" max="4871" width="19.375" style="3456" customWidth="1"/>
    <col min="4872" max="4872" width="19.5" style="3456" customWidth="1"/>
    <col min="4873" max="4873" width="8.625" style="3456" customWidth="1"/>
    <col min="4874" max="4874" width="10.5" style="3456" customWidth="1"/>
    <col min="4875" max="4875" width="4.875" style="3456" customWidth="1"/>
    <col min="4876" max="4876" width="16.375" style="3456" customWidth="1"/>
    <col min="4877" max="4880" width="8.125" style="3456" customWidth="1"/>
    <col min="4881" max="5120" width="9" style="3456"/>
    <col min="5121" max="5121" width="6.375" style="3456" customWidth="1"/>
    <col min="5122" max="5122" width="19.375" style="3456" customWidth="1"/>
    <col min="5123" max="5123" width="7" style="3456" customWidth="1"/>
    <col min="5124" max="5124" width="3.25" style="3456" customWidth="1"/>
    <col min="5125" max="5125" width="7.375" style="3456" customWidth="1"/>
    <col min="5126" max="5126" width="3.5" style="3456" customWidth="1"/>
    <col min="5127" max="5127" width="19.375" style="3456" customWidth="1"/>
    <col min="5128" max="5128" width="19.5" style="3456" customWidth="1"/>
    <col min="5129" max="5129" width="8.625" style="3456" customWidth="1"/>
    <col min="5130" max="5130" width="10.5" style="3456" customWidth="1"/>
    <col min="5131" max="5131" width="4.875" style="3456" customWidth="1"/>
    <col min="5132" max="5132" width="16.375" style="3456" customWidth="1"/>
    <col min="5133" max="5136" width="8.125" style="3456" customWidth="1"/>
    <col min="5137" max="5376" width="9" style="3456"/>
    <col min="5377" max="5377" width="6.375" style="3456" customWidth="1"/>
    <col min="5378" max="5378" width="19.375" style="3456" customWidth="1"/>
    <col min="5379" max="5379" width="7" style="3456" customWidth="1"/>
    <col min="5380" max="5380" width="3.25" style="3456" customWidth="1"/>
    <col min="5381" max="5381" width="7.375" style="3456" customWidth="1"/>
    <col min="5382" max="5382" width="3.5" style="3456" customWidth="1"/>
    <col min="5383" max="5383" width="19.375" style="3456" customWidth="1"/>
    <col min="5384" max="5384" width="19.5" style="3456" customWidth="1"/>
    <col min="5385" max="5385" width="8.625" style="3456" customWidth="1"/>
    <col min="5386" max="5386" width="10.5" style="3456" customWidth="1"/>
    <col min="5387" max="5387" width="4.875" style="3456" customWidth="1"/>
    <col min="5388" max="5388" width="16.375" style="3456" customWidth="1"/>
    <col min="5389" max="5392" width="8.125" style="3456" customWidth="1"/>
    <col min="5393" max="5632" width="9" style="3456"/>
    <col min="5633" max="5633" width="6.375" style="3456" customWidth="1"/>
    <col min="5634" max="5634" width="19.375" style="3456" customWidth="1"/>
    <col min="5635" max="5635" width="7" style="3456" customWidth="1"/>
    <col min="5636" max="5636" width="3.25" style="3456" customWidth="1"/>
    <col min="5637" max="5637" width="7.375" style="3456" customWidth="1"/>
    <col min="5638" max="5638" width="3.5" style="3456" customWidth="1"/>
    <col min="5639" max="5639" width="19.375" style="3456" customWidth="1"/>
    <col min="5640" max="5640" width="19.5" style="3456" customWidth="1"/>
    <col min="5641" max="5641" width="8.625" style="3456" customWidth="1"/>
    <col min="5642" max="5642" width="10.5" style="3456" customWidth="1"/>
    <col min="5643" max="5643" width="4.875" style="3456" customWidth="1"/>
    <col min="5644" max="5644" width="16.375" style="3456" customWidth="1"/>
    <col min="5645" max="5648" width="8.125" style="3456" customWidth="1"/>
    <col min="5649" max="5888" width="9" style="3456"/>
    <col min="5889" max="5889" width="6.375" style="3456" customWidth="1"/>
    <col min="5890" max="5890" width="19.375" style="3456" customWidth="1"/>
    <col min="5891" max="5891" width="7" style="3456" customWidth="1"/>
    <col min="5892" max="5892" width="3.25" style="3456" customWidth="1"/>
    <col min="5893" max="5893" width="7.375" style="3456" customWidth="1"/>
    <col min="5894" max="5894" width="3.5" style="3456" customWidth="1"/>
    <col min="5895" max="5895" width="19.375" style="3456" customWidth="1"/>
    <col min="5896" max="5896" width="19.5" style="3456" customWidth="1"/>
    <col min="5897" max="5897" width="8.625" style="3456" customWidth="1"/>
    <col min="5898" max="5898" width="10.5" style="3456" customWidth="1"/>
    <col min="5899" max="5899" width="4.875" style="3456" customWidth="1"/>
    <col min="5900" max="5900" width="16.375" style="3456" customWidth="1"/>
    <col min="5901" max="5904" width="8.125" style="3456" customWidth="1"/>
    <col min="5905" max="6144" width="9" style="3456"/>
    <col min="6145" max="6145" width="6.375" style="3456" customWidth="1"/>
    <col min="6146" max="6146" width="19.375" style="3456" customWidth="1"/>
    <col min="6147" max="6147" width="7" style="3456" customWidth="1"/>
    <col min="6148" max="6148" width="3.25" style="3456" customWidth="1"/>
    <col min="6149" max="6149" width="7.375" style="3456" customWidth="1"/>
    <col min="6150" max="6150" width="3.5" style="3456" customWidth="1"/>
    <col min="6151" max="6151" width="19.375" style="3456" customWidth="1"/>
    <col min="6152" max="6152" width="19.5" style="3456" customWidth="1"/>
    <col min="6153" max="6153" width="8.625" style="3456" customWidth="1"/>
    <col min="6154" max="6154" width="10.5" style="3456" customWidth="1"/>
    <col min="6155" max="6155" width="4.875" style="3456" customWidth="1"/>
    <col min="6156" max="6156" width="16.375" style="3456" customWidth="1"/>
    <col min="6157" max="6160" width="8.125" style="3456" customWidth="1"/>
    <col min="6161" max="6400" width="9" style="3456"/>
    <col min="6401" max="6401" width="6.375" style="3456" customWidth="1"/>
    <col min="6402" max="6402" width="19.375" style="3456" customWidth="1"/>
    <col min="6403" max="6403" width="7" style="3456" customWidth="1"/>
    <col min="6404" max="6404" width="3.25" style="3456" customWidth="1"/>
    <col min="6405" max="6405" width="7.375" style="3456" customWidth="1"/>
    <col min="6406" max="6406" width="3.5" style="3456" customWidth="1"/>
    <col min="6407" max="6407" width="19.375" style="3456" customWidth="1"/>
    <col min="6408" max="6408" width="19.5" style="3456" customWidth="1"/>
    <col min="6409" max="6409" width="8.625" style="3456" customWidth="1"/>
    <col min="6410" max="6410" width="10.5" style="3456" customWidth="1"/>
    <col min="6411" max="6411" width="4.875" style="3456" customWidth="1"/>
    <col min="6412" max="6412" width="16.375" style="3456" customWidth="1"/>
    <col min="6413" max="6416" width="8.125" style="3456" customWidth="1"/>
    <col min="6417" max="6656" width="9" style="3456"/>
    <col min="6657" max="6657" width="6.375" style="3456" customWidth="1"/>
    <col min="6658" max="6658" width="19.375" style="3456" customWidth="1"/>
    <col min="6659" max="6659" width="7" style="3456" customWidth="1"/>
    <col min="6660" max="6660" width="3.25" style="3456" customWidth="1"/>
    <col min="6661" max="6661" width="7.375" style="3456" customWidth="1"/>
    <col min="6662" max="6662" width="3.5" style="3456" customWidth="1"/>
    <col min="6663" max="6663" width="19.375" style="3456" customWidth="1"/>
    <col min="6664" max="6664" width="19.5" style="3456" customWidth="1"/>
    <col min="6665" max="6665" width="8.625" style="3456" customWidth="1"/>
    <col min="6666" max="6666" width="10.5" style="3456" customWidth="1"/>
    <col min="6667" max="6667" width="4.875" style="3456" customWidth="1"/>
    <col min="6668" max="6668" width="16.375" style="3456" customWidth="1"/>
    <col min="6669" max="6672" width="8.125" style="3456" customWidth="1"/>
    <col min="6673" max="6912" width="9" style="3456"/>
    <col min="6913" max="6913" width="6.375" style="3456" customWidth="1"/>
    <col min="6914" max="6914" width="19.375" style="3456" customWidth="1"/>
    <col min="6915" max="6915" width="7" style="3456" customWidth="1"/>
    <col min="6916" max="6916" width="3.25" style="3456" customWidth="1"/>
    <col min="6917" max="6917" width="7.375" style="3456" customWidth="1"/>
    <col min="6918" max="6918" width="3.5" style="3456" customWidth="1"/>
    <col min="6919" max="6919" width="19.375" style="3456" customWidth="1"/>
    <col min="6920" max="6920" width="19.5" style="3456" customWidth="1"/>
    <col min="6921" max="6921" width="8.625" style="3456" customWidth="1"/>
    <col min="6922" max="6922" width="10.5" style="3456" customWidth="1"/>
    <col min="6923" max="6923" width="4.875" style="3456" customWidth="1"/>
    <col min="6924" max="6924" width="16.375" style="3456" customWidth="1"/>
    <col min="6925" max="6928" width="8.125" style="3456" customWidth="1"/>
    <col min="6929" max="7168" width="9" style="3456"/>
    <col min="7169" max="7169" width="6.375" style="3456" customWidth="1"/>
    <col min="7170" max="7170" width="19.375" style="3456" customWidth="1"/>
    <col min="7171" max="7171" width="7" style="3456" customWidth="1"/>
    <col min="7172" max="7172" width="3.25" style="3456" customWidth="1"/>
    <col min="7173" max="7173" width="7.375" style="3456" customWidth="1"/>
    <col min="7174" max="7174" width="3.5" style="3456" customWidth="1"/>
    <col min="7175" max="7175" width="19.375" style="3456" customWidth="1"/>
    <col min="7176" max="7176" width="19.5" style="3456" customWidth="1"/>
    <col min="7177" max="7177" width="8.625" style="3456" customWidth="1"/>
    <col min="7178" max="7178" width="10.5" style="3456" customWidth="1"/>
    <col min="7179" max="7179" width="4.875" style="3456" customWidth="1"/>
    <col min="7180" max="7180" width="16.375" style="3456" customWidth="1"/>
    <col min="7181" max="7184" width="8.125" style="3456" customWidth="1"/>
    <col min="7185" max="7424" width="9" style="3456"/>
    <col min="7425" max="7425" width="6.375" style="3456" customWidth="1"/>
    <col min="7426" max="7426" width="19.375" style="3456" customWidth="1"/>
    <col min="7427" max="7427" width="7" style="3456" customWidth="1"/>
    <col min="7428" max="7428" width="3.25" style="3456" customWidth="1"/>
    <col min="7429" max="7429" width="7.375" style="3456" customWidth="1"/>
    <col min="7430" max="7430" width="3.5" style="3456" customWidth="1"/>
    <col min="7431" max="7431" width="19.375" style="3456" customWidth="1"/>
    <col min="7432" max="7432" width="19.5" style="3456" customWidth="1"/>
    <col min="7433" max="7433" width="8.625" style="3456" customWidth="1"/>
    <col min="7434" max="7434" width="10.5" style="3456" customWidth="1"/>
    <col min="7435" max="7435" width="4.875" style="3456" customWidth="1"/>
    <col min="7436" max="7436" width="16.375" style="3456" customWidth="1"/>
    <col min="7437" max="7440" width="8.125" style="3456" customWidth="1"/>
    <col min="7441" max="7680" width="9" style="3456"/>
    <col min="7681" max="7681" width="6.375" style="3456" customWidth="1"/>
    <col min="7682" max="7682" width="19.375" style="3456" customWidth="1"/>
    <col min="7683" max="7683" width="7" style="3456" customWidth="1"/>
    <col min="7684" max="7684" width="3.25" style="3456" customWidth="1"/>
    <col min="7685" max="7685" width="7.375" style="3456" customWidth="1"/>
    <col min="7686" max="7686" width="3.5" style="3456" customWidth="1"/>
    <col min="7687" max="7687" width="19.375" style="3456" customWidth="1"/>
    <col min="7688" max="7688" width="19.5" style="3456" customWidth="1"/>
    <col min="7689" max="7689" width="8.625" style="3456" customWidth="1"/>
    <col min="7690" max="7690" width="10.5" style="3456" customWidth="1"/>
    <col min="7691" max="7691" width="4.875" style="3456" customWidth="1"/>
    <col min="7692" max="7692" width="16.375" style="3456" customWidth="1"/>
    <col min="7693" max="7696" width="8.125" style="3456" customWidth="1"/>
    <col min="7697" max="7936" width="9" style="3456"/>
    <col min="7937" max="7937" width="6.375" style="3456" customWidth="1"/>
    <col min="7938" max="7938" width="19.375" style="3456" customWidth="1"/>
    <col min="7939" max="7939" width="7" style="3456" customWidth="1"/>
    <col min="7940" max="7940" width="3.25" style="3456" customWidth="1"/>
    <col min="7941" max="7941" width="7.375" style="3456" customWidth="1"/>
    <col min="7942" max="7942" width="3.5" style="3456" customWidth="1"/>
    <col min="7943" max="7943" width="19.375" style="3456" customWidth="1"/>
    <col min="7944" max="7944" width="19.5" style="3456" customWidth="1"/>
    <col min="7945" max="7945" width="8.625" style="3456" customWidth="1"/>
    <col min="7946" max="7946" width="10.5" style="3456" customWidth="1"/>
    <col min="7947" max="7947" width="4.875" style="3456" customWidth="1"/>
    <col min="7948" max="7948" width="16.375" style="3456" customWidth="1"/>
    <col min="7949" max="7952" width="8.125" style="3456" customWidth="1"/>
    <col min="7953" max="8192" width="9" style="3456"/>
    <col min="8193" max="8193" width="6.375" style="3456" customWidth="1"/>
    <col min="8194" max="8194" width="19.375" style="3456" customWidth="1"/>
    <col min="8195" max="8195" width="7" style="3456" customWidth="1"/>
    <col min="8196" max="8196" width="3.25" style="3456" customWidth="1"/>
    <col min="8197" max="8197" width="7.375" style="3456" customWidth="1"/>
    <col min="8198" max="8198" width="3.5" style="3456" customWidth="1"/>
    <col min="8199" max="8199" width="19.375" style="3456" customWidth="1"/>
    <col min="8200" max="8200" width="19.5" style="3456" customWidth="1"/>
    <col min="8201" max="8201" width="8.625" style="3456" customWidth="1"/>
    <col min="8202" max="8202" width="10.5" style="3456" customWidth="1"/>
    <col min="8203" max="8203" width="4.875" style="3456" customWidth="1"/>
    <col min="8204" max="8204" width="16.375" style="3456" customWidth="1"/>
    <col min="8205" max="8208" width="8.125" style="3456" customWidth="1"/>
    <col min="8209" max="8448" width="9" style="3456"/>
    <col min="8449" max="8449" width="6.375" style="3456" customWidth="1"/>
    <col min="8450" max="8450" width="19.375" style="3456" customWidth="1"/>
    <col min="8451" max="8451" width="7" style="3456" customWidth="1"/>
    <col min="8452" max="8452" width="3.25" style="3456" customWidth="1"/>
    <col min="8453" max="8453" width="7.375" style="3456" customWidth="1"/>
    <col min="8454" max="8454" width="3.5" style="3456" customWidth="1"/>
    <col min="8455" max="8455" width="19.375" style="3456" customWidth="1"/>
    <col min="8456" max="8456" width="19.5" style="3456" customWidth="1"/>
    <col min="8457" max="8457" width="8.625" style="3456" customWidth="1"/>
    <col min="8458" max="8458" width="10.5" style="3456" customWidth="1"/>
    <col min="8459" max="8459" width="4.875" style="3456" customWidth="1"/>
    <col min="8460" max="8460" width="16.375" style="3456" customWidth="1"/>
    <col min="8461" max="8464" width="8.125" style="3456" customWidth="1"/>
    <col min="8465" max="8704" width="9" style="3456"/>
    <col min="8705" max="8705" width="6.375" style="3456" customWidth="1"/>
    <col min="8706" max="8706" width="19.375" style="3456" customWidth="1"/>
    <col min="8707" max="8707" width="7" style="3456" customWidth="1"/>
    <col min="8708" max="8708" width="3.25" style="3456" customWidth="1"/>
    <col min="8709" max="8709" width="7.375" style="3456" customWidth="1"/>
    <col min="8710" max="8710" width="3.5" style="3456" customWidth="1"/>
    <col min="8711" max="8711" width="19.375" style="3456" customWidth="1"/>
    <col min="8712" max="8712" width="19.5" style="3456" customWidth="1"/>
    <col min="8713" max="8713" width="8.625" style="3456" customWidth="1"/>
    <col min="8714" max="8714" width="10.5" style="3456" customWidth="1"/>
    <col min="8715" max="8715" width="4.875" style="3456" customWidth="1"/>
    <col min="8716" max="8716" width="16.375" style="3456" customWidth="1"/>
    <col min="8717" max="8720" width="8.125" style="3456" customWidth="1"/>
    <col min="8721" max="8960" width="9" style="3456"/>
    <col min="8961" max="8961" width="6.375" style="3456" customWidth="1"/>
    <col min="8962" max="8962" width="19.375" style="3456" customWidth="1"/>
    <col min="8963" max="8963" width="7" style="3456" customWidth="1"/>
    <col min="8964" max="8964" width="3.25" style="3456" customWidth="1"/>
    <col min="8965" max="8965" width="7.375" style="3456" customWidth="1"/>
    <col min="8966" max="8966" width="3.5" style="3456" customWidth="1"/>
    <col min="8967" max="8967" width="19.375" style="3456" customWidth="1"/>
    <col min="8968" max="8968" width="19.5" style="3456" customWidth="1"/>
    <col min="8969" max="8969" width="8.625" style="3456" customWidth="1"/>
    <col min="8970" max="8970" width="10.5" style="3456" customWidth="1"/>
    <col min="8971" max="8971" width="4.875" style="3456" customWidth="1"/>
    <col min="8972" max="8972" width="16.375" style="3456" customWidth="1"/>
    <col min="8973" max="8976" width="8.125" style="3456" customWidth="1"/>
    <col min="8977" max="9216" width="9" style="3456"/>
    <col min="9217" max="9217" width="6.375" style="3456" customWidth="1"/>
    <col min="9218" max="9218" width="19.375" style="3456" customWidth="1"/>
    <col min="9219" max="9219" width="7" style="3456" customWidth="1"/>
    <col min="9220" max="9220" width="3.25" style="3456" customWidth="1"/>
    <col min="9221" max="9221" width="7.375" style="3456" customWidth="1"/>
    <col min="9222" max="9222" width="3.5" style="3456" customWidth="1"/>
    <col min="9223" max="9223" width="19.375" style="3456" customWidth="1"/>
    <col min="9224" max="9224" width="19.5" style="3456" customWidth="1"/>
    <col min="9225" max="9225" width="8.625" style="3456" customWidth="1"/>
    <col min="9226" max="9226" width="10.5" style="3456" customWidth="1"/>
    <col min="9227" max="9227" width="4.875" style="3456" customWidth="1"/>
    <col min="9228" max="9228" width="16.375" style="3456" customWidth="1"/>
    <col min="9229" max="9232" width="8.125" style="3456" customWidth="1"/>
    <col min="9233" max="9472" width="9" style="3456"/>
    <col min="9473" max="9473" width="6.375" style="3456" customWidth="1"/>
    <col min="9474" max="9474" width="19.375" style="3456" customWidth="1"/>
    <col min="9475" max="9475" width="7" style="3456" customWidth="1"/>
    <col min="9476" max="9476" width="3.25" style="3456" customWidth="1"/>
    <col min="9477" max="9477" width="7.375" style="3456" customWidth="1"/>
    <col min="9478" max="9478" width="3.5" style="3456" customWidth="1"/>
    <col min="9479" max="9479" width="19.375" style="3456" customWidth="1"/>
    <col min="9480" max="9480" width="19.5" style="3456" customWidth="1"/>
    <col min="9481" max="9481" width="8.625" style="3456" customWidth="1"/>
    <col min="9482" max="9482" width="10.5" style="3456" customWidth="1"/>
    <col min="9483" max="9483" width="4.875" style="3456" customWidth="1"/>
    <col min="9484" max="9484" width="16.375" style="3456" customWidth="1"/>
    <col min="9485" max="9488" width="8.125" style="3456" customWidth="1"/>
    <col min="9489" max="9728" width="9" style="3456"/>
    <col min="9729" max="9729" width="6.375" style="3456" customWidth="1"/>
    <col min="9730" max="9730" width="19.375" style="3456" customWidth="1"/>
    <col min="9731" max="9731" width="7" style="3456" customWidth="1"/>
    <col min="9732" max="9732" width="3.25" style="3456" customWidth="1"/>
    <col min="9733" max="9733" width="7.375" style="3456" customWidth="1"/>
    <col min="9734" max="9734" width="3.5" style="3456" customWidth="1"/>
    <col min="9735" max="9735" width="19.375" style="3456" customWidth="1"/>
    <col min="9736" max="9736" width="19.5" style="3456" customWidth="1"/>
    <col min="9737" max="9737" width="8.625" style="3456" customWidth="1"/>
    <col min="9738" max="9738" width="10.5" style="3456" customWidth="1"/>
    <col min="9739" max="9739" width="4.875" style="3456" customWidth="1"/>
    <col min="9740" max="9740" width="16.375" style="3456" customWidth="1"/>
    <col min="9741" max="9744" width="8.125" style="3456" customWidth="1"/>
    <col min="9745" max="9984" width="9" style="3456"/>
    <col min="9985" max="9985" width="6.375" style="3456" customWidth="1"/>
    <col min="9986" max="9986" width="19.375" style="3456" customWidth="1"/>
    <col min="9987" max="9987" width="7" style="3456" customWidth="1"/>
    <col min="9988" max="9988" width="3.25" style="3456" customWidth="1"/>
    <col min="9989" max="9989" width="7.375" style="3456" customWidth="1"/>
    <col min="9990" max="9990" width="3.5" style="3456" customWidth="1"/>
    <col min="9991" max="9991" width="19.375" style="3456" customWidth="1"/>
    <col min="9992" max="9992" width="19.5" style="3456" customWidth="1"/>
    <col min="9993" max="9993" width="8.625" style="3456" customWidth="1"/>
    <col min="9994" max="9994" width="10.5" style="3456" customWidth="1"/>
    <col min="9995" max="9995" width="4.875" style="3456" customWidth="1"/>
    <col min="9996" max="9996" width="16.375" style="3456" customWidth="1"/>
    <col min="9997" max="10000" width="8.125" style="3456" customWidth="1"/>
    <col min="10001" max="10240" width="9" style="3456"/>
    <col min="10241" max="10241" width="6.375" style="3456" customWidth="1"/>
    <col min="10242" max="10242" width="19.375" style="3456" customWidth="1"/>
    <col min="10243" max="10243" width="7" style="3456" customWidth="1"/>
    <col min="10244" max="10244" width="3.25" style="3456" customWidth="1"/>
    <col min="10245" max="10245" width="7.375" style="3456" customWidth="1"/>
    <col min="10246" max="10246" width="3.5" style="3456" customWidth="1"/>
    <col min="10247" max="10247" width="19.375" style="3456" customWidth="1"/>
    <col min="10248" max="10248" width="19.5" style="3456" customWidth="1"/>
    <col min="10249" max="10249" width="8.625" style="3456" customWidth="1"/>
    <col min="10250" max="10250" width="10.5" style="3456" customWidth="1"/>
    <col min="10251" max="10251" width="4.875" style="3456" customWidth="1"/>
    <col min="10252" max="10252" width="16.375" style="3456" customWidth="1"/>
    <col min="10253" max="10256" width="8.125" style="3456" customWidth="1"/>
    <col min="10257" max="10496" width="9" style="3456"/>
    <col min="10497" max="10497" width="6.375" style="3456" customWidth="1"/>
    <col min="10498" max="10498" width="19.375" style="3456" customWidth="1"/>
    <col min="10499" max="10499" width="7" style="3456" customWidth="1"/>
    <col min="10500" max="10500" width="3.25" style="3456" customWidth="1"/>
    <col min="10501" max="10501" width="7.375" style="3456" customWidth="1"/>
    <col min="10502" max="10502" width="3.5" style="3456" customWidth="1"/>
    <col min="10503" max="10503" width="19.375" style="3456" customWidth="1"/>
    <col min="10504" max="10504" width="19.5" style="3456" customWidth="1"/>
    <col min="10505" max="10505" width="8.625" style="3456" customWidth="1"/>
    <col min="10506" max="10506" width="10.5" style="3456" customWidth="1"/>
    <col min="10507" max="10507" width="4.875" style="3456" customWidth="1"/>
    <col min="10508" max="10508" width="16.375" style="3456" customWidth="1"/>
    <col min="10509" max="10512" width="8.125" style="3456" customWidth="1"/>
    <col min="10513" max="10752" width="9" style="3456"/>
    <col min="10753" max="10753" width="6.375" style="3456" customWidth="1"/>
    <col min="10754" max="10754" width="19.375" style="3456" customWidth="1"/>
    <col min="10755" max="10755" width="7" style="3456" customWidth="1"/>
    <col min="10756" max="10756" width="3.25" style="3456" customWidth="1"/>
    <col min="10757" max="10757" width="7.375" style="3456" customWidth="1"/>
    <col min="10758" max="10758" width="3.5" style="3456" customWidth="1"/>
    <col min="10759" max="10759" width="19.375" style="3456" customWidth="1"/>
    <col min="10760" max="10760" width="19.5" style="3456" customWidth="1"/>
    <col min="10761" max="10761" width="8.625" style="3456" customWidth="1"/>
    <col min="10762" max="10762" width="10.5" style="3456" customWidth="1"/>
    <col min="10763" max="10763" width="4.875" style="3456" customWidth="1"/>
    <col min="10764" max="10764" width="16.375" style="3456" customWidth="1"/>
    <col min="10765" max="10768" width="8.125" style="3456" customWidth="1"/>
    <col min="10769" max="11008" width="9" style="3456"/>
    <col min="11009" max="11009" width="6.375" style="3456" customWidth="1"/>
    <col min="11010" max="11010" width="19.375" style="3456" customWidth="1"/>
    <col min="11011" max="11011" width="7" style="3456" customWidth="1"/>
    <col min="11012" max="11012" width="3.25" style="3456" customWidth="1"/>
    <col min="11013" max="11013" width="7.375" style="3456" customWidth="1"/>
    <col min="11014" max="11014" width="3.5" style="3456" customWidth="1"/>
    <col min="11015" max="11015" width="19.375" style="3456" customWidth="1"/>
    <col min="11016" max="11016" width="19.5" style="3456" customWidth="1"/>
    <col min="11017" max="11017" width="8.625" style="3456" customWidth="1"/>
    <col min="11018" max="11018" width="10.5" style="3456" customWidth="1"/>
    <col min="11019" max="11019" width="4.875" style="3456" customWidth="1"/>
    <col min="11020" max="11020" width="16.375" style="3456" customWidth="1"/>
    <col min="11021" max="11024" width="8.125" style="3456" customWidth="1"/>
    <col min="11025" max="11264" width="9" style="3456"/>
    <col min="11265" max="11265" width="6.375" style="3456" customWidth="1"/>
    <col min="11266" max="11266" width="19.375" style="3456" customWidth="1"/>
    <col min="11267" max="11267" width="7" style="3456" customWidth="1"/>
    <col min="11268" max="11268" width="3.25" style="3456" customWidth="1"/>
    <col min="11269" max="11269" width="7.375" style="3456" customWidth="1"/>
    <col min="11270" max="11270" width="3.5" style="3456" customWidth="1"/>
    <col min="11271" max="11271" width="19.375" style="3456" customWidth="1"/>
    <col min="11272" max="11272" width="19.5" style="3456" customWidth="1"/>
    <col min="11273" max="11273" width="8.625" style="3456" customWidth="1"/>
    <col min="11274" max="11274" width="10.5" style="3456" customWidth="1"/>
    <col min="11275" max="11275" width="4.875" style="3456" customWidth="1"/>
    <col min="11276" max="11276" width="16.375" style="3456" customWidth="1"/>
    <col min="11277" max="11280" width="8.125" style="3456" customWidth="1"/>
    <col min="11281" max="11520" width="9" style="3456"/>
    <col min="11521" max="11521" width="6.375" style="3456" customWidth="1"/>
    <col min="11522" max="11522" width="19.375" style="3456" customWidth="1"/>
    <col min="11523" max="11523" width="7" style="3456" customWidth="1"/>
    <col min="11524" max="11524" width="3.25" style="3456" customWidth="1"/>
    <col min="11525" max="11525" width="7.375" style="3456" customWidth="1"/>
    <col min="11526" max="11526" width="3.5" style="3456" customWidth="1"/>
    <col min="11527" max="11527" width="19.375" style="3456" customWidth="1"/>
    <col min="11528" max="11528" width="19.5" style="3456" customWidth="1"/>
    <col min="11529" max="11529" width="8.625" style="3456" customWidth="1"/>
    <col min="11530" max="11530" width="10.5" style="3456" customWidth="1"/>
    <col min="11531" max="11531" width="4.875" style="3456" customWidth="1"/>
    <col min="11532" max="11532" width="16.375" style="3456" customWidth="1"/>
    <col min="11533" max="11536" width="8.125" style="3456" customWidth="1"/>
    <col min="11537" max="11776" width="9" style="3456"/>
    <col min="11777" max="11777" width="6.375" style="3456" customWidth="1"/>
    <col min="11778" max="11778" width="19.375" style="3456" customWidth="1"/>
    <col min="11779" max="11779" width="7" style="3456" customWidth="1"/>
    <col min="11780" max="11780" width="3.25" style="3456" customWidth="1"/>
    <col min="11781" max="11781" width="7.375" style="3456" customWidth="1"/>
    <col min="11782" max="11782" width="3.5" style="3456" customWidth="1"/>
    <col min="11783" max="11783" width="19.375" style="3456" customWidth="1"/>
    <col min="11784" max="11784" width="19.5" style="3456" customWidth="1"/>
    <col min="11785" max="11785" width="8.625" style="3456" customWidth="1"/>
    <col min="11786" max="11786" width="10.5" style="3456" customWidth="1"/>
    <col min="11787" max="11787" width="4.875" style="3456" customWidth="1"/>
    <col min="11788" max="11788" width="16.375" style="3456" customWidth="1"/>
    <col min="11789" max="11792" width="8.125" style="3456" customWidth="1"/>
    <col min="11793" max="12032" width="9" style="3456"/>
    <col min="12033" max="12033" width="6.375" style="3456" customWidth="1"/>
    <col min="12034" max="12034" width="19.375" style="3456" customWidth="1"/>
    <col min="12035" max="12035" width="7" style="3456" customWidth="1"/>
    <col min="12036" max="12036" width="3.25" style="3456" customWidth="1"/>
    <col min="12037" max="12037" width="7.375" style="3456" customWidth="1"/>
    <col min="12038" max="12038" width="3.5" style="3456" customWidth="1"/>
    <col min="12039" max="12039" width="19.375" style="3456" customWidth="1"/>
    <col min="12040" max="12040" width="19.5" style="3456" customWidth="1"/>
    <col min="12041" max="12041" width="8.625" style="3456" customWidth="1"/>
    <col min="12042" max="12042" width="10.5" style="3456" customWidth="1"/>
    <col min="12043" max="12043" width="4.875" style="3456" customWidth="1"/>
    <col min="12044" max="12044" width="16.375" style="3456" customWidth="1"/>
    <col min="12045" max="12048" width="8.125" style="3456" customWidth="1"/>
    <col min="12049" max="12288" width="9" style="3456"/>
    <col min="12289" max="12289" width="6.375" style="3456" customWidth="1"/>
    <col min="12290" max="12290" width="19.375" style="3456" customWidth="1"/>
    <col min="12291" max="12291" width="7" style="3456" customWidth="1"/>
    <col min="12292" max="12292" width="3.25" style="3456" customWidth="1"/>
    <col min="12293" max="12293" width="7.375" style="3456" customWidth="1"/>
    <col min="12294" max="12294" width="3.5" style="3456" customWidth="1"/>
    <col min="12295" max="12295" width="19.375" style="3456" customWidth="1"/>
    <col min="12296" max="12296" width="19.5" style="3456" customWidth="1"/>
    <col min="12297" max="12297" width="8.625" style="3456" customWidth="1"/>
    <col min="12298" max="12298" width="10.5" style="3456" customWidth="1"/>
    <col min="12299" max="12299" width="4.875" style="3456" customWidth="1"/>
    <col min="12300" max="12300" width="16.375" style="3456" customWidth="1"/>
    <col min="12301" max="12304" width="8.125" style="3456" customWidth="1"/>
    <col min="12305" max="12544" width="9" style="3456"/>
    <col min="12545" max="12545" width="6.375" style="3456" customWidth="1"/>
    <col min="12546" max="12546" width="19.375" style="3456" customWidth="1"/>
    <col min="12547" max="12547" width="7" style="3456" customWidth="1"/>
    <col min="12548" max="12548" width="3.25" style="3456" customWidth="1"/>
    <col min="12549" max="12549" width="7.375" style="3456" customWidth="1"/>
    <col min="12550" max="12550" width="3.5" style="3456" customWidth="1"/>
    <col min="12551" max="12551" width="19.375" style="3456" customWidth="1"/>
    <col min="12552" max="12552" width="19.5" style="3456" customWidth="1"/>
    <col min="12553" max="12553" width="8.625" style="3456" customWidth="1"/>
    <col min="12554" max="12554" width="10.5" style="3456" customWidth="1"/>
    <col min="12555" max="12555" width="4.875" style="3456" customWidth="1"/>
    <col min="12556" max="12556" width="16.375" style="3456" customWidth="1"/>
    <col min="12557" max="12560" width="8.125" style="3456" customWidth="1"/>
    <col min="12561" max="12800" width="9" style="3456"/>
    <col min="12801" max="12801" width="6.375" style="3456" customWidth="1"/>
    <col min="12802" max="12802" width="19.375" style="3456" customWidth="1"/>
    <col min="12803" max="12803" width="7" style="3456" customWidth="1"/>
    <col min="12804" max="12804" width="3.25" style="3456" customWidth="1"/>
    <col min="12805" max="12805" width="7.375" style="3456" customWidth="1"/>
    <col min="12806" max="12806" width="3.5" style="3456" customWidth="1"/>
    <col min="12807" max="12807" width="19.375" style="3456" customWidth="1"/>
    <col min="12808" max="12808" width="19.5" style="3456" customWidth="1"/>
    <col min="12809" max="12809" width="8.625" style="3456" customWidth="1"/>
    <col min="12810" max="12810" width="10.5" style="3456" customWidth="1"/>
    <col min="12811" max="12811" width="4.875" style="3456" customWidth="1"/>
    <col min="12812" max="12812" width="16.375" style="3456" customWidth="1"/>
    <col min="12813" max="12816" width="8.125" style="3456" customWidth="1"/>
    <col min="12817" max="13056" width="9" style="3456"/>
    <col min="13057" max="13057" width="6.375" style="3456" customWidth="1"/>
    <col min="13058" max="13058" width="19.375" style="3456" customWidth="1"/>
    <col min="13059" max="13059" width="7" style="3456" customWidth="1"/>
    <col min="13060" max="13060" width="3.25" style="3456" customWidth="1"/>
    <col min="13061" max="13061" width="7.375" style="3456" customWidth="1"/>
    <col min="13062" max="13062" width="3.5" style="3456" customWidth="1"/>
    <col min="13063" max="13063" width="19.375" style="3456" customWidth="1"/>
    <col min="13064" max="13064" width="19.5" style="3456" customWidth="1"/>
    <col min="13065" max="13065" width="8.625" style="3456" customWidth="1"/>
    <col min="13066" max="13066" width="10.5" style="3456" customWidth="1"/>
    <col min="13067" max="13067" width="4.875" style="3456" customWidth="1"/>
    <col min="13068" max="13068" width="16.375" style="3456" customWidth="1"/>
    <col min="13069" max="13072" width="8.125" style="3456" customWidth="1"/>
    <col min="13073" max="13312" width="9" style="3456"/>
    <col min="13313" max="13313" width="6.375" style="3456" customWidth="1"/>
    <col min="13314" max="13314" width="19.375" style="3456" customWidth="1"/>
    <col min="13315" max="13315" width="7" style="3456" customWidth="1"/>
    <col min="13316" max="13316" width="3.25" style="3456" customWidth="1"/>
    <col min="13317" max="13317" width="7.375" style="3456" customWidth="1"/>
    <col min="13318" max="13318" width="3.5" style="3456" customWidth="1"/>
    <col min="13319" max="13319" width="19.375" style="3456" customWidth="1"/>
    <col min="13320" max="13320" width="19.5" style="3456" customWidth="1"/>
    <col min="13321" max="13321" width="8.625" style="3456" customWidth="1"/>
    <col min="13322" max="13322" width="10.5" style="3456" customWidth="1"/>
    <col min="13323" max="13323" width="4.875" style="3456" customWidth="1"/>
    <col min="13324" max="13324" width="16.375" style="3456" customWidth="1"/>
    <col min="13325" max="13328" width="8.125" style="3456" customWidth="1"/>
    <col min="13329" max="13568" width="9" style="3456"/>
    <col min="13569" max="13569" width="6.375" style="3456" customWidth="1"/>
    <col min="13570" max="13570" width="19.375" style="3456" customWidth="1"/>
    <col min="13571" max="13571" width="7" style="3456" customWidth="1"/>
    <col min="13572" max="13572" width="3.25" style="3456" customWidth="1"/>
    <col min="13573" max="13573" width="7.375" style="3456" customWidth="1"/>
    <col min="13574" max="13574" width="3.5" style="3456" customWidth="1"/>
    <col min="13575" max="13575" width="19.375" style="3456" customWidth="1"/>
    <col min="13576" max="13576" width="19.5" style="3456" customWidth="1"/>
    <col min="13577" max="13577" width="8.625" style="3456" customWidth="1"/>
    <col min="13578" max="13578" width="10.5" style="3456" customWidth="1"/>
    <col min="13579" max="13579" width="4.875" style="3456" customWidth="1"/>
    <col min="13580" max="13580" width="16.375" style="3456" customWidth="1"/>
    <col min="13581" max="13584" width="8.125" style="3456" customWidth="1"/>
    <col min="13585" max="13824" width="9" style="3456"/>
    <col min="13825" max="13825" width="6.375" style="3456" customWidth="1"/>
    <col min="13826" max="13826" width="19.375" style="3456" customWidth="1"/>
    <col min="13827" max="13827" width="7" style="3456" customWidth="1"/>
    <col min="13828" max="13828" width="3.25" style="3456" customWidth="1"/>
    <col min="13829" max="13829" width="7.375" style="3456" customWidth="1"/>
    <col min="13830" max="13830" width="3.5" style="3456" customWidth="1"/>
    <col min="13831" max="13831" width="19.375" style="3456" customWidth="1"/>
    <col min="13832" max="13832" width="19.5" style="3456" customWidth="1"/>
    <col min="13833" max="13833" width="8.625" style="3456" customWidth="1"/>
    <col min="13834" max="13834" width="10.5" style="3456" customWidth="1"/>
    <col min="13835" max="13835" width="4.875" style="3456" customWidth="1"/>
    <col min="13836" max="13836" width="16.375" style="3456" customWidth="1"/>
    <col min="13837" max="13840" width="8.125" style="3456" customWidth="1"/>
    <col min="13841" max="14080" width="9" style="3456"/>
    <col min="14081" max="14081" width="6.375" style="3456" customWidth="1"/>
    <col min="14082" max="14082" width="19.375" style="3456" customWidth="1"/>
    <col min="14083" max="14083" width="7" style="3456" customWidth="1"/>
    <col min="14084" max="14084" width="3.25" style="3456" customWidth="1"/>
    <col min="14085" max="14085" width="7.375" style="3456" customWidth="1"/>
    <col min="14086" max="14086" width="3.5" style="3456" customWidth="1"/>
    <col min="14087" max="14087" width="19.375" style="3456" customWidth="1"/>
    <col min="14088" max="14088" width="19.5" style="3456" customWidth="1"/>
    <col min="14089" max="14089" width="8.625" style="3456" customWidth="1"/>
    <col min="14090" max="14090" width="10.5" style="3456" customWidth="1"/>
    <col min="14091" max="14091" width="4.875" style="3456" customWidth="1"/>
    <col min="14092" max="14092" width="16.375" style="3456" customWidth="1"/>
    <col min="14093" max="14096" width="8.125" style="3456" customWidth="1"/>
    <col min="14097" max="14336" width="9" style="3456"/>
    <col min="14337" max="14337" width="6.375" style="3456" customWidth="1"/>
    <col min="14338" max="14338" width="19.375" style="3456" customWidth="1"/>
    <col min="14339" max="14339" width="7" style="3456" customWidth="1"/>
    <col min="14340" max="14340" width="3.25" style="3456" customWidth="1"/>
    <col min="14341" max="14341" width="7.375" style="3456" customWidth="1"/>
    <col min="14342" max="14342" width="3.5" style="3456" customWidth="1"/>
    <col min="14343" max="14343" width="19.375" style="3456" customWidth="1"/>
    <col min="14344" max="14344" width="19.5" style="3456" customWidth="1"/>
    <col min="14345" max="14345" width="8.625" style="3456" customWidth="1"/>
    <col min="14346" max="14346" width="10.5" style="3456" customWidth="1"/>
    <col min="14347" max="14347" width="4.875" style="3456" customWidth="1"/>
    <col min="14348" max="14348" width="16.375" style="3456" customWidth="1"/>
    <col min="14349" max="14352" width="8.125" style="3456" customWidth="1"/>
    <col min="14353" max="14592" width="9" style="3456"/>
    <col min="14593" max="14593" width="6.375" style="3456" customWidth="1"/>
    <col min="14594" max="14594" width="19.375" style="3456" customWidth="1"/>
    <col min="14595" max="14595" width="7" style="3456" customWidth="1"/>
    <col min="14596" max="14596" width="3.25" style="3456" customWidth="1"/>
    <col min="14597" max="14597" width="7.375" style="3456" customWidth="1"/>
    <col min="14598" max="14598" width="3.5" style="3456" customWidth="1"/>
    <col min="14599" max="14599" width="19.375" style="3456" customWidth="1"/>
    <col min="14600" max="14600" width="19.5" style="3456" customWidth="1"/>
    <col min="14601" max="14601" width="8.625" style="3456" customWidth="1"/>
    <col min="14602" max="14602" width="10.5" style="3456" customWidth="1"/>
    <col min="14603" max="14603" width="4.875" style="3456" customWidth="1"/>
    <col min="14604" max="14604" width="16.375" style="3456" customWidth="1"/>
    <col min="14605" max="14608" width="8.125" style="3456" customWidth="1"/>
    <col min="14609" max="14848" width="9" style="3456"/>
    <col min="14849" max="14849" width="6.375" style="3456" customWidth="1"/>
    <col min="14850" max="14850" width="19.375" style="3456" customWidth="1"/>
    <col min="14851" max="14851" width="7" style="3456" customWidth="1"/>
    <col min="14852" max="14852" width="3.25" style="3456" customWidth="1"/>
    <col min="14853" max="14853" width="7.375" style="3456" customWidth="1"/>
    <col min="14854" max="14854" width="3.5" style="3456" customWidth="1"/>
    <col min="14855" max="14855" width="19.375" style="3456" customWidth="1"/>
    <col min="14856" max="14856" width="19.5" style="3456" customWidth="1"/>
    <col min="14857" max="14857" width="8.625" style="3456" customWidth="1"/>
    <col min="14858" max="14858" width="10.5" style="3456" customWidth="1"/>
    <col min="14859" max="14859" width="4.875" style="3456" customWidth="1"/>
    <col min="14860" max="14860" width="16.375" style="3456" customWidth="1"/>
    <col min="14861" max="14864" width="8.125" style="3456" customWidth="1"/>
    <col min="14865" max="15104" width="9" style="3456"/>
    <col min="15105" max="15105" width="6.375" style="3456" customWidth="1"/>
    <col min="15106" max="15106" width="19.375" style="3456" customWidth="1"/>
    <col min="15107" max="15107" width="7" style="3456" customWidth="1"/>
    <col min="15108" max="15108" width="3.25" style="3456" customWidth="1"/>
    <col min="15109" max="15109" width="7.375" style="3456" customWidth="1"/>
    <col min="15110" max="15110" width="3.5" style="3456" customWidth="1"/>
    <col min="15111" max="15111" width="19.375" style="3456" customWidth="1"/>
    <col min="15112" max="15112" width="19.5" style="3456" customWidth="1"/>
    <col min="15113" max="15113" width="8.625" style="3456" customWidth="1"/>
    <col min="15114" max="15114" width="10.5" style="3456" customWidth="1"/>
    <col min="15115" max="15115" width="4.875" style="3456" customWidth="1"/>
    <col min="15116" max="15116" width="16.375" style="3456" customWidth="1"/>
    <col min="15117" max="15120" width="8.125" style="3456" customWidth="1"/>
    <col min="15121" max="15360" width="9" style="3456"/>
    <col min="15361" max="15361" width="6.375" style="3456" customWidth="1"/>
    <col min="15362" max="15362" width="19.375" style="3456" customWidth="1"/>
    <col min="15363" max="15363" width="7" style="3456" customWidth="1"/>
    <col min="15364" max="15364" width="3.25" style="3456" customWidth="1"/>
    <col min="15365" max="15365" width="7.375" style="3456" customWidth="1"/>
    <col min="15366" max="15366" width="3.5" style="3456" customWidth="1"/>
    <col min="15367" max="15367" width="19.375" style="3456" customWidth="1"/>
    <col min="15368" max="15368" width="19.5" style="3456" customWidth="1"/>
    <col min="15369" max="15369" width="8.625" style="3456" customWidth="1"/>
    <col min="15370" max="15370" width="10.5" style="3456" customWidth="1"/>
    <col min="15371" max="15371" width="4.875" style="3456" customWidth="1"/>
    <col min="15372" max="15372" width="16.375" style="3456" customWidth="1"/>
    <col min="15373" max="15376" width="8.125" style="3456" customWidth="1"/>
    <col min="15377" max="15616" width="9" style="3456"/>
    <col min="15617" max="15617" width="6.375" style="3456" customWidth="1"/>
    <col min="15618" max="15618" width="19.375" style="3456" customWidth="1"/>
    <col min="15619" max="15619" width="7" style="3456" customWidth="1"/>
    <col min="15620" max="15620" width="3.25" style="3456" customWidth="1"/>
    <col min="15621" max="15621" width="7.375" style="3456" customWidth="1"/>
    <col min="15622" max="15622" width="3.5" style="3456" customWidth="1"/>
    <col min="15623" max="15623" width="19.375" style="3456" customWidth="1"/>
    <col min="15624" max="15624" width="19.5" style="3456" customWidth="1"/>
    <col min="15625" max="15625" width="8.625" style="3456" customWidth="1"/>
    <col min="15626" max="15626" width="10.5" style="3456" customWidth="1"/>
    <col min="15627" max="15627" width="4.875" style="3456" customWidth="1"/>
    <col min="15628" max="15628" width="16.375" style="3456" customWidth="1"/>
    <col min="15629" max="15632" width="8.125" style="3456" customWidth="1"/>
    <col min="15633" max="15872" width="9" style="3456"/>
    <col min="15873" max="15873" width="6.375" style="3456" customWidth="1"/>
    <col min="15874" max="15874" width="19.375" style="3456" customWidth="1"/>
    <col min="15875" max="15875" width="7" style="3456" customWidth="1"/>
    <col min="15876" max="15876" width="3.25" style="3456" customWidth="1"/>
    <col min="15877" max="15877" width="7.375" style="3456" customWidth="1"/>
    <col min="15878" max="15878" width="3.5" style="3456" customWidth="1"/>
    <col min="15879" max="15879" width="19.375" style="3456" customWidth="1"/>
    <col min="15880" max="15880" width="19.5" style="3456" customWidth="1"/>
    <col min="15881" max="15881" width="8.625" style="3456" customWidth="1"/>
    <col min="15882" max="15882" width="10.5" style="3456" customWidth="1"/>
    <col min="15883" max="15883" width="4.875" style="3456" customWidth="1"/>
    <col min="15884" max="15884" width="16.375" style="3456" customWidth="1"/>
    <col min="15885" max="15888" width="8.125" style="3456" customWidth="1"/>
    <col min="15889" max="16128" width="9" style="3456"/>
    <col min="16129" max="16129" width="6.375" style="3456" customWidth="1"/>
    <col min="16130" max="16130" width="19.375" style="3456" customWidth="1"/>
    <col min="16131" max="16131" width="7" style="3456" customWidth="1"/>
    <col min="16132" max="16132" width="3.25" style="3456" customWidth="1"/>
    <col min="16133" max="16133" width="7.375" style="3456" customWidth="1"/>
    <col min="16134" max="16134" width="3.5" style="3456" customWidth="1"/>
    <col min="16135" max="16135" width="19.375" style="3456" customWidth="1"/>
    <col min="16136" max="16136" width="19.5" style="3456" customWidth="1"/>
    <col min="16137" max="16137" width="8.625" style="3456" customWidth="1"/>
    <col min="16138" max="16138" width="10.5" style="3456" customWidth="1"/>
    <col min="16139" max="16139" width="4.875" style="3456" customWidth="1"/>
    <col min="16140" max="16140" width="16.375" style="3456" customWidth="1"/>
    <col min="16141" max="16144" width="8.125" style="3456" customWidth="1"/>
    <col min="16145" max="16384" width="9" style="3456"/>
  </cols>
  <sheetData>
    <row r="1" spans="1:16">
      <c r="A1" s="3631" t="s">
        <v>3372</v>
      </c>
      <c r="B1" s="3631"/>
      <c r="C1" s="3631"/>
      <c r="D1" s="3631"/>
      <c r="E1" s="3631"/>
      <c r="F1" s="3631"/>
      <c r="G1" s="3631"/>
      <c r="H1" s="3631"/>
      <c r="I1" s="3631"/>
      <c r="K1" s="3632" t="s">
        <v>3373</v>
      </c>
      <c r="L1" s="3453" t="s">
        <v>3374</v>
      </c>
      <c r="M1" s="3454">
        <v>0</v>
      </c>
      <c r="N1" s="3455"/>
      <c r="O1" s="3455"/>
    </row>
    <row r="2" spans="1:16" ht="15.75" customHeight="1">
      <c r="A2" s="3457" t="s">
        <v>2641</v>
      </c>
      <c r="B2" s="3458" t="s">
        <v>3375</v>
      </c>
      <c r="C2" s="3633" t="s">
        <v>3376</v>
      </c>
      <c r="D2" s="3634"/>
      <c r="E2" s="3634"/>
      <c r="F2" s="3635"/>
      <c r="G2" s="3459" t="s">
        <v>3377</v>
      </c>
      <c r="H2" s="3636" t="s">
        <v>3378</v>
      </c>
      <c r="I2" s="3636"/>
      <c r="K2" s="3632"/>
      <c r="L2" s="3453" t="s">
        <v>3379</v>
      </c>
      <c r="M2" s="3460">
        <f>2022-2011</f>
        <v>11</v>
      </c>
      <c r="N2" s="3461">
        <v>2011</v>
      </c>
      <c r="O2" s="3461"/>
    </row>
    <row r="3" spans="1:16">
      <c r="A3" s="3459" t="s">
        <v>3380</v>
      </c>
      <c r="B3" s="3462" t="s">
        <v>3381</v>
      </c>
      <c r="C3" s="3633">
        <f ca="1">'成本法 (元)'!B2*10000</f>
        <v>2249999</v>
      </c>
      <c r="D3" s="3634"/>
      <c r="E3" s="3634"/>
      <c r="F3" s="3635"/>
      <c r="G3" s="3459" t="s">
        <v>3382</v>
      </c>
      <c r="H3" s="3462" t="s">
        <v>3383</v>
      </c>
      <c r="I3" s="3463">
        <f>'数据-汇总表'!F19</f>
        <v>135.71</v>
      </c>
      <c r="K3" s="3632"/>
      <c r="L3" s="3453" t="s">
        <v>3384</v>
      </c>
      <c r="M3" s="3464" t="s">
        <v>3385</v>
      </c>
      <c r="N3" s="3461"/>
      <c r="O3" s="3461"/>
    </row>
    <row r="4" spans="1:16">
      <c r="A4" s="3636" t="s">
        <v>3386</v>
      </c>
      <c r="B4" s="3637" t="s">
        <v>3387</v>
      </c>
      <c r="C4" s="3638">
        <f ca="1">ROUND(C3*(I4-I6)/(1-((1+I6)/(1+I4))^I5),0)</f>
        <v>72642</v>
      </c>
      <c r="D4" s="3639"/>
      <c r="E4" s="3639"/>
      <c r="F4" s="3640"/>
      <c r="G4" s="3636" t="s">
        <v>3388</v>
      </c>
      <c r="H4" s="3465" t="s">
        <v>3389</v>
      </c>
      <c r="I4" s="3466">
        <v>4.4999999999999998E-2</v>
      </c>
      <c r="K4" s="3632"/>
      <c r="L4" s="3453" t="s">
        <v>3390</v>
      </c>
      <c r="M4" s="3467">
        <f>ROUND(1-(1-M1)*M2/M3,2)</f>
        <v>0.82</v>
      </c>
      <c r="N4" s="3461"/>
      <c r="O4" s="3461"/>
    </row>
    <row r="5" spans="1:16" s="3470" customFormat="1" ht="18" customHeight="1">
      <c r="A5" s="3636"/>
      <c r="B5" s="3637"/>
      <c r="C5" s="3641"/>
      <c r="D5" s="3642"/>
      <c r="E5" s="3642"/>
      <c r="F5" s="3643"/>
      <c r="G5" s="3636"/>
      <c r="H5" s="3462" t="s">
        <v>3391</v>
      </c>
      <c r="I5" s="3535">
        <f>项目基本情况!E15</f>
        <v>50</v>
      </c>
      <c r="J5" s="3468"/>
      <c r="K5" s="3632"/>
      <c r="L5" s="3453" t="s">
        <v>3392</v>
      </c>
      <c r="M5" s="3469">
        <v>0.5</v>
      </c>
      <c r="N5" s="3461"/>
      <c r="O5" s="3461">
        <f>(M4+O10)/2</f>
        <v>0.86</v>
      </c>
    </row>
    <row r="6" spans="1:16" s="3470" customFormat="1" ht="18" customHeight="1">
      <c r="A6" s="3636"/>
      <c r="B6" s="3637"/>
      <c r="C6" s="3644"/>
      <c r="D6" s="3645"/>
      <c r="E6" s="3645"/>
      <c r="F6" s="3646"/>
      <c r="G6" s="3636"/>
      <c r="H6" s="3462" t="s">
        <v>3393</v>
      </c>
      <c r="I6" s="3466">
        <v>2.5000000000000001E-2</v>
      </c>
      <c r="J6" s="3471"/>
      <c r="K6" s="3647" t="s">
        <v>3394</v>
      </c>
      <c r="L6" s="3472" t="s">
        <v>3395</v>
      </c>
      <c r="M6" s="3473" t="s">
        <v>3396</v>
      </c>
      <c r="N6" s="3473" t="s">
        <v>3397</v>
      </c>
      <c r="O6" s="3473" t="s">
        <v>3398</v>
      </c>
      <c r="P6" s="3473" t="s">
        <v>3399</v>
      </c>
    </row>
    <row r="7" spans="1:16" s="3470" customFormat="1" ht="18" customHeight="1">
      <c r="A7" s="3459" t="s">
        <v>3400</v>
      </c>
      <c r="B7" s="3462" t="s">
        <v>3401</v>
      </c>
      <c r="C7" s="3633">
        <f>ROUND(C23*I7,0)</f>
        <v>366555</v>
      </c>
      <c r="D7" s="3634"/>
      <c r="E7" s="3634"/>
      <c r="F7" s="3635"/>
      <c r="G7" s="3459" t="s">
        <v>3402</v>
      </c>
      <c r="H7" s="3462" t="s">
        <v>3403</v>
      </c>
      <c r="I7" s="3474">
        <f>'数据-取费表'!N6</f>
        <v>0.6</v>
      </c>
      <c r="K7" s="3647"/>
      <c r="L7" s="3472" t="s">
        <v>3404</v>
      </c>
      <c r="M7" s="3473">
        <v>100</v>
      </c>
      <c r="N7" s="3473" t="s">
        <v>3405</v>
      </c>
      <c r="O7" s="3473">
        <v>90</v>
      </c>
      <c r="P7" s="3475">
        <v>0.3</v>
      </c>
    </row>
    <row r="8" spans="1:16" s="3470" customFormat="1" ht="18" customHeight="1">
      <c r="A8" s="3457" t="s">
        <v>3406</v>
      </c>
      <c r="B8" s="3462" t="s">
        <v>3407</v>
      </c>
      <c r="C8" s="3633">
        <f>ROUND(I8*I3,0)</f>
        <v>474985</v>
      </c>
      <c r="D8" s="3634"/>
      <c r="E8" s="3634"/>
      <c r="F8" s="3635"/>
      <c r="G8" s="3459" t="s">
        <v>3408</v>
      </c>
      <c r="H8" s="3462" t="s">
        <v>3409</v>
      </c>
      <c r="I8" s="3459">
        <f>'数据-取费表'!L6</f>
        <v>3500</v>
      </c>
      <c r="J8" s="3476">
        <f>D35</f>
        <v>1.6</v>
      </c>
      <c r="K8" s="3647"/>
      <c r="L8" s="3472" t="s">
        <v>3410</v>
      </c>
      <c r="M8" s="3473">
        <v>100</v>
      </c>
      <c r="N8" s="3473" t="s">
        <v>3405</v>
      </c>
      <c r="O8" s="3473">
        <v>90</v>
      </c>
      <c r="P8" s="3475">
        <v>0.5</v>
      </c>
    </row>
    <row r="9" spans="1:16" s="3470" customFormat="1" ht="18" customHeight="1">
      <c r="A9" s="3457" t="s">
        <v>3411</v>
      </c>
      <c r="B9" s="3462" t="s">
        <v>3412</v>
      </c>
      <c r="C9" s="3633">
        <f>ROUND(C8*H9,0)</f>
        <v>18999</v>
      </c>
      <c r="D9" s="3634"/>
      <c r="E9" s="3634"/>
      <c r="F9" s="3635"/>
      <c r="G9" s="3459" t="s">
        <v>3413</v>
      </c>
      <c r="H9" s="3648">
        <f>'[1]数据-取费表'!B33</f>
        <v>0.04</v>
      </c>
      <c r="I9" s="3648"/>
      <c r="J9" s="3476">
        <f ca="1">D36</f>
        <v>1.9</v>
      </c>
      <c r="K9" s="3647"/>
      <c r="L9" s="3472" t="s">
        <v>3414</v>
      </c>
      <c r="M9" s="3473">
        <v>100</v>
      </c>
      <c r="N9" s="3473" t="s">
        <v>3405</v>
      </c>
      <c r="O9" s="3473">
        <v>90</v>
      </c>
      <c r="P9" s="3475">
        <f>1-P7-P8</f>
        <v>0.19999999999999996</v>
      </c>
    </row>
    <row r="10" spans="1:16" s="3470" customFormat="1" ht="18" customHeight="1">
      <c r="A10" s="3457" t="s">
        <v>3415</v>
      </c>
      <c r="B10" s="3462" t="s">
        <v>3416</v>
      </c>
      <c r="C10" s="3633">
        <f>ROUND(C8*H10,0)</f>
        <v>0</v>
      </c>
      <c r="D10" s="3634"/>
      <c r="E10" s="3634"/>
      <c r="F10" s="3635"/>
      <c r="G10" s="3459" t="s">
        <v>3413</v>
      </c>
      <c r="H10" s="3648">
        <f>'[1]数据-取费表'!B34</f>
        <v>0</v>
      </c>
      <c r="I10" s="3648"/>
      <c r="J10" s="3476">
        <f ca="1">D37</f>
        <v>1.8</v>
      </c>
      <c r="K10" s="3647"/>
      <c r="L10" s="3477" t="s">
        <v>3392</v>
      </c>
      <c r="M10" s="3478">
        <f>1-M5</f>
        <v>0.5</v>
      </c>
      <c r="N10" s="3473" t="s">
        <v>3390</v>
      </c>
      <c r="O10" s="3479">
        <f>ROUND((O7*P7+O8*P8+O9*P9)/100,2)</f>
        <v>0.9</v>
      </c>
      <c r="P10" s="3480"/>
    </row>
    <row r="11" spans="1:16" s="3470" customFormat="1" ht="29.25" customHeight="1">
      <c r="A11" s="3457" t="s">
        <v>3417</v>
      </c>
      <c r="B11" s="3462" t="s">
        <v>3418</v>
      </c>
      <c r="C11" s="3633">
        <f>ROUND(I11*I3,0)</f>
        <v>27142</v>
      </c>
      <c r="D11" s="3634"/>
      <c r="E11" s="3634"/>
      <c r="F11" s="3635"/>
      <c r="G11" s="3459" t="s">
        <v>3419</v>
      </c>
      <c r="H11" s="3462" t="s">
        <v>3420</v>
      </c>
      <c r="I11" s="3459">
        <f>'数据-取费表'!B28</f>
        <v>200</v>
      </c>
      <c r="J11" s="3468"/>
      <c r="K11" s="3451"/>
      <c r="L11" s="3451"/>
    </row>
    <row r="12" spans="1:16" s="3470" customFormat="1" ht="18" customHeight="1">
      <c r="A12" s="3457" t="s">
        <v>3421</v>
      </c>
      <c r="B12" s="3462" t="s">
        <v>3422</v>
      </c>
      <c r="C12" s="3633">
        <f>ROUND(C8*H12,0)</f>
        <v>7125</v>
      </c>
      <c r="D12" s="3634"/>
      <c r="E12" s="3634"/>
      <c r="F12" s="3635"/>
      <c r="G12" s="3459" t="s">
        <v>3413</v>
      </c>
      <c r="H12" s="3648">
        <f>'[1]数据-取费表'!B36</f>
        <v>1.4999999999999999E-2</v>
      </c>
      <c r="I12" s="3648"/>
      <c r="J12" s="3481" t="s">
        <v>3423</v>
      </c>
      <c r="L12" s="3482"/>
    </row>
    <row r="13" spans="1:16" s="3470" customFormat="1" ht="18" customHeight="1">
      <c r="A13" s="3457" t="s">
        <v>438</v>
      </c>
      <c r="B13" s="3462" t="s">
        <v>3424</v>
      </c>
      <c r="C13" s="3633">
        <f>SUM(C8:F12)</f>
        <v>528251</v>
      </c>
      <c r="D13" s="3634"/>
      <c r="E13" s="3634"/>
      <c r="F13" s="3635"/>
      <c r="G13" s="3636" t="s">
        <v>3425</v>
      </c>
      <c r="H13" s="3636"/>
      <c r="I13" s="3636"/>
      <c r="J13" s="3481" t="s">
        <v>3426</v>
      </c>
      <c r="L13" s="3482"/>
    </row>
    <row r="14" spans="1:16" s="3470" customFormat="1" ht="18" customHeight="1">
      <c r="A14" s="3457" t="s">
        <v>3427</v>
      </c>
      <c r="B14" s="3462" t="s">
        <v>3428</v>
      </c>
      <c r="C14" s="3633">
        <f>ROUND(C13*H14,0)</f>
        <v>5283</v>
      </c>
      <c r="D14" s="3634"/>
      <c r="E14" s="3634"/>
      <c r="F14" s="3635"/>
      <c r="G14" s="3459" t="s">
        <v>3429</v>
      </c>
      <c r="H14" s="3648">
        <v>0.01</v>
      </c>
      <c r="I14" s="3648"/>
      <c r="J14" s="3468"/>
      <c r="L14" s="3482"/>
    </row>
    <row r="15" spans="1:16" s="3470" customFormat="1" ht="18" customHeight="1">
      <c r="A15" s="3457" t="s">
        <v>393</v>
      </c>
      <c r="B15" s="3462" t="s">
        <v>3430</v>
      </c>
      <c r="C15" s="3653">
        <f>H15</f>
        <v>0.01</v>
      </c>
      <c r="D15" s="3654"/>
      <c r="E15" s="3651" t="str">
        <f>E18</f>
        <v>V</v>
      </c>
      <c r="F15" s="3652"/>
      <c r="G15" s="3459" t="s">
        <v>3431</v>
      </c>
      <c r="H15" s="3648">
        <v>0.01</v>
      </c>
      <c r="I15" s="3648"/>
      <c r="J15" s="3483"/>
      <c r="K15" s="3452"/>
    </row>
    <row r="16" spans="1:16" s="3470" customFormat="1" ht="18" customHeight="1">
      <c r="A16" s="3484" t="s">
        <v>394</v>
      </c>
      <c r="B16" s="3485" t="s">
        <v>3432</v>
      </c>
      <c r="C16" s="3486">
        <f>C17</f>
        <v>11604</v>
      </c>
      <c r="D16" s="3487" t="s">
        <v>3433</v>
      </c>
      <c r="E16" s="3488">
        <f>C18</f>
        <v>2.175E-4</v>
      </c>
      <c r="F16" s="3489" t="str">
        <f>E18</f>
        <v>V</v>
      </c>
      <c r="G16" s="3633" t="s">
        <v>3434</v>
      </c>
      <c r="H16" s="3634"/>
      <c r="I16" s="3635"/>
      <c r="J16" s="3468"/>
      <c r="K16" s="3451"/>
    </row>
    <row r="17" spans="1:15" s="3470" customFormat="1" ht="18" customHeight="1">
      <c r="A17" s="3457" t="s">
        <v>3435</v>
      </c>
      <c r="B17" s="3462" t="s">
        <v>3436</v>
      </c>
      <c r="C17" s="3633">
        <f>ROUND((C13+C14)*I18*(I17/2),0)</f>
        <v>11604</v>
      </c>
      <c r="D17" s="3634"/>
      <c r="E17" s="3634"/>
      <c r="F17" s="3635"/>
      <c r="G17" s="3486" t="s">
        <v>3437</v>
      </c>
      <c r="H17" s="3462" t="s">
        <v>3438</v>
      </c>
      <c r="I17" s="3459">
        <v>1</v>
      </c>
      <c r="J17" s="3481" t="s">
        <v>3439</v>
      </c>
      <c r="K17" s="3451"/>
      <c r="L17" s="3451"/>
    </row>
    <row r="18" spans="1:15" s="3470" customFormat="1" ht="18" customHeight="1">
      <c r="A18" s="3457" t="s">
        <v>3440</v>
      </c>
      <c r="B18" s="3462" t="s">
        <v>3441</v>
      </c>
      <c r="C18" s="3649">
        <f>H15*I18*I17/2</f>
        <v>2.175E-4</v>
      </c>
      <c r="D18" s="3650"/>
      <c r="E18" s="3651" t="s">
        <v>3442</v>
      </c>
      <c r="F18" s="3652"/>
      <c r="G18" s="3486" t="s">
        <v>3443</v>
      </c>
      <c r="H18" s="3462" t="s">
        <v>3444</v>
      </c>
      <c r="I18" s="3490">
        <v>4.3499999999999997E-2</v>
      </c>
      <c r="J18" s="3481" t="s">
        <v>3445</v>
      </c>
      <c r="K18" s="3451"/>
      <c r="L18" s="3451"/>
    </row>
    <row r="19" spans="1:15" s="3470" customFormat="1" ht="27" customHeight="1">
      <c r="A19" s="3457" t="s">
        <v>395</v>
      </c>
      <c r="B19" s="3462" t="s">
        <v>3446</v>
      </c>
      <c r="C19" s="3486">
        <f>C20</f>
        <v>26677</v>
      </c>
      <c r="D19" s="3487" t="s">
        <v>3433</v>
      </c>
      <c r="E19" s="3487">
        <f>C21</f>
        <v>5.0000000000000001E-4</v>
      </c>
      <c r="F19" s="3489" t="str">
        <f>E21</f>
        <v>V</v>
      </c>
      <c r="G19" s="3633" t="s">
        <v>3447</v>
      </c>
      <c r="H19" s="3634"/>
      <c r="I19" s="3635"/>
      <c r="J19" s="3468"/>
      <c r="K19" s="3451"/>
      <c r="L19" s="3451"/>
      <c r="N19" s="3470">
        <v>10</v>
      </c>
      <c r="O19" s="3470">
        <f>N19*365</f>
        <v>3650</v>
      </c>
    </row>
    <row r="20" spans="1:15" s="3470" customFormat="1" ht="26.25" customHeight="1">
      <c r="A20" s="3457" t="s">
        <v>3448</v>
      </c>
      <c r="B20" s="3462" t="s">
        <v>3449</v>
      </c>
      <c r="C20" s="3633">
        <f>ROUND((C13+C14)*I20,0)</f>
        <v>26677</v>
      </c>
      <c r="D20" s="3634"/>
      <c r="E20" s="3634"/>
      <c r="F20" s="3635"/>
      <c r="G20" s="3459" t="s">
        <v>3450</v>
      </c>
      <c r="H20" s="3657" t="s">
        <v>3451</v>
      </c>
      <c r="I20" s="3659">
        <v>0.05</v>
      </c>
      <c r="J20" s="3481" t="s">
        <v>3452</v>
      </c>
      <c r="K20" s="3451"/>
      <c r="L20" s="3451"/>
      <c r="N20" s="3470">
        <v>70000</v>
      </c>
      <c r="O20" s="3470">
        <f>O19/N20</f>
        <v>5.2142857142857144E-2</v>
      </c>
    </row>
    <row r="21" spans="1:15" s="3470" customFormat="1" ht="27" customHeight="1">
      <c r="A21" s="3457" t="s">
        <v>3448</v>
      </c>
      <c r="B21" s="3462" t="s">
        <v>3453</v>
      </c>
      <c r="C21" s="3653">
        <f>H15*I20</f>
        <v>5.0000000000000001E-4</v>
      </c>
      <c r="D21" s="3654"/>
      <c r="E21" s="3651" t="s">
        <v>3442</v>
      </c>
      <c r="F21" s="3652"/>
      <c r="G21" s="3459" t="s">
        <v>3454</v>
      </c>
      <c r="H21" s="3658"/>
      <c r="I21" s="3659"/>
      <c r="J21" s="3468"/>
      <c r="K21" s="3451"/>
      <c r="L21" s="3451"/>
    </row>
    <row r="22" spans="1:15" s="3470" customFormat="1" ht="18" customHeight="1">
      <c r="A22" s="3457" t="s">
        <v>396</v>
      </c>
      <c r="B22" s="3462" t="s">
        <v>3455</v>
      </c>
      <c r="C22" s="3653">
        <f>ROUND(H22/1.05,4)</f>
        <v>5.33E-2</v>
      </c>
      <c r="D22" s="3654"/>
      <c r="E22" s="3651" t="s">
        <v>3442</v>
      </c>
      <c r="F22" s="3652"/>
      <c r="G22" s="3459" t="s">
        <v>3456</v>
      </c>
      <c r="H22" s="3648">
        <v>5.6000000000000001E-2</v>
      </c>
      <c r="I22" s="3648"/>
      <c r="J22" s="3491"/>
      <c r="K22" s="3451"/>
      <c r="L22" s="3451"/>
    </row>
    <row r="23" spans="1:15" s="3470" customFormat="1" ht="18" customHeight="1">
      <c r="A23" s="3457" t="s">
        <v>3457</v>
      </c>
      <c r="B23" s="3462" t="s">
        <v>3458</v>
      </c>
      <c r="C23" s="3633">
        <f>ROUND((C13+C14+C17+C20)/(1-H15-C18-C21-C22),0)</f>
        <v>610925</v>
      </c>
      <c r="D23" s="3634"/>
      <c r="E23" s="3634"/>
      <c r="F23" s="3635"/>
      <c r="G23" s="3633" t="s">
        <v>3459</v>
      </c>
      <c r="H23" s="3634"/>
      <c r="I23" s="3635"/>
      <c r="J23" s="3491"/>
      <c r="K23" s="3451"/>
      <c r="L23" s="3451"/>
    </row>
    <row r="24" spans="1:15" s="3470" customFormat="1" ht="18" customHeight="1">
      <c r="A24" s="3457" t="s">
        <v>3460</v>
      </c>
      <c r="B24" s="3462" t="s">
        <v>3461</v>
      </c>
      <c r="C24" s="3492">
        <f>C26+C27</f>
        <v>1161</v>
      </c>
      <c r="D24" s="3493" t="s">
        <v>3462</v>
      </c>
      <c r="E24" s="3655">
        <f>H25+H28</f>
        <v>0.121</v>
      </c>
      <c r="F24" s="3656"/>
      <c r="G24" s="3636" t="s">
        <v>3463</v>
      </c>
      <c r="H24" s="3636"/>
      <c r="I24" s="3636"/>
      <c r="J24" s="3491"/>
      <c r="K24" s="3451"/>
      <c r="L24" s="3451"/>
    </row>
    <row r="25" spans="1:15" s="3470" customFormat="1" ht="18" customHeight="1">
      <c r="A25" s="3457" t="s">
        <v>438</v>
      </c>
      <c r="B25" s="3462" t="s">
        <v>3464</v>
      </c>
      <c r="C25" s="3653" t="s">
        <v>3465</v>
      </c>
      <c r="D25" s="3654"/>
      <c r="E25" s="3655">
        <f>H25</f>
        <v>0.12</v>
      </c>
      <c r="F25" s="3656"/>
      <c r="G25" s="3459" t="s">
        <v>3466</v>
      </c>
      <c r="H25" s="3660">
        <v>0.12</v>
      </c>
      <c r="I25" s="3660"/>
      <c r="J25" s="3483"/>
      <c r="K25" s="3451"/>
      <c r="L25" s="3451"/>
    </row>
    <row r="26" spans="1:15" s="3470" customFormat="1" ht="18" customHeight="1">
      <c r="A26" s="3457" t="s">
        <v>3427</v>
      </c>
      <c r="B26" s="3462" t="s">
        <v>3467</v>
      </c>
      <c r="C26" s="3633">
        <f>ROUND(C23*H26,0)</f>
        <v>611</v>
      </c>
      <c r="D26" s="3634"/>
      <c r="E26" s="3634"/>
      <c r="F26" s="3635"/>
      <c r="G26" s="3459" t="s">
        <v>3468</v>
      </c>
      <c r="H26" s="3660">
        <v>1E-3</v>
      </c>
      <c r="I26" s="3660"/>
      <c r="J26" s="3483"/>
      <c r="K26" s="3451"/>
      <c r="L26" s="3451"/>
    </row>
    <row r="27" spans="1:15" s="3470" customFormat="1" ht="18" customHeight="1">
      <c r="A27" s="3457" t="s">
        <v>393</v>
      </c>
      <c r="B27" s="3462" t="s">
        <v>3469</v>
      </c>
      <c r="C27" s="3633">
        <f>ROUND(C7*H27,0)</f>
        <v>550</v>
      </c>
      <c r="D27" s="3634"/>
      <c r="E27" s="3634"/>
      <c r="F27" s="3635"/>
      <c r="G27" s="3459" t="s">
        <v>3470</v>
      </c>
      <c r="H27" s="3661">
        <v>1.5E-3</v>
      </c>
      <c r="I27" s="3661"/>
      <c r="J27" s="3468"/>
      <c r="K27" s="3451"/>
      <c r="L27" s="3451"/>
    </row>
    <row r="28" spans="1:15" s="3470" customFormat="1" ht="18" customHeight="1">
      <c r="A28" s="3457" t="s">
        <v>394</v>
      </c>
      <c r="B28" s="3462" t="s">
        <v>3471</v>
      </c>
      <c r="C28" s="3653" t="s">
        <v>3465</v>
      </c>
      <c r="D28" s="3654"/>
      <c r="E28" s="3655">
        <f>H28</f>
        <v>1E-3</v>
      </c>
      <c r="F28" s="3656"/>
      <c r="G28" s="3459" t="s">
        <v>3472</v>
      </c>
      <c r="H28" s="3660">
        <v>1E-3</v>
      </c>
      <c r="I28" s="3660"/>
      <c r="J28" s="3494"/>
      <c r="K28" s="3451"/>
      <c r="L28" s="3451"/>
    </row>
    <row r="29" spans="1:15" s="3470" customFormat="1" ht="18" customHeight="1">
      <c r="A29" s="3459" t="s">
        <v>3473</v>
      </c>
      <c r="B29" s="3462" t="s">
        <v>3474</v>
      </c>
      <c r="C29" s="3633">
        <f ca="1">ROUND((C4+C24)/(1-E24),0)</f>
        <v>83962</v>
      </c>
      <c r="D29" s="3634"/>
      <c r="E29" s="3634"/>
      <c r="F29" s="3635"/>
      <c r="G29" s="3636" t="s">
        <v>3475</v>
      </c>
      <c r="H29" s="3636"/>
      <c r="I29" s="3636"/>
      <c r="J29" s="3495" t="s">
        <v>3476</v>
      </c>
      <c r="K29" s="3451"/>
      <c r="L29" s="3451"/>
    </row>
    <row r="30" spans="1:15" s="3470" customFormat="1" ht="21" customHeight="1">
      <c r="A30" s="3636" t="s">
        <v>3477</v>
      </c>
      <c r="B30" s="3637" t="s">
        <v>3478</v>
      </c>
      <c r="C30" s="3662">
        <f ca="1">ROUND(C29/I30/I31/I3,1)</f>
        <v>1.9</v>
      </c>
      <c r="D30" s="3663"/>
      <c r="E30" s="3663"/>
      <c r="F30" s="3664"/>
      <c r="G30" s="3636" t="s">
        <v>3479</v>
      </c>
      <c r="H30" s="3462" t="s">
        <v>3480</v>
      </c>
      <c r="I30" s="3459">
        <v>365</v>
      </c>
      <c r="J30" s="3496"/>
      <c r="K30" s="3451"/>
      <c r="L30" s="3451"/>
    </row>
    <row r="31" spans="1:15" s="3470" customFormat="1" ht="18" customHeight="1">
      <c r="A31" s="3636"/>
      <c r="B31" s="3637"/>
      <c r="C31" s="3665"/>
      <c r="D31" s="3666"/>
      <c r="E31" s="3666"/>
      <c r="F31" s="3667"/>
      <c r="G31" s="3636"/>
      <c r="H31" s="3462" t="s">
        <v>3481</v>
      </c>
      <c r="I31" s="3497">
        <v>0.9</v>
      </c>
      <c r="J31" s="3498"/>
      <c r="K31" s="3451"/>
      <c r="L31" s="3451" t="s">
        <v>3630</v>
      </c>
      <c r="M31" s="3918">
        <f ca="1">D37</f>
        <v>1.8</v>
      </c>
    </row>
    <row r="32" spans="1:15" s="3470" customFormat="1" ht="18" customHeight="1">
      <c r="A32" s="3456"/>
      <c r="B32" s="3499"/>
      <c r="C32" s="3456"/>
      <c r="D32" s="3456"/>
      <c r="E32" s="3456"/>
      <c r="F32" s="3456"/>
      <c r="G32" s="3500"/>
      <c r="H32" s="3456"/>
      <c r="I32" s="3456"/>
      <c r="J32" s="3468"/>
      <c r="K32" s="3451"/>
      <c r="L32" s="3451" t="s">
        <v>3629</v>
      </c>
      <c r="M32" s="3470">
        <f ca="1">'[4]结果一览表-滑石道'!$D$37</f>
        <v>1.5</v>
      </c>
    </row>
    <row r="33" spans="1:13" s="3470" customFormat="1" ht="18" customHeight="1">
      <c r="A33" s="3456"/>
      <c r="B33" s="3669" t="s">
        <v>3482</v>
      </c>
      <c r="C33" s="3669"/>
      <c r="D33" s="3669"/>
      <c r="E33" s="3669"/>
      <c r="F33" s="3669"/>
      <c r="G33" s="3501"/>
      <c r="H33" s="3502"/>
      <c r="I33" s="3456"/>
      <c r="J33" s="3468"/>
      <c r="K33" s="3451"/>
      <c r="L33" s="3451" t="s">
        <v>3631</v>
      </c>
      <c r="M33" s="3456">
        <f ca="1">'[5]结果一览表-刘鸿瑞故居'!$D$37</f>
        <v>1.6</v>
      </c>
    </row>
    <row r="34" spans="1:13" s="3470" customFormat="1" ht="18" customHeight="1">
      <c r="A34" s="3456"/>
      <c r="B34" s="3503" t="s">
        <v>3483</v>
      </c>
      <c r="C34" s="3503" t="s">
        <v>3399</v>
      </c>
      <c r="D34" s="3670" t="s">
        <v>3484</v>
      </c>
      <c r="E34" s="3670"/>
      <c r="F34" s="3670"/>
      <c r="G34" s="3501"/>
      <c r="H34" s="3502"/>
      <c r="I34" s="3456"/>
      <c r="J34" s="3491"/>
      <c r="K34" s="3456"/>
      <c r="L34" s="3456"/>
      <c r="M34" s="3456"/>
    </row>
    <row r="35" spans="1:13">
      <c r="B35" s="3503" t="s">
        <v>3485</v>
      </c>
      <c r="C35" s="3504">
        <v>0.5</v>
      </c>
      <c r="D35" s="3668">
        <f>'比较法-办公租金'!C49</f>
        <v>1.6</v>
      </c>
      <c r="E35" s="3668"/>
      <c r="F35" s="3668"/>
      <c r="G35" s="3505">
        <f ca="1">(D35-D36)/D36</f>
        <v>-0.15789473684210517</v>
      </c>
      <c r="H35" s="3502"/>
      <c r="K35" s="3456"/>
      <c r="L35" s="3456"/>
    </row>
    <row r="36" spans="1:13" ht="20.100000000000001" customHeight="1">
      <c r="B36" s="3503" t="s">
        <v>3486</v>
      </c>
      <c r="C36" s="3504">
        <f>1-C35</f>
        <v>0.5</v>
      </c>
      <c r="D36" s="3668">
        <f ca="1">C30</f>
        <v>1.9</v>
      </c>
      <c r="E36" s="3668"/>
      <c r="F36" s="3668"/>
      <c r="G36" s="3501"/>
      <c r="H36" s="3502"/>
      <c r="J36" s="3456"/>
      <c r="K36" s="3456"/>
      <c r="L36" s="3456"/>
    </row>
    <row r="37" spans="1:13" ht="22.5" customHeight="1">
      <c r="B37" s="3670" t="s">
        <v>3487</v>
      </c>
      <c r="C37" s="3670"/>
      <c r="D37" s="3671">
        <f ca="1">ROUND(C35*D35+C36*D36,1)</f>
        <v>1.8</v>
      </c>
      <c r="E37" s="3671"/>
      <c r="F37" s="3671"/>
      <c r="G37" s="3501">
        <f ca="1">ROUND(D37*I3/10000,2)</f>
        <v>0.02</v>
      </c>
      <c r="H37" s="3502"/>
      <c r="J37" s="3456"/>
      <c r="K37" s="3456"/>
      <c r="L37" s="3456"/>
    </row>
    <row r="38" spans="1:13" ht="22.5" customHeight="1">
      <c r="B38" s="3503" t="s">
        <v>3488</v>
      </c>
      <c r="C38" s="3503">
        <f ca="1">ROUND(D37*0.9,2)</f>
        <v>1.62</v>
      </c>
      <c r="D38" s="3506" t="s">
        <v>3489</v>
      </c>
      <c r="E38" s="3668">
        <f ca="1">ROUND(D37*1.1,2)</f>
        <v>1.98</v>
      </c>
      <c r="F38" s="3668"/>
      <c r="G38" s="3501" t="s">
        <v>3490</v>
      </c>
      <c r="H38" s="3507">
        <v>12</v>
      </c>
      <c r="J38" s="3456"/>
      <c r="K38" s="3456"/>
      <c r="L38" s="3456"/>
    </row>
    <row r="39" spans="1:13" ht="18" customHeight="1">
      <c r="B39" s="3503" t="s">
        <v>3491</v>
      </c>
      <c r="C39" s="3503">
        <f ca="1">ROUND(C38+H39,2)</f>
        <v>1.67</v>
      </c>
      <c r="D39" s="3506" t="s">
        <v>3489</v>
      </c>
      <c r="E39" s="3668">
        <f ca="1">ROUND(E38+H39,2)</f>
        <v>2.0299999999999998</v>
      </c>
      <c r="F39" s="3668"/>
      <c r="G39" s="3508" t="s">
        <v>3492</v>
      </c>
      <c r="H39" s="3508">
        <v>0.05</v>
      </c>
      <c r="J39" s="3456"/>
      <c r="K39" s="3456"/>
      <c r="L39" s="3456"/>
    </row>
    <row r="40" spans="1:13" ht="18" customHeight="1">
      <c r="B40" s="3509"/>
      <c r="C40" s="3510"/>
      <c r="D40" s="3502"/>
      <c r="E40" s="3502"/>
      <c r="F40" s="3502"/>
      <c r="G40" s="3501"/>
      <c r="H40" s="3502"/>
      <c r="J40" s="3456"/>
    </row>
    <row r="41" spans="1:13" ht="18" customHeight="1">
      <c r="B41" s="3501" t="s">
        <v>3493</v>
      </c>
      <c r="C41" s="3502"/>
      <c r="D41" s="3502"/>
      <c r="E41" s="3501" t="s">
        <v>3494</v>
      </c>
      <c r="F41" s="3502"/>
      <c r="G41" s="3501"/>
      <c r="H41" s="3501" t="s">
        <v>3495</v>
      </c>
      <c r="J41" s="3456"/>
    </row>
    <row r="42" spans="1:13" ht="29.25" customHeight="1"/>
    <row r="45" spans="1:13">
      <c r="H45" s="3511"/>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6" t="str">
        <f>项目基本情况!B1</f>
        <v>北京市房地产市场价值预评估</v>
      </c>
      <c r="C37" s="3536"/>
      <c r="D37" s="3536"/>
      <c r="E37" s="3536"/>
      <c r="F37" s="3536"/>
      <c r="G37" s="3536"/>
      <c r="H37" s="3536"/>
      <c r="I37" s="3536"/>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06" t="str">
        <f>项目基本情况!S2</f>
        <v>北京市房地产</v>
      </c>
      <c r="B2" s="3707"/>
      <c r="C2" s="3707"/>
      <c r="D2" s="3707"/>
      <c r="E2" s="3707"/>
      <c r="F2" s="3707"/>
      <c r="G2" s="3707"/>
      <c r="H2" s="3707"/>
      <c r="I2" s="3708"/>
    </row>
    <row r="3" spans="1:12" ht="12.75">
      <c r="A3" s="3710" t="s">
        <v>1264</v>
      </c>
      <c r="B3" s="3711"/>
      <c r="C3" s="3711"/>
      <c r="D3" s="3711"/>
      <c r="E3" s="3711"/>
      <c r="F3" s="3711"/>
      <c r="G3" s="3711"/>
      <c r="H3" s="3711"/>
      <c r="I3" s="3711"/>
    </row>
    <row r="4" spans="1:12" ht="14.25">
      <c r="A4" s="1750" t="s">
        <v>1265</v>
      </c>
      <c r="B4" s="1751" t="s">
        <v>1266</v>
      </c>
      <c r="C4" s="1752"/>
      <c r="D4" s="1752"/>
      <c r="E4" s="3712" t="s">
        <v>1267</v>
      </c>
      <c r="F4" s="3713"/>
      <c r="G4" s="3713"/>
      <c r="H4" s="3713"/>
      <c r="I4" s="3714"/>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86" t="s">
        <v>1268</v>
      </c>
      <c r="B5" s="3673">
        <v>25</v>
      </c>
      <c r="C5" s="3689"/>
      <c r="D5" s="3709"/>
      <c r="E5" s="130" t="s">
        <v>1269</v>
      </c>
      <c r="F5" s="1753"/>
      <c r="G5" s="1753"/>
      <c r="H5" s="1753"/>
      <c r="I5" s="1370"/>
    </row>
    <row r="6" spans="1:12" ht="12.75">
      <c r="A6" s="3686"/>
      <c r="B6" s="3673"/>
      <c r="C6" s="3690"/>
      <c r="D6" s="3709"/>
      <c r="E6" s="130" t="s">
        <v>1270</v>
      </c>
      <c r="F6" s="1753"/>
      <c r="G6" s="1753"/>
      <c r="H6" s="1753"/>
      <c r="I6" s="1370"/>
    </row>
    <row r="7" spans="1:12" ht="12.75">
      <c r="A7" s="3686"/>
      <c r="B7" s="3673"/>
      <c r="C7" s="3691"/>
      <c r="D7" s="3709"/>
      <c r="E7" s="130" t="s">
        <v>1271</v>
      </c>
      <c r="F7" s="1753"/>
      <c r="G7" s="1753"/>
      <c r="H7" s="1753"/>
      <c r="I7" s="1370"/>
    </row>
    <row r="8" spans="1:12" ht="12.75">
      <c r="A8" s="3686" t="s">
        <v>1272</v>
      </c>
      <c r="B8" s="3673">
        <v>15</v>
      </c>
      <c r="C8" s="3689"/>
      <c r="D8" s="3709"/>
      <c r="E8" s="130" t="s">
        <v>1273</v>
      </c>
      <c r="F8" s="1753"/>
      <c r="G8" s="1753"/>
      <c r="H8" s="1753"/>
      <c r="I8" s="1370"/>
    </row>
    <row r="9" spans="1:12" ht="12.75">
      <c r="A9" s="3686"/>
      <c r="B9" s="3673"/>
      <c r="C9" s="3691"/>
      <c r="D9" s="3709"/>
      <c r="E9" s="130" t="s">
        <v>1274</v>
      </c>
      <c r="F9" s="1753"/>
      <c r="G9" s="1753"/>
      <c r="H9" s="1753"/>
      <c r="I9" s="1370"/>
    </row>
    <row r="10" spans="1:12" ht="12.75">
      <c r="A10" s="3686" t="s">
        <v>1275</v>
      </c>
      <c r="B10" s="3673">
        <v>15</v>
      </c>
      <c r="C10" s="3689"/>
      <c r="D10" s="3709"/>
      <c r="E10" s="130" t="s">
        <v>1276</v>
      </c>
      <c r="F10" s="1753"/>
      <c r="G10" s="1753"/>
      <c r="H10" s="1753"/>
      <c r="I10" s="1370"/>
    </row>
    <row r="11" spans="1:12" ht="12.75">
      <c r="A11" s="3686"/>
      <c r="B11" s="3673"/>
      <c r="C11" s="3691"/>
      <c r="D11" s="3709"/>
      <c r="E11" s="130" t="s">
        <v>1277</v>
      </c>
      <c r="F11" s="1753"/>
      <c r="G11" s="1753"/>
      <c r="H11" s="1753"/>
      <c r="I11" s="1370"/>
    </row>
    <row r="12" spans="1:12" ht="12.75">
      <c r="A12" s="3686" t="s">
        <v>1278</v>
      </c>
      <c r="B12" s="3673">
        <v>15</v>
      </c>
      <c r="C12" s="3689"/>
      <c r="D12" s="3709"/>
      <c r="E12" s="130" t="s">
        <v>1279</v>
      </c>
      <c r="F12" s="1753"/>
      <c r="G12" s="1753"/>
      <c r="H12" s="1753"/>
      <c r="I12" s="1370"/>
    </row>
    <row r="13" spans="1:12" ht="12.75">
      <c r="A13" s="3686"/>
      <c r="B13" s="3673"/>
      <c r="C13" s="3691"/>
      <c r="D13" s="3709"/>
      <c r="E13" s="130" t="s">
        <v>1280</v>
      </c>
      <c r="F13" s="1753"/>
      <c r="G13" s="1753"/>
      <c r="H13" s="1753"/>
      <c r="I13" s="1370"/>
    </row>
    <row r="14" spans="1:12" ht="12.75">
      <c r="A14" s="3686" t="s">
        <v>1281</v>
      </c>
      <c r="B14" s="3673">
        <v>30</v>
      </c>
      <c r="C14" s="3689"/>
      <c r="D14" s="3709"/>
      <c r="E14" s="130" t="s">
        <v>1282</v>
      </c>
      <c r="F14" s="1753"/>
      <c r="G14" s="1753"/>
      <c r="H14" s="1753"/>
      <c r="I14" s="1370"/>
    </row>
    <row r="15" spans="1:12" ht="12.75">
      <c r="A15" s="3686"/>
      <c r="B15" s="3673"/>
      <c r="C15" s="3690"/>
      <c r="D15" s="3709"/>
      <c r="E15" s="130" t="s">
        <v>1283</v>
      </c>
      <c r="F15" s="1753"/>
      <c r="G15" s="1753"/>
      <c r="H15" s="1753"/>
      <c r="I15" s="1370"/>
    </row>
    <row r="16" spans="1:12" ht="12.75">
      <c r="A16" s="3686"/>
      <c r="B16" s="3673"/>
      <c r="C16" s="3691"/>
      <c r="D16" s="3709"/>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696" t="s">
        <v>2128</v>
      </c>
      <c r="F18" s="3697"/>
      <c r="G18" s="3697"/>
      <c r="H18" s="3697"/>
      <c r="I18" s="3697"/>
      <c r="K18" s="301" t="s">
        <v>1289</v>
      </c>
      <c r="L18" s="301">
        <f>IF(C1="",'数据-汇总表'!E3,SUMIF(项目类型,C1,'数据-汇总表'!E17:E26)+SUMIF(项目类型,C1,'数据-汇总表'!I17:I26))</f>
        <v>135.71</v>
      </c>
      <c r="M18" s="301">
        <f>IF(C1="",'数据-汇总表'!E3,SUMIF(项目类型,C1,'数据-汇总表'!E17:E26))</f>
        <v>135.71</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680" t="s">
        <v>1299</v>
      </c>
      <c r="B24" s="1758" t="s">
        <v>1291</v>
      </c>
      <c r="C24" s="135">
        <f>IF(B30=0,0,D30)</f>
        <v>0</v>
      </c>
      <c r="D24" s="1765"/>
      <c r="E24" s="128"/>
      <c r="F24" s="128"/>
      <c r="G24" s="128"/>
      <c r="H24" s="128"/>
      <c r="I24" s="128"/>
    </row>
    <row r="25" spans="1:36" ht="14.25">
      <c r="A25" s="3681"/>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2129</v>
      </c>
      <c r="F30" s="128"/>
      <c r="G30" s="128"/>
      <c r="H30" s="128"/>
      <c r="I30" s="128"/>
    </row>
    <row r="31" spans="1:36" s="2305" customFormat="1" ht="26.45" customHeight="1" thickTop="1" thickBot="1">
      <c r="A31" s="2300"/>
      <c r="B31" s="2301"/>
      <c r="C31" s="2301"/>
      <c r="D31" s="2301"/>
      <c r="E31" s="2301"/>
      <c r="F31" s="2301"/>
      <c r="G31" s="2301"/>
      <c r="H31" s="2301"/>
      <c r="I31" s="2302" t="s">
        <v>2130</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00" t="s">
        <v>1312</v>
      </c>
      <c r="B36" s="1783" t="s">
        <v>1313</v>
      </c>
      <c r="C36" s="144"/>
      <c r="D36" s="1784"/>
      <c r="E36" s="1785"/>
      <c r="F36" s="1786"/>
      <c r="G36" s="128"/>
      <c r="H36" s="128"/>
      <c r="I36" s="128"/>
    </row>
    <row r="37" spans="1:15" ht="15.75" thickBot="1">
      <c r="A37" s="3701"/>
      <c r="B37" s="1670" t="s">
        <v>1314</v>
      </c>
      <c r="C37" s="146"/>
      <c r="D37" s="1136"/>
      <c r="E37" s="1136"/>
      <c r="F37" s="1786"/>
      <c r="G37" s="128"/>
      <c r="H37" s="128"/>
      <c r="I37" s="128"/>
    </row>
    <row r="38" spans="1:15" ht="15.75" thickBot="1">
      <c r="A38" s="3702"/>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7" t="s">
        <v>1326</v>
      </c>
      <c r="B45" s="3678"/>
      <c r="C45" s="3679"/>
      <c r="D45" s="154" t="e">
        <f ca="1">ROUND(H101*F45,0)</f>
        <v>#REF!</v>
      </c>
      <c r="E45" s="155" t="s">
        <v>1327</v>
      </c>
      <c r="F45" s="156">
        <v>1</v>
      </c>
      <c r="G45" s="157" t="s">
        <v>1328</v>
      </c>
      <c r="H45" s="128"/>
      <c r="I45" s="128"/>
      <c r="J45" s="3755" t="s">
        <v>1329</v>
      </c>
      <c r="K45" s="3755"/>
      <c r="L45" s="3755"/>
      <c r="M45" s="3755"/>
      <c r="N45" s="3755"/>
      <c r="O45" s="3755"/>
    </row>
    <row r="46" spans="1:15" ht="14.25" customHeight="1">
      <c r="A46" s="3674" t="s">
        <v>1330</v>
      </c>
      <c r="B46" s="3675"/>
      <c r="C46" s="3675"/>
      <c r="D46" s="3675"/>
      <c r="E46" s="3675"/>
      <c r="F46" s="3675"/>
      <c r="G46" s="3676"/>
      <c r="H46" s="1802"/>
      <c r="I46" s="158"/>
      <c r="J46" s="2517">
        <v>1</v>
      </c>
      <c r="K46" s="3736" t="s">
        <v>1331</v>
      </c>
      <c r="L46" s="3736"/>
      <c r="M46" s="3756"/>
      <c r="N46" s="3756"/>
      <c r="O46" s="3756"/>
    </row>
    <row r="47" spans="1:15" ht="12" customHeight="1">
      <c r="A47" s="159" t="s">
        <v>1332</v>
      </c>
      <c r="B47" s="160"/>
      <c r="C47" s="161"/>
      <c r="D47" s="1084" t="s">
        <v>1333</v>
      </c>
      <c r="E47" s="301" t="s">
        <v>1334</v>
      </c>
      <c r="F47" s="162" t="s">
        <v>1335</v>
      </c>
      <c r="G47" s="2540" t="s">
        <v>1336</v>
      </c>
      <c r="H47" s="2541"/>
      <c r="I47" s="158"/>
      <c r="J47" s="2517">
        <v>2</v>
      </c>
      <c r="K47" s="3736" t="s">
        <v>1337</v>
      </c>
      <c r="L47" s="3736"/>
      <c r="M47" s="3757">
        <f>'数据-取费表'!B2</f>
        <v>45097</v>
      </c>
      <c r="N47" s="3757"/>
      <c r="O47" s="3757"/>
    </row>
    <row r="48" spans="1:15" ht="25.5">
      <c r="A48" s="3705" t="s">
        <v>1338</v>
      </c>
      <c r="B48" s="3688"/>
      <c r="C48" s="3688"/>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2"/>
      <c r="J48" s="2517">
        <v>3</v>
      </c>
      <c r="K48" s="3736" t="s">
        <v>1340</v>
      </c>
      <c r="L48" s="3736"/>
      <c r="M48" s="3758" t="e">
        <f ca="1">H101</f>
        <v>#REF!</v>
      </c>
      <c r="N48" s="3758"/>
      <c r="O48" s="3758"/>
    </row>
    <row r="49" spans="1:35" ht="25.5" customHeight="1">
      <c r="A49" s="2329" t="s">
        <v>1341</v>
      </c>
      <c r="B49" s="3672" t="s">
        <v>1342</v>
      </c>
      <c r="C49" s="3672"/>
      <c r="D49" s="1587">
        <v>0</v>
      </c>
      <c r="E49" s="323" t="s">
        <v>1343</v>
      </c>
      <c r="F49" s="2420" t="s">
        <v>28</v>
      </c>
      <c r="G49" s="3742"/>
      <c r="H49" s="2306" t="s">
        <v>2131</v>
      </c>
      <c r="I49" s="2307"/>
      <c r="J49" s="2517">
        <v>4</v>
      </c>
      <c r="K49" s="3736" t="str">
        <f>IF(项目基本情况!E8="房地产抵押价值","房地产抵押价值","抵押担保权已注销时的房地产抵押价值")</f>
        <v>抵押担保权已注销时的房地产抵押价值</v>
      </c>
      <c r="L49" s="3736"/>
      <c r="M49" s="3758" t="str">
        <f>IF(项目基本情况!E8="房地产抵押价值",H107,H109)</f>
        <v>——</v>
      </c>
      <c r="N49" s="3758"/>
      <c r="O49" s="3758"/>
    </row>
    <row r="50" spans="1:35" ht="25.5" customHeight="1">
      <c r="A50" s="2545"/>
      <c r="B50" s="3672" t="s">
        <v>1344</v>
      </c>
      <c r="C50" s="3672"/>
      <c r="D50" s="2546"/>
      <c r="E50" s="331"/>
      <c r="F50" s="2420"/>
      <c r="G50" s="3743"/>
      <c r="H50" s="2308" t="s">
        <v>2132</v>
      </c>
      <c r="I50" s="2307"/>
      <c r="J50" s="3755" t="s">
        <v>1345</v>
      </c>
      <c r="K50" s="3755"/>
      <c r="L50" s="3755"/>
      <c r="M50" s="3755"/>
      <c r="N50" s="3755"/>
      <c r="O50" s="3755"/>
    </row>
    <row r="51" spans="1:35" ht="20.45" customHeight="1">
      <c r="A51" s="2547"/>
      <c r="B51" s="3672" t="s">
        <v>1346</v>
      </c>
      <c r="C51" s="3672"/>
      <c r="D51" s="1084"/>
      <c r="E51" s="326"/>
      <c r="F51" s="2420"/>
      <c r="G51" s="3744"/>
      <c r="H51" s="2308" t="s">
        <v>2133</v>
      </c>
      <c r="I51" s="2307"/>
      <c r="J51" s="2518" t="s">
        <v>1347</v>
      </c>
      <c r="K51" s="3736" t="s">
        <v>1348</v>
      </c>
      <c r="L51" s="3736"/>
      <c r="M51" s="2518" t="s">
        <v>1349</v>
      </c>
      <c r="N51" s="2518" t="s">
        <v>1350</v>
      </c>
      <c r="O51" s="2518" t="s">
        <v>1351</v>
      </c>
    </row>
    <row r="52" spans="1:35" ht="24" customHeight="1">
      <c r="A52" s="2331" t="s">
        <v>1352</v>
      </c>
      <c r="B52" s="3672" t="s">
        <v>1353</v>
      </c>
      <c r="C52" s="3672"/>
      <c r="D52" s="1084" t="e">
        <f ca="1">ROUND(D45*'数据-取费表'!B41/(1+'数据-取费表'!C42),0)</f>
        <v>#REF!</v>
      </c>
      <c r="E52" s="2330" t="s">
        <v>1354</v>
      </c>
      <c r="F52" s="2548">
        <f>'数据-取费表'!B41</f>
        <v>5.5000000000000007E-2</v>
      </c>
      <c r="G52" s="2549"/>
      <c r="H52" s="2538"/>
      <c r="I52" s="1803"/>
      <c r="J52" s="2517">
        <v>1</v>
      </c>
      <c r="K52" s="3737" t="s">
        <v>1355</v>
      </c>
      <c r="L52" s="3737"/>
      <c r="M52" s="2519" t="b">
        <f>D48</f>
        <v>0</v>
      </c>
      <c r="N52" s="2517" t="str">
        <f>E48</f>
        <v>销售额×税（费）率</v>
      </c>
      <c r="O52" s="2520">
        <f>F48</f>
        <v>5.5000000000000007E-2</v>
      </c>
    </row>
    <row r="53" spans="1:35" ht="12" customHeight="1">
      <c r="A53" s="2331" t="s">
        <v>1356</v>
      </c>
      <c r="B53" s="3698" t="s">
        <v>2285</v>
      </c>
      <c r="C53" s="3699"/>
      <c r="D53" s="1084" t="e">
        <f ca="1">ROUND(D45*'数据-取费表'!B41/(1+'数据-取费表'!C42),0)</f>
        <v>#REF!</v>
      </c>
      <c r="E53" s="2330" t="s">
        <v>1354</v>
      </c>
      <c r="F53" s="2548">
        <f>'数据-取费表'!B41</f>
        <v>5.5000000000000007E-2</v>
      </c>
      <c r="G53" s="2549"/>
      <c r="H53" s="2538"/>
      <c r="I53" s="1803"/>
      <c r="J53" s="2517">
        <v>2</v>
      </c>
      <c r="K53" s="3737" t="s">
        <v>1357</v>
      </c>
      <c r="L53" s="3737"/>
      <c r="M53" s="2519" t="e">
        <f t="shared" ref="M53:O54" ca="1" si="0">D55</f>
        <v>#REF!</v>
      </c>
      <c r="N53" s="2517" t="str">
        <f t="shared" si="0"/>
        <v>销售额×税（费）率</v>
      </c>
      <c r="O53" s="2520" t="str">
        <f t="shared" si="0"/>
        <v>免征</v>
      </c>
    </row>
    <row r="54" spans="1:35" ht="12" customHeight="1">
      <c r="A54" s="2331" t="s">
        <v>1358</v>
      </c>
      <c r="B54" s="3698" t="s">
        <v>2286</v>
      </c>
      <c r="C54" s="3699"/>
      <c r="D54" s="1084" t="e">
        <f ca="1">C68</f>
        <v>#REF!</v>
      </c>
      <c r="E54" s="326" t="s">
        <v>1359</v>
      </c>
      <c r="F54" s="2548">
        <f>'数据-取费表'!B41</f>
        <v>5.5000000000000007E-2</v>
      </c>
      <c r="G54" s="2549"/>
      <c r="H54" s="2550"/>
      <c r="I54" s="1803"/>
      <c r="J54" s="2517">
        <v>3</v>
      </c>
      <c r="K54" s="3737" t="s">
        <v>1360</v>
      </c>
      <c r="L54" s="3737"/>
      <c r="M54" s="2519" t="e">
        <f t="shared" ca="1" si="0"/>
        <v>#REF!</v>
      </c>
      <c r="N54" s="2517" t="str">
        <f t="shared" si="0"/>
        <v>增值额×税（费）率</v>
      </c>
      <c r="O54" s="2521" t="str">
        <f t="shared" si="0"/>
        <v>免征</v>
      </c>
    </row>
    <row r="55" spans="1:35" ht="24" customHeight="1">
      <c r="A55" s="3687" t="s">
        <v>1361</v>
      </c>
      <c r="B55" s="3688"/>
      <c r="C55" s="3688"/>
      <c r="D55" s="2320" t="e">
        <f ca="1">IF(H55="个人住宅",0,ROUND(D45*I55,0))</f>
        <v>#REF!</v>
      </c>
      <c r="E55" s="2330" t="s">
        <v>1362</v>
      </c>
      <c r="F55" s="2548" t="str">
        <f>IF(H55="正常",I55,"免征")</f>
        <v>免征</v>
      </c>
      <c r="G55" s="2549"/>
      <c r="H55" s="2544"/>
      <c r="I55" s="164">
        <f>'数据-取费表'!B49</f>
        <v>5.0000000000000001E-4</v>
      </c>
      <c r="J55" s="2517">
        <f>IF(H59="非个人房产","",4)</f>
        <v>4</v>
      </c>
      <c r="K55" s="3737" t="str">
        <f>IF(H59="非个人房产","——","个人所得税")</f>
        <v>个人所得税</v>
      </c>
      <c r="L55" s="3737"/>
      <c r="M55" s="2522" t="e">
        <f ca="1">D59</f>
        <v>#REF!</v>
      </c>
      <c r="N55" s="2036" t="str">
        <f>E59</f>
        <v>差额计税</v>
      </c>
      <c r="O55" s="2523">
        <f>F59</f>
        <v>0.01</v>
      </c>
    </row>
    <row r="56" spans="1:35" ht="24.75">
      <c r="A56" s="3687" t="s">
        <v>1363</v>
      </c>
      <c r="B56" s="3688"/>
      <c r="C56" s="3688"/>
      <c r="D56" s="2320" t="e">
        <f ca="1">IF(H56="个人住宅",D57,D58)</f>
        <v>#REF!</v>
      </c>
      <c r="E56" s="2330" t="s">
        <v>1364</v>
      </c>
      <c r="F56" s="2548" t="str">
        <f>IF(H56="正常",F58,"免征")</f>
        <v>免征</v>
      </c>
      <c r="G56" s="2551" t="s">
        <v>1365</v>
      </c>
      <c r="H56" s="2552"/>
      <c r="I56" s="1804"/>
      <c r="J56" s="2517" t="str">
        <f>IF(项目基本情况!K6="上海银行",IF(J55="",4,J55+1),"")</f>
        <v/>
      </c>
      <c r="K56" s="3760" t="str">
        <f>IF(项目基本情况!K6="上海银行","其他处置费用","")</f>
        <v/>
      </c>
      <c r="L56" s="3761"/>
      <c r="M56" s="2519" t="str">
        <f>IF(项目基本情况!K6="上海银行",M69,"")</f>
        <v/>
      </c>
      <c r="N56" s="3760" t="str">
        <f>IF(项目基本情况!K6="上海银行","包含处置中涉及的律师、诉讼、拍卖、评估等费用","")</f>
        <v/>
      </c>
      <c r="O56" s="3763"/>
    </row>
    <row r="57" spans="1:35" ht="12.75">
      <c r="A57" s="2331" t="s">
        <v>1341</v>
      </c>
      <c r="B57" s="3698" t="s">
        <v>1366</v>
      </c>
      <c r="C57" s="3699"/>
      <c r="D57" s="1587">
        <v>0</v>
      </c>
      <c r="E57" s="323" t="s">
        <v>1343</v>
      </c>
      <c r="F57" s="301"/>
      <c r="G57" s="2549"/>
      <c r="H57" s="2553"/>
      <c r="I57" s="1804"/>
      <c r="J57" s="3737">
        <f>IF(AND(J55="",J56=""),4,IF(项目基本情况!K6="上海银行",结果表!J56+1,结果表!J55+1))</f>
        <v>5</v>
      </c>
      <c r="K57" s="3737" t="s">
        <v>1367</v>
      </c>
      <c r="L57" s="2524" t="s">
        <v>1368</v>
      </c>
      <c r="M57" s="2525"/>
      <c r="N57" s="2526">
        <f ca="1">SUMIF(M52:M56,"&lt;9e307")</f>
        <v>0</v>
      </c>
      <c r="O57" s="2527"/>
      <c r="P57" s="2684" t="e">
        <f ca="1">N57/M49</f>
        <v>#VALUE!</v>
      </c>
    </row>
    <row r="58" spans="1:35" ht="24.75">
      <c r="A58" s="2331" t="s">
        <v>1352</v>
      </c>
      <c r="B58" s="3698" t="s">
        <v>1369</v>
      </c>
      <c r="C58" s="3672"/>
      <c r="D58" s="2320" t="e">
        <f ca="1">IF(H58="转让取得",C81,C97)</f>
        <v>#REF!</v>
      </c>
      <c r="E58" s="2330" t="s">
        <v>1364</v>
      </c>
      <c r="F58" s="301" t="s">
        <v>28</v>
      </c>
      <c r="G58" s="2549"/>
      <c r="H58" s="2552"/>
      <c r="I58" s="1804"/>
      <c r="J58" s="3737"/>
      <c r="K58" s="3737"/>
      <c r="L58" s="2524" t="s">
        <v>1370</v>
      </c>
      <c r="M58" s="2528"/>
      <c r="N58" s="2529" t="str">
        <f ca="1">NUMBERSTRING(INT(N57*10000),2)&amp;"元整"</f>
        <v>零元整</v>
      </c>
      <c r="O58" s="2530"/>
    </row>
    <row r="59" spans="1:35" ht="24.75" thickBot="1">
      <c r="A59" s="3740" t="s">
        <v>1371</v>
      </c>
      <c r="B59" s="3741"/>
      <c r="C59" s="3741"/>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2134</v>
      </c>
      <c r="J59" s="3738">
        <f>J57+1</f>
        <v>6</v>
      </c>
      <c r="K59" s="3737" t="s">
        <v>1372</v>
      </c>
      <c r="L59" s="2517" t="s">
        <v>1368</v>
      </c>
      <c r="M59" s="2531"/>
      <c r="N59" s="2532" t="e">
        <f ca="1">M49-N57</f>
        <v>#VALUE!</v>
      </c>
      <c r="O59" s="2533"/>
    </row>
    <row r="60" spans="1:35" ht="12" customHeight="1">
      <c r="A60" s="1805"/>
      <c r="B60" s="1743"/>
      <c r="C60" s="1743"/>
      <c r="D60" s="1743"/>
      <c r="E60" s="1575"/>
      <c r="F60" s="1804"/>
      <c r="G60" s="1804"/>
      <c r="H60" s="1806"/>
      <c r="I60" s="128"/>
      <c r="J60" s="3739"/>
      <c r="K60" s="3737"/>
      <c r="L60" s="2524" t="s">
        <v>1370</v>
      </c>
      <c r="M60" s="2528"/>
      <c r="N60" s="2529" t="e">
        <f ca="1">NUMBERSTRING(INT(N59*10000),2)&amp;"元整"</f>
        <v>#VALUE!</v>
      </c>
      <c r="O60" s="2530"/>
    </row>
    <row r="61" spans="1:35" ht="13.5" thickBot="1">
      <c r="A61" s="3685" t="s">
        <v>1373</v>
      </c>
      <c r="B61" s="3685"/>
      <c r="C61" s="3685"/>
      <c r="D61" s="3685"/>
      <c r="E61" s="3685"/>
      <c r="F61" s="1804"/>
      <c r="G61" s="1804"/>
      <c r="H61" s="1806"/>
      <c r="I61" s="128"/>
      <c r="J61" s="2517">
        <f>J59+1</f>
        <v>7</v>
      </c>
      <c r="K61" s="3737" t="s">
        <v>1374</v>
      </c>
      <c r="L61" s="3737"/>
      <c r="M61" s="2534"/>
      <c r="N61" s="2535" t="e">
        <f ca="1">ROUND(N59*10000/'数据-汇总表'!E3,0)</f>
        <v>#VALUE!</v>
      </c>
      <c r="O61" s="2536"/>
    </row>
    <row r="62" spans="1:35" ht="12.75">
      <c r="A62" s="3703" t="s">
        <v>1375</v>
      </c>
      <c r="B62" s="3704"/>
      <c r="C62" s="2017"/>
      <c r="D62" s="2017" t="s">
        <v>1376</v>
      </c>
      <c r="E62" s="165" t="s">
        <v>1377</v>
      </c>
      <c r="F62" s="1804"/>
      <c r="G62" s="1804"/>
      <c r="H62" s="1806"/>
      <c r="I62" s="128"/>
    </row>
    <row r="63" spans="1:35" ht="12.75">
      <c r="A63" s="172" t="s">
        <v>330</v>
      </c>
      <c r="B63" s="166" t="s">
        <v>1378</v>
      </c>
      <c r="C63" s="2558" t="e">
        <f ca="1">ROUND((C64+C65)/(1+'数据-取费表'!C42),0)</f>
        <v>#REF!</v>
      </c>
      <c r="D63" s="166"/>
      <c r="E63" s="167"/>
      <c r="F63" s="1804"/>
      <c r="G63" s="1804"/>
      <c r="H63" s="1806"/>
      <c r="I63" s="128"/>
      <c r="J63" s="3762" t="s">
        <v>1379</v>
      </c>
      <c r="K63" s="1329" t="s">
        <v>1380</v>
      </c>
      <c r="L63" s="1329" t="e">
        <f>IF(M49&gt;10000,M49*0.5%,IF(AND(M49&gt;1000,M49&lt;=10000),M49*1%,IF(AND(M49&gt;100,M49&lt;=1000),M49*3%,IF(AND(M49&gt;10,M49&lt;=100),M49*5%,M49*8%))))</f>
        <v>#VALUE!</v>
      </c>
      <c r="M63" s="301" t="e">
        <f>ROUND(L63,1)</f>
        <v>#VALUE!</v>
      </c>
      <c r="N63" s="2537"/>
      <c r="Z63" s="1748"/>
      <c r="AI63" s="1749"/>
    </row>
    <row r="64" spans="1:35" ht="14.25" customHeight="1">
      <c r="A64" s="168" t="s">
        <v>325</v>
      </c>
      <c r="B64" s="169" t="s">
        <v>1381</v>
      </c>
      <c r="C64" s="2559" t="e">
        <f ca="1">D45</f>
        <v>#REF!</v>
      </c>
      <c r="D64" s="169" t="s">
        <v>26</v>
      </c>
      <c r="E64" s="171"/>
      <c r="F64" s="1804"/>
      <c r="G64" s="1804"/>
      <c r="H64" s="1806"/>
      <c r="I64" s="128"/>
      <c r="J64" s="3762"/>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8" t="s">
        <v>1383</v>
      </c>
      <c r="Z64" s="1748"/>
      <c r="AI64" s="1749"/>
    </row>
    <row r="65" spans="1:35" ht="14.25" customHeight="1">
      <c r="A65" s="168" t="s">
        <v>326</v>
      </c>
      <c r="B65" s="169" t="s">
        <v>1384</v>
      </c>
      <c r="C65" s="2560"/>
      <c r="D65" s="169"/>
      <c r="E65" s="171"/>
      <c r="F65" s="1804"/>
      <c r="G65" s="1804"/>
      <c r="H65" s="1806"/>
      <c r="I65" s="128"/>
      <c r="J65" s="3762"/>
      <c r="K65" s="1329" t="s">
        <v>1385</v>
      </c>
      <c r="L65" s="1329" t="e">
        <f>IF(M49&gt;1000,M49*0.1%,IF(AND(M49&gt;500,M49&lt;=1000),M49*0.5%,IF(AND(M49&gt;50,M49&lt;=500),M49*1%,IF(AND(M49&gt;1,M49&lt;=50),M49*1.5%))))</f>
        <v>#VALUE!</v>
      </c>
      <c r="M65" s="301" t="e">
        <f t="shared" si="1"/>
        <v>#VALUE!</v>
      </c>
      <c r="N65" s="2538" t="s">
        <v>1383</v>
      </c>
      <c r="Z65" s="1748"/>
      <c r="AI65" s="1749"/>
    </row>
    <row r="66" spans="1:35" ht="14.25" customHeight="1">
      <c r="A66" s="172" t="s">
        <v>327</v>
      </c>
      <c r="B66" s="173" t="s">
        <v>1386</v>
      </c>
      <c r="C66" s="2561"/>
      <c r="D66" s="173" t="s">
        <v>26</v>
      </c>
      <c r="E66" s="1335" t="s">
        <v>671</v>
      </c>
      <c r="F66" s="1804"/>
      <c r="G66" s="1804"/>
      <c r="H66" s="1806"/>
      <c r="I66" s="128"/>
      <c r="J66" s="3762"/>
      <c r="K66" s="1329" t="s">
        <v>1387</v>
      </c>
      <c r="L66" s="1329" t="e">
        <f>M49*0.5%</f>
        <v>#VALUE!</v>
      </c>
      <c r="M66" s="301" t="e">
        <f>IF(L66&gt;0.5,0.5,ROUND(L66,0))</f>
        <v>#VALUE!</v>
      </c>
      <c r="N66" s="2538" t="s">
        <v>1388</v>
      </c>
      <c r="Z66" s="1748"/>
      <c r="AI66" s="1749"/>
    </row>
    <row r="67" spans="1:35" ht="14.25" customHeight="1">
      <c r="A67" s="172" t="s">
        <v>328</v>
      </c>
      <c r="B67" s="173" t="s">
        <v>1389</v>
      </c>
      <c r="C67" s="2562" t="e">
        <f ca="1">C63-C66</f>
        <v>#REF!</v>
      </c>
      <c r="D67" s="169" t="s">
        <v>26</v>
      </c>
      <c r="E67" s="171"/>
      <c r="F67" s="1804"/>
      <c r="G67" s="1804"/>
      <c r="H67" s="1806"/>
      <c r="I67" s="128"/>
      <c r="J67" s="3762"/>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7"/>
      <c r="Z67" s="1748"/>
      <c r="AI67" s="1749"/>
    </row>
    <row r="68" spans="1:35" ht="14.25" customHeight="1" thickBot="1">
      <c r="A68" s="175" t="s">
        <v>329</v>
      </c>
      <c r="B68" s="176" t="s">
        <v>1391</v>
      </c>
      <c r="C68" s="2563" t="e">
        <f ca="1">IF(C67&lt;=0,0,ROUND(C67*D68,0))</f>
        <v>#REF!</v>
      </c>
      <c r="D68" s="2564">
        <f>'数据-取费表'!B41</f>
        <v>5.5000000000000007E-2</v>
      </c>
      <c r="E68" s="177"/>
      <c r="F68" s="1804"/>
      <c r="G68" s="1804"/>
      <c r="H68" s="1806"/>
      <c r="I68" s="128"/>
      <c r="J68" s="3762"/>
      <c r="K68" s="1329" t="s">
        <v>1392</v>
      </c>
      <c r="L68" s="1329" t="e">
        <f>IF(M49&gt;10000,M49*0.5%,IF(AND(M49&gt;5000,M49&lt;=10000),M49*1%,IF(AND(M49&gt;1000,M49&lt;=5000),M49*2%,IF(AND(M49&gt;200,M49&lt;=1000),M49*3%,M49*5%))))</f>
        <v>#VALUE!</v>
      </c>
      <c r="M68" s="301" t="e">
        <f>ROUND(L68,1)</f>
        <v>#VALUE!</v>
      </c>
      <c r="N68" s="2537"/>
      <c r="Z68" s="1748"/>
      <c r="AI68" s="1749"/>
    </row>
    <row r="69" spans="1:35" s="1768" customFormat="1" ht="16.5" customHeight="1">
      <c r="A69" s="1807"/>
      <c r="B69" s="1808"/>
      <c r="C69" s="1809"/>
      <c r="D69" s="1810"/>
      <c r="E69" s="1811"/>
      <c r="F69" s="1575"/>
      <c r="G69" s="1575"/>
      <c r="H69" s="1574"/>
      <c r="I69" s="1743"/>
      <c r="J69" s="3762"/>
      <c r="K69" s="1329" t="s">
        <v>1393</v>
      </c>
      <c r="L69" s="1329"/>
      <c r="M69" s="301" t="e">
        <f>ROUND(SUM(M63:M68),0)</f>
        <v>#VALUE!</v>
      </c>
      <c r="N69" s="2539"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24" t="s">
        <v>1394</v>
      </c>
      <c r="B70" s="3725"/>
      <c r="C70" s="3725"/>
      <c r="D70" s="3725"/>
      <c r="E70" s="3725"/>
      <c r="F70" s="3725"/>
      <c r="G70" s="3725"/>
      <c r="H70" s="3725"/>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03" t="s">
        <v>1375</v>
      </c>
      <c r="B71" s="3704"/>
      <c r="C71" s="2017"/>
      <c r="D71" s="2017" t="s">
        <v>1376</v>
      </c>
      <c r="E71" s="178" t="s">
        <v>1377</v>
      </c>
      <c r="F71" s="179"/>
      <c r="G71" s="179"/>
      <c r="H71" s="180"/>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2" t="e">
        <f ca="1">ROUND(D45/(1+'数据-取费表'!C42),0)</f>
        <v>#REF!</v>
      </c>
      <c r="D72" s="169" t="s">
        <v>26</v>
      </c>
      <c r="E72" s="2327"/>
      <c r="F72" s="2326"/>
      <c r="G72" s="2326"/>
      <c r="H72" s="181"/>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2" t="e">
        <f ca="1">C74+C78</f>
        <v>#REF!</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5"/>
      <c r="D75" s="169" t="s">
        <v>26</v>
      </c>
      <c r="E75" s="183" t="s">
        <v>1399</v>
      </c>
      <c r="F75" s="2566"/>
      <c r="G75" s="183"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8">
        <v>0.05</v>
      </c>
      <c r="E76" s="3698" t="s">
        <v>1402</v>
      </c>
      <c r="F76" s="3672"/>
      <c r="G76" s="3672"/>
      <c r="H76" s="372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9">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0" t="e">
        <f ca="1">ROUND(D45*D78/(1+'数据-取费表'!C42),0)</f>
        <v>#REF!</v>
      </c>
      <c r="D78" s="2571">
        <f>'数据-取费表'!B43</f>
        <v>5.000000000000001E-3</v>
      </c>
      <c r="E78" s="3682" t="s">
        <v>1406</v>
      </c>
      <c r="F78" s="3683"/>
      <c r="G78" s="3683"/>
      <c r="H78" s="369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2" t="e">
        <f ca="1">C72-C73</f>
        <v>#REF!</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2" t="e">
        <f ca="1">IF(C79&lt;=0,0,C79/C73)</f>
        <v>#REF!</v>
      </c>
      <c r="D80" s="169"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3" t="e">
        <f ca="1">ROUND(IF(C79&lt;=0,0,IF(C80&gt;=200%,C79*60%-C73*35%,IF(C80&gt;=100%,C79*50%-C73*15%,IF(C80&gt;=50%,C79*40%-C73*5%,IF(C80&lt;50%,C79*30%,0))))),0)</f>
        <v>#REF!</v>
      </c>
      <c r="D81" s="2574"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24" t="s">
        <v>1410</v>
      </c>
      <c r="B83" s="3725"/>
      <c r="C83" s="3725"/>
      <c r="D83" s="3725"/>
      <c r="E83" s="3725"/>
      <c r="F83" s="3725"/>
      <c r="G83" s="3725"/>
      <c r="H83" s="372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03" t="s">
        <v>1375</v>
      </c>
      <c r="B84" s="3704"/>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2" t="e">
        <f ca="1">ROUND(D45/(1+'数据-取费表'!C42),0)</f>
        <v>#REF!</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2" t="e">
        <f ca="1">IF(H88="仅含出让金",C87+C90+C91+C92+C93+C94,C87+C91+C92+C93+C94)</f>
        <v>#REF!</v>
      </c>
      <c r="D86" s="2575"/>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0">
        <f>C88+C89</f>
        <v>0</v>
      </c>
      <c r="D87" s="2571"/>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6"/>
      <c r="D88" s="2571"/>
      <c r="E88" s="192" t="s">
        <v>1413</v>
      </c>
      <c r="F88" s="2323"/>
      <c r="G88" s="193" t="s">
        <v>1414</v>
      </c>
      <c r="H88" s="1820"/>
      <c r="I88" s="1817"/>
      <c r="J88" s="2515"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0">
        <f>ROUND(C88*D89,0)</f>
        <v>0</v>
      </c>
      <c r="D89" s="2571">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6"/>
      <c r="D90" s="2571"/>
      <c r="E90" s="192" t="str">
        <f>IF(H88="-","土地取得成本中已包含该笔费用"," ")</f>
        <v xml:space="preserve"> </v>
      </c>
      <c r="F90" s="2323"/>
      <c r="G90" s="3764" t="s">
        <v>2126</v>
      </c>
      <c r="H90" s="3765"/>
      <c r="I90" s="1817"/>
      <c r="J90" s="2515"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0">
        <f>IF(H91="——",成本法!C33,I91)</f>
        <v>0</v>
      </c>
      <c r="D91" s="2571"/>
      <c r="E91" s="3682" t="s">
        <v>1419</v>
      </c>
      <c r="F91" s="3683"/>
      <c r="G91" s="368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0">
        <f>ROUND((C87+C90+C91)*D92,0)</f>
        <v>0</v>
      </c>
      <c r="D92" s="2577"/>
      <c r="E92" s="3682" t="s">
        <v>1422</v>
      </c>
      <c r="F92" s="3683"/>
      <c r="G92" s="3683"/>
      <c r="H92" s="3692"/>
      <c r="I92" s="1817"/>
      <c r="J92" s="2516"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0" t="e">
        <f ca="1">ROUND(D45*D93/(1+'数据-取费表'!C42),0)</f>
        <v>#REF!</v>
      </c>
      <c r="D93" s="2571">
        <f>'数据-取费表'!B43</f>
        <v>5.000000000000001E-3</v>
      </c>
      <c r="E93" s="3682" t="s">
        <v>1406</v>
      </c>
      <c r="F93" s="3683"/>
      <c r="G93" s="3683"/>
      <c r="H93" s="369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6">
        <f>ROUND((C87+C90+C91)*D94,0)</f>
        <v>0</v>
      </c>
      <c r="D94" s="2571">
        <v>0.2</v>
      </c>
      <c r="E94" s="3693" t="s">
        <v>1426</v>
      </c>
      <c r="F94" s="3694"/>
      <c r="G94" s="3694"/>
      <c r="H94" s="369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2" t="e">
        <f ca="1">ROUND(C85-C86,0)</f>
        <v>#REF!</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2" t="e">
        <f ca="1">IF(C95&lt;=0,0,C95/C86)</f>
        <v>#REF!</v>
      </c>
      <c r="D96" s="169"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3" t="e">
        <f ca="1">ROUND(IF(C95&lt;=0,0,IF(C96&gt;=200%,C95*60%-C86*35%,IF(C96&gt;=100%,C95*50%-C86*15%,IF(C96&gt;=50%,C95*40%-C86*5%,IF(C96&lt;50%,C95*30%,0))))),0)</f>
        <v>#REF!</v>
      </c>
      <c r="D97" s="2574"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19" t="s">
        <v>1428</v>
      </c>
      <c r="B100" s="3620"/>
      <c r="C100" s="3620"/>
      <c r="D100" s="3684"/>
      <c r="E100" s="3620" t="s">
        <v>1429</v>
      </c>
      <c r="F100" s="3620"/>
      <c r="G100" s="3620"/>
      <c r="H100" s="3684"/>
      <c r="I100" s="128"/>
    </row>
    <row r="101" spans="1:35" ht="18.75" customHeight="1">
      <c r="A101" s="3745" t="s">
        <v>1430</v>
      </c>
      <c r="B101" s="3746"/>
      <c r="C101" s="2579">
        <f>C4</f>
        <v>0</v>
      </c>
      <c r="D101" s="2580">
        <f>D4</f>
        <v>0</v>
      </c>
      <c r="E101" s="3759" t="s">
        <v>1431</v>
      </c>
      <c r="F101" s="3716"/>
      <c r="G101" s="1823" t="s">
        <v>1432</v>
      </c>
      <c r="H101" s="2589" t="e">
        <f ca="1">H118</f>
        <v>#REF!</v>
      </c>
      <c r="I101" s="128"/>
    </row>
    <row r="102" spans="1:35" ht="18.75" customHeight="1">
      <c r="A102" s="3718" t="s">
        <v>1433</v>
      </c>
      <c r="B102" s="2578" t="s">
        <v>1432</v>
      </c>
      <c r="C102" s="2579" t="e">
        <f ca="1">IF(D32="楼面单价",ROUND(C19,0),C19)</f>
        <v>#REF!</v>
      </c>
      <c r="D102" s="2580" t="e">
        <f ca="1">IF(D32="楼面单价",ROUND(D19,0),D19)</f>
        <v>#REF!</v>
      </c>
      <c r="E102" s="3759"/>
      <c r="F102" s="3716"/>
      <c r="G102" s="1823" t="s">
        <v>1434</v>
      </c>
      <c r="H102" s="2549" t="e">
        <f ca="1">I118</f>
        <v>#REF!</v>
      </c>
      <c r="I102" s="128"/>
    </row>
    <row r="103" spans="1:35" ht="42.75" customHeight="1">
      <c r="A103" s="3718"/>
      <c r="B103" s="2578" t="s">
        <v>1434</v>
      </c>
      <c r="C103" s="2581" t="e">
        <f ca="1">C20</f>
        <v>#REF!</v>
      </c>
      <c r="D103" s="2582" t="e">
        <f ca="1">D20</f>
        <v>#REF!</v>
      </c>
      <c r="E103" s="3753" t="s">
        <v>1435</v>
      </c>
      <c r="F103" s="3754"/>
      <c r="G103" s="1824" t="s">
        <v>1436</v>
      </c>
      <c r="H103" s="2589">
        <f>IF(D36="正常操作",H104+H105+H106,H105+H106)</f>
        <v>0</v>
      </c>
      <c r="I103" s="128"/>
    </row>
    <row r="104" spans="1:35" ht="18.75" customHeight="1">
      <c r="A104" s="3718" t="s">
        <v>1437</v>
      </c>
      <c r="B104" s="2583" t="s">
        <v>1432</v>
      </c>
      <c r="C104" s="2584" t="e">
        <f ca="1">H118</f>
        <v>#REF!</v>
      </c>
      <c r="D104" s="2585"/>
      <c r="E104" s="1670" t="s">
        <v>1438</v>
      </c>
      <c r="F104" s="1662"/>
      <c r="G104" s="1824" t="s">
        <v>1436</v>
      </c>
      <c r="H104" s="2590">
        <f>IF(D36="同一抵押权人同一抵押物续贷",C36&amp;"（续贷，未扣减，详见特别提示）",C36)</f>
        <v>0</v>
      </c>
      <c r="I104" s="128"/>
    </row>
    <row r="105" spans="1:35" ht="18.75" customHeight="1" thickBot="1">
      <c r="A105" s="3719"/>
      <c r="B105" s="2586" t="s">
        <v>1434</v>
      </c>
      <c r="C105" s="2587" t="e">
        <f ca="1">I118</f>
        <v>#REF!</v>
      </c>
      <c r="D105" s="2588"/>
      <c r="E105" s="1670" t="s">
        <v>1439</v>
      </c>
      <c r="F105" s="1662"/>
      <c r="G105" s="1824" t="s">
        <v>1436</v>
      </c>
      <c r="H105" s="2591">
        <f>C37</f>
        <v>0</v>
      </c>
      <c r="I105" s="128"/>
    </row>
    <row r="106" spans="1:35" ht="18.75" customHeight="1">
      <c r="A106" s="1743" t="s">
        <v>1440</v>
      </c>
      <c r="B106" s="1743"/>
      <c r="C106" s="1743"/>
      <c r="D106" s="1743"/>
      <c r="E106" s="1825" t="s">
        <v>1441</v>
      </c>
      <c r="F106" s="1662"/>
      <c r="G106" s="1824" t="s">
        <v>1436</v>
      </c>
      <c r="H106" s="2591">
        <f>C38</f>
        <v>0</v>
      </c>
      <c r="I106" s="128"/>
    </row>
    <row r="107" spans="1:35" ht="18.75" customHeight="1">
      <c r="A107" s="128"/>
      <c r="B107" s="128"/>
      <c r="C107" s="128"/>
      <c r="D107" s="128"/>
      <c r="E107" s="3715" t="str">
        <f>IF(项目基本情况!E8="已注销","——","3.房地产抵押价值")</f>
        <v>3.房地产抵押价值</v>
      </c>
      <c r="F107" s="3716"/>
      <c r="G107" s="1823" t="s">
        <v>1432</v>
      </c>
      <c r="H107" s="2589" t="e">
        <f ca="1">IF(E107="——","——",H101-H103)</f>
        <v>#REF!</v>
      </c>
      <c r="I107" s="128"/>
    </row>
    <row r="108" spans="1:35" ht="18.75" customHeight="1">
      <c r="A108" s="128"/>
      <c r="B108" s="128"/>
      <c r="C108" s="128"/>
      <c r="D108" s="128"/>
      <c r="E108" s="3715"/>
      <c r="F108" s="3716"/>
      <c r="G108" s="1823" t="s">
        <v>1434</v>
      </c>
      <c r="H108" s="2549">
        <f ca="1">IF(H107=H101,H102,ROUND(H107*10000/'数据-汇总表'!E3,0))</f>
        <v>0</v>
      </c>
      <c r="I108" s="128"/>
    </row>
    <row r="109" spans="1:35" ht="18.75" customHeight="1">
      <c r="A109" s="128"/>
      <c r="B109" s="128"/>
      <c r="C109" s="128"/>
      <c r="D109" s="128"/>
      <c r="E109" s="3715" t="str">
        <f>IF(项目基本情况!E8="已注销及未注销","4.抵押担保权已注销时的房地产抵押价值",IF(项目基本情况!E8="已注销","3.抵押担保权已注销时的房地产抵押价值","——"))</f>
        <v>——</v>
      </c>
      <c r="F109" s="3716"/>
      <c r="G109" s="1823" t="s">
        <v>1432</v>
      </c>
      <c r="H109" s="2592" t="str">
        <f>IF(E109="——","——",H101-H105-H106)</f>
        <v>——</v>
      </c>
      <c r="I109" s="128"/>
    </row>
    <row r="110" spans="1:35" ht="18.75" customHeight="1">
      <c r="A110" s="128"/>
      <c r="B110" s="128"/>
      <c r="C110" s="128"/>
      <c r="D110" s="128"/>
      <c r="E110" s="3715"/>
      <c r="F110" s="3716"/>
      <c r="G110" s="1823" t="s">
        <v>1434</v>
      </c>
      <c r="H110" s="2549" t="str">
        <f>IF(H109="——","——",ROUND(H109*10000/'数据-汇总表'!E3,0))</f>
        <v>——</v>
      </c>
      <c r="I110" s="128"/>
    </row>
    <row r="111" spans="1:35" ht="18.75" customHeight="1">
      <c r="A111" s="128"/>
      <c r="B111" s="128"/>
      <c r="C111" s="128"/>
      <c r="D111" s="128"/>
      <c r="E111" s="3747" t="str">
        <f>IF(项目基本情况!E9="抵押净值",IF(OR(项目基本情况!E8="已注销",项目基本情况!E8="房地产抵押价值"),"4.抵押净值","5.抵押净值"),"——")</f>
        <v>——</v>
      </c>
      <c r="F111" s="3717"/>
      <c r="G111" s="1823" t="s">
        <v>1432</v>
      </c>
      <c r="H111" s="2589" t="str">
        <f>IF(E111="——","——",N59)</f>
        <v>——</v>
      </c>
      <c r="I111" s="128"/>
    </row>
    <row r="112" spans="1:35" ht="18.75" customHeight="1" thickBot="1">
      <c r="A112" s="128"/>
      <c r="B112" s="128"/>
      <c r="C112" s="128"/>
      <c r="D112" s="128"/>
      <c r="E112" s="3748"/>
      <c r="F112" s="3749"/>
      <c r="G112" s="1826" t="s">
        <v>1434</v>
      </c>
      <c r="H112" s="2593" t="str">
        <f>IF(E111="——","——",N61)</f>
        <v>——</v>
      </c>
      <c r="I112" s="128"/>
    </row>
    <row r="113" spans="1:27" ht="18.75" customHeight="1">
      <c r="A113" s="128"/>
      <c r="B113" s="128"/>
      <c r="C113" s="128"/>
      <c r="D113" s="128"/>
      <c r="E113" s="3720" t="s">
        <v>1440</v>
      </c>
      <c r="F113" s="3720"/>
      <c r="G113" s="3720"/>
      <c r="H113" s="3720"/>
      <c r="I113" s="128"/>
    </row>
    <row r="114" spans="1:27" ht="3.75" customHeight="1">
      <c r="A114" s="1743"/>
      <c r="B114" s="1743"/>
      <c r="C114" s="1743"/>
      <c r="D114" s="1743"/>
      <c r="E114" s="1805"/>
      <c r="F114" s="1805"/>
      <c r="G114" s="1805"/>
      <c r="H114" s="1805"/>
      <c r="I114" s="1743"/>
    </row>
    <row r="115" spans="1:27" ht="18.75" customHeight="1">
      <c r="A115" s="3730" t="s">
        <v>1442</v>
      </c>
      <c r="B115" s="3731"/>
      <c r="C115" s="3731"/>
      <c r="D115" s="3731"/>
      <c r="E115" s="3731"/>
      <c r="F115" s="3731"/>
      <c r="G115" s="3731"/>
      <c r="H115" s="3731"/>
      <c r="I115" s="3732"/>
    </row>
    <row r="116" spans="1:27" ht="27" customHeight="1">
      <c r="A116" s="3686" t="s">
        <v>1443</v>
      </c>
      <c r="B116" s="3721" t="s">
        <v>1444</v>
      </c>
      <c r="C116" s="3721" t="s">
        <v>1445</v>
      </c>
      <c r="D116" s="3734" t="s">
        <v>1446</v>
      </c>
      <c r="E116" s="3735"/>
      <c r="F116" s="3729" t="s">
        <v>1447</v>
      </c>
      <c r="G116" s="3729"/>
      <c r="H116" s="3686" t="s">
        <v>1448</v>
      </c>
      <c r="I116" s="3686"/>
    </row>
    <row r="117" spans="1:27" ht="18.75" customHeight="1">
      <c r="A117" s="3686"/>
      <c r="B117" s="3722"/>
      <c r="C117" s="3722"/>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135.71</v>
      </c>
      <c r="C118" s="2325">
        <f ca="1">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86" t="s">
        <v>1452</v>
      </c>
      <c r="B119" s="3686"/>
      <c r="C119" s="3686"/>
      <c r="D119" s="3726" t="e">
        <f ca="1">NUMBERSTRING(INT(D118*10000),2)&amp;"元整"</f>
        <v>#REF!</v>
      </c>
      <c r="E119" s="3728"/>
      <c r="F119" s="3726" t="e">
        <f ca="1">NUMBERSTRING(INT(F118*10000),2)&amp;"元整"</f>
        <v>#REF!</v>
      </c>
      <c r="G119" s="3728"/>
      <c r="H119" s="3726" t="e">
        <f ca="1">NUMBERSTRING(INT(H118*10000),2)&amp;"元整"</f>
        <v>#REF!</v>
      </c>
      <c r="I119" s="3728"/>
    </row>
    <row r="120" spans="1:27" ht="18.75" customHeight="1">
      <c r="A120" s="3750" t="str">
        <f>IF(项目基本情况!B9="房地产市场价值","",MID(E103,3,LEN(E103)-2))</f>
        <v/>
      </c>
      <c r="B120" s="3751"/>
      <c r="C120" s="3752"/>
      <c r="D120" s="3750">
        <f>H103</f>
        <v>0</v>
      </c>
      <c r="E120" s="3751"/>
      <c r="F120" s="3751"/>
      <c r="G120" s="3751"/>
      <c r="H120" s="3751"/>
      <c r="I120" s="3752"/>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726" t="s">
        <v>1452</v>
      </c>
      <c r="B121" s="3727"/>
      <c r="C121" s="3728"/>
      <c r="D121" s="3726" t="str">
        <f>IF(D120=0,"零元整",NUMBERSTRING(INT(D120*10000),2)&amp;"元整")</f>
        <v>零元整</v>
      </c>
      <c r="E121" s="3727"/>
      <c r="F121" s="3727"/>
      <c r="G121" s="3727"/>
      <c r="H121" s="3727"/>
      <c r="I121" s="3728"/>
      <c r="AA121" s="723"/>
    </row>
    <row r="122" spans="1:27" ht="18.75" customHeight="1">
      <c r="A122" s="3717" t="str">
        <f>IF(项目基本情况!B9="房地产市场价值","",MID(E107,3,LEN(E107)-2))</f>
        <v/>
      </c>
      <c r="B122" s="3717"/>
      <c r="C122" s="3717"/>
      <c r="D122" s="3750" t="e">
        <f ca="1">H107</f>
        <v>#REF!</v>
      </c>
      <c r="E122" s="3751"/>
      <c r="F122" s="3751"/>
      <c r="G122" s="3751"/>
      <c r="H122" s="3751"/>
      <c r="I122" s="3752"/>
      <c r="AA122" s="723"/>
    </row>
    <row r="123" spans="1:27" ht="18.75" customHeight="1">
      <c r="A123" s="3686" t="s">
        <v>1452</v>
      </c>
      <c r="B123" s="3686"/>
      <c r="C123" s="3686"/>
      <c r="D123" s="3726" t="e">
        <f ca="1">NUMBERSTRING(INT(D122*10000),2)&amp;"元整"</f>
        <v>#REF!</v>
      </c>
      <c r="E123" s="3727"/>
      <c r="F123" s="3727"/>
      <c r="G123" s="3727"/>
      <c r="H123" s="3727"/>
      <c r="I123" s="3728"/>
      <c r="AA123" s="723"/>
    </row>
    <row r="124" spans="1:27" ht="18.75" customHeight="1">
      <c r="A124" s="3717" t="str">
        <f>IF(项目基本情况!B9="房地产市场价值","",MID(E109,3,LEN(E109)-2))</f>
        <v/>
      </c>
      <c r="B124" s="3717"/>
      <c r="C124" s="3717"/>
      <c r="D124" s="3750" t="str">
        <f>H109</f>
        <v>——</v>
      </c>
      <c r="E124" s="3751"/>
      <c r="F124" s="3751"/>
      <c r="G124" s="3751"/>
      <c r="H124" s="3751"/>
      <c r="I124" s="3752"/>
      <c r="AA124" s="723"/>
    </row>
    <row r="125" spans="1:27" ht="18.75" customHeight="1">
      <c r="A125" s="3686" t="s">
        <v>1452</v>
      </c>
      <c r="B125" s="3686"/>
      <c r="C125" s="3686"/>
      <c r="D125" s="3726" t="e">
        <f>NUMBERSTRING(INT(D124*10000),2)&amp;"元整"</f>
        <v>#VALUE!</v>
      </c>
      <c r="E125" s="3727"/>
      <c r="F125" s="3727"/>
      <c r="G125" s="3727"/>
      <c r="H125" s="3727"/>
      <c r="I125" s="3728"/>
      <c r="AA125" s="723"/>
    </row>
    <row r="126" spans="1:27" ht="18.75" customHeight="1">
      <c r="A126" s="3717" t="str">
        <f>IF(项目基本情况!B9="房地产市场价值","",MID(E111,3,LEN(E111)-2))</f>
        <v/>
      </c>
      <c r="B126" s="3717"/>
      <c r="C126" s="3717"/>
      <c r="D126" s="3750" t="str">
        <f>H111</f>
        <v>——</v>
      </c>
      <c r="E126" s="3751"/>
      <c r="F126" s="3751"/>
      <c r="G126" s="3751"/>
      <c r="H126" s="3751"/>
      <c r="I126" s="3752"/>
      <c r="AA126" s="723"/>
    </row>
    <row r="127" spans="1:27" ht="18.75" customHeight="1">
      <c r="A127" s="3686" t="s">
        <v>1452</v>
      </c>
      <c r="B127" s="3686"/>
      <c r="C127" s="3686"/>
      <c r="D127" s="3726" t="e">
        <f>NUMBERSTRING(INT(D126*10000),2)&amp;"元整"</f>
        <v>#VALUE!</v>
      </c>
      <c r="E127" s="3727"/>
      <c r="F127" s="3727"/>
      <c r="G127" s="3727"/>
      <c r="H127" s="3727"/>
      <c r="I127" s="3728"/>
      <c r="AA127" s="723"/>
    </row>
    <row r="128" spans="1:27" ht="21.75" customHeight="1">
      <c r="A128" s="3733" t="s">
        <v>1453</v>
      </c>
      <c r="B128" s="3733"/>
      <c r="C128" s="3733"/>
      <c r="D128" s="3733"/>
      <c r="E128" s="3733"/>
      <c r="F128" s="3733"/>
      <c r="G128" s="3733"/>
      <c r="H128" s="3733"/>
      <c r="I128" s="3733"/>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32714</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2410581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27142</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27142</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3</v>
      </c>
      <c r="D10" s="843">
        <f ca="1">IF(B1="",'数据-汇总表'!E6,IF(INDIRECT("'数据-取费表'!c"&amp;$G$1)="住宅",INDIRECT("'数据-取费表'!s"&amp;$G$1),INDIRECT("'数据-取费表'!k"&amp;$G$1)+INDIRECT("'数据-取费表'!s"&amp;$G$1)))</f>
        <v>135.71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3</v>
      </c>
      <c r="D19" s="847">
        <f ca="1">D9+D10</f>
        <v>135.71</v>
      </c>
      <c r="E19" s="210">
        <f>'数据-取费表'!B31</f>
        <v>200</v>
      </c>
      <c r="F19" s="230"/>
      <c r="G19" s="1852"/>
    </row>
    <row r="20" spans="1:7" s="213" customFormat="1" ht="13.5" customHeight="1">
      <c r="A20" s="254" t="s">
        <v>1493</v>
      </c>
      <c r="B20" s="209" t="s">
        <v>1494</v>
      </c>
      <c r="C20" s="231">
        <f ca="1">ROUND((C5+C19)*F20,0)</f>
        <v>543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1193</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1181</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12</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1384</v>
      </c>
      <c r="D27" s="234">
        <f ca="1">C29</f>
        <v>1E-3</v>
      </c>
      <c r="E27" s="235" t="s">
        <v>1514</v>
      </c>
      <c r="F27" s="245">
        <f ca="1">IF(B1="",'数据-取费表'!Q16,INDIRECT("'数据-取费表'!q"&amp;$G$1))</f>
        <v>0.05</v>
      </c>
      <c r="G27" s="246" t="s">
        <v>1515</v>
      </c>
    </row>
    <row r="28" spans="1:7" s="213" customFormat="1" ht="13.5" customHeight="1">
      <c r="A28" s="778" t="s">
        <v>346</v>
      </c>
      <c r="B28" s="247" t="s">
        <v>1516</v>
      </c>
      <c r="C28" s="248">
        <f ca="1">ROUND((C5+C19+C20)*F27*'数据-取费表'!B21/'数据-取费表'!B20,0)</f>
        <v>1384</v>
      </c>
      <c r="D28" s="234"/>
      <c r="E28" s="235"/>
      <c r="F28" s="245"/>
      <c r="G28" s="246"/>
    </row>
    <row r="29" spans="1:7" s="213" customFormat="1" ht="13.5" customHeight="1">
      <c r="A29" s="778"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32677</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52</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47</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3</v>
      </c>
      <c r="D37" s="216">
        <f ca="1">D19</f>
        <v>135.71</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1</v>
      </c>
      <c r="D42" s="237"/>
      <c r="E42" s="237"/>
      <c r="F42" s="238"/>
      <c r="G42" s="3766" t="s">
        <v>1544</v>
      </c>
    </row>
    <row r="43" spans="1:7" ht="13.5" customHeight="1">
      <c r="A43" s="778" t="s">
        <v>347</v>
      </c>
      <c r="B43" s="214" t="s">
        <v>1545</v>
      </c>
      <c r="C43" s="237">
        <f ca="1">ROUND(IF('数据-取费表'!B22&lt;=1,C39*F22*'数据-取费表'!B21/2,C39*(POWER((1+F22),'数据-取费表'!B21/2)-1)),0)</f>
        <v>0</v>
      </c>
      <c r="D43" s="237"/>
      <c r="E43" s="237"/>
      <c r="F43" s="238"/>
      <c r="G43" s="3767"/>
    </row>
    <row r="44" spans="1:7" ht="13.5" customHeight="1">
      <c r="A44" s="778" t="s">
        <v>348</v>
      </c>
      <c r="B44" s="214" t="s">
        <v>1546</v>
      </c>
      <c r="C44" s="237">
        <f ca="1">ROUND(IF('数据-取费表'!B22&lt;=1,C40*F22*'数据-取费表'!B21/2,C40*(POWER((1+F22),'数据-取费表'!B21/2)-1)),4)</f>
        <v>4.0000000000000002E-4</v>
      </c>
      <c r="D44" s="237"/>
      <c r="E44" s="237"/>
      <c r="F44" s="238"/>
      <c r="G44" s="3768"/>
    </row>
    <row r="45" spans="1:7" s="213" customFormat="1" ht="13.5" customHeight="1">
      <c r="A45" s="254" t="s">
        <v>1547</v>
      </c>
      <c r="B45" s="243" t="s">
        <v>1513</v>
      </c>
      <c r="C45" s="244">
        <f ca="1">C46</f>
        <v>3</v>
      </c>
      <c r="D45" s="234">
        <f ca="1">C47</f>
        <v>1E-3</v>
      </c>
      <c r="E45" s="235" t="s">
        <v>1539</v>
      </c>
      <c r="F45" s="245">
        <f ca="1">F27</f>
        <v>0.05</v>
      </c>
      <c r="G45" s="246" t="s">
        <v>1548</v>
      </c>
    </row>
    <row r="46" spans="1:7" s="213" customFormat="1" ht="13.5" customHeight="1">
      <c r="A46" s="778" t="s">
        <v>346</v>
      </c>
      <c r="B46" s="247" t="s">
        <v>1549</v>
      </c>
      <c r="C46" s="248">
        <f ca="1">ROUND((C33+C39)*F27,0)</f>
        <v>3</v>
      </c>
      <c r="D46" s="262"/>
      <c r="E46" s="235"/>
      <c r="F46" s="245"/>
      <c r="G46" s="246"/>
    </row>
    <row r="47" spans="1:7" s="213" customFormat="1" ht="13.5" customHeight="1">
      <c r="A47" s="778" t="s">
        <v>347</v>
      </c>
      <c r="B47" s="247" t="s">
        <v>1550</v>
      </c>
      <c r="C47" s="237">
        <f ca="1">ROUND(C40*F27,4)</f>
        <v>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62</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37</v>
      </c>
      <c r="D51" s="231"/>
      <c r="E51" s="231"/>
      <c r="F51" s="263"/>
      <c r="G51" s="233" t="s">
        <v>1560</v>
      </c>
    </row>
    <row r="52" spans="1:7" s="207" customFormat="1" ht="16.5" thickBot="1">
      <c r="A52" s="264" t="s">
        <v>1561</v>
      </c>
      <c r="B52" s="265"/>
      <c r="C52" s="266">
        <f ca="1">C31+C51</f>
        <v>32714</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0"/>
      <c r="F1" s="2800"/>
      <c r="G1" s="2665"/>
      <c r="H1" s="2800"/>
      <c r="I1" s="2800"/>
      <c r="J1" s="2800"/>
      <c r="K1" s="2801">
        <f>MATCH(C1,'数据-取费表'!A6:A16,0)+5</f>
        <v>7</v>
      </c>
    </row>
    <row r="2" spans="1:33" ht="18" customHeight="1">
      <c r="A2" s="200" t="s">
        <v>1462</v>
      </c>
      <c r="B2" s="203">
        <f ca="1">C32</f>
        <v>28247</v>
      </c>
      <c r="C2" s="275" t="s">
        <v>1595</v>
      </c>
      <c r="D2" s="275"/>
      <c r="E2" s="2800"/>
      <c r="F2" s="2800"/>
      <c r="G2" s="2800"/>
      <c r="H2" s="2800"/>
      <c r="I2" s="2800"/>
      <c r="J2" s="2800"/>
      <c r="K2" s="2800"/>
    </row>
    <row r="3" spans="1:33" ht="18" customHeight="1" thickBot="1">
      <c r="A3" s="202" t="s">
        <v>1464</v>
      </c>
      <c r="B3" s="203">
        <f ca="1">ROUND(B2*10000/IF(C1="",'数据-汇总表'!E3,INDIRECT("'数据-取费表'!K"&amp;$K$1)),0)</f>
        <v>2081424</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135.71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135.71</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-27139</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135.71</v>
      </c>
      <c r="E20" s="21">
        <f>'数据-取费表'!B28</f>
        <v>200</v>
      </c>
      <c r="F20" s="802"/>
      <c r="G20" s="12"/>
      <c r="H20" s="807"/>
      <c r="I20" s="807"/>
      <c r="J20" s="807"/>
      <c r="K20" s="808"/>
    </row>
    <row r="21" spans="1:33" s="801" customFormat="1" ht="13.5" customHeight="1">
      <c r="A21" s="788" t="s">
        <v>357</v>
      </c>
      <c r="B21" s="811" t="s">
        <v>1628</v>
      </c>
      <c r="C21" s="812">
        <f ca="1">C16+C17+C18</f>
        <v>-27139</v>
      </c>
      <c r="D21" s="813"/>
      <c r="E21" s="280"/>
      <c r="F21" s="280"/>
      <c r="G21" s="130" t="s">
        <v>1629</v>
      </c>
      <c r="H21" s="805"/>
      <c r="I21" s="805"/>
      <c r="J21" s="805"/>
      <c r="K21" s="806"/>
    </row>
    <row r="22" spans="1:33" s="801" customFormat="1" ht="13.5" customHeight="1">
      <c r="A22" s="788" t="s">
        <v>1601</v>
      </c>
      <c r="B22" s="811" t="s">
        <v>1630</v>
      </c>
      <c r="C22" s="812">
        <f ca="1">ROUND(C21*F22,0)</f>
        <v>-543</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-1384</v>
      </c>
      <c r="D28" s="279">
        <f ca="1">C29</f>
        <v>0</v>
      </c>
      <c r="E28" s="281" t="s">
        <v>12</v>
      </c>
      <c r="F28" s="287">
        <f ca="1">IF(C1="",'数据-取费表'!Q16,INDIRECT("'数据-取费表'!q"&amp;$K$1))</f>
        <v>0.05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-1384</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28247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0"/>
      <c r="H2" s="2689"/>
      <c r="I2" s="2689"/>
      <c r="J2" s="2689"/>
      <c r="K2" s="2690"/>
      <c r="L2" s="2689"/>
      <c r="M2" s="2689"/>
    </row>
    <row r="3" spans="1:37" ht="18" customHeight="1" thickBot="1">
      <c r="A3" s="1387" t="s">
        <v>806</v>
      </c>
      <c r="B3" s="1388">
        <f ca="1">IF(ISERROR(B2*10000/F43),0,ROUND(B2*10000/F43,0))</f>
        <v>0</v>
      </c>
      <c r="C3" s="1384" t="s">
        <v>807</v>
      </c>
      <c r="D3" s="1384"/>
      <c r="E3" s="1385"/>
      <c r="F3" s="1386"/>
      <c r="G3" s="2700"/>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71" t="s">
        <v>694</v>
      </c>
      <c r="C6" s="1071">
        <f ca="1">ROUND(F6*F8*F7*(1-F9)/10000,0)</f>
        <v>0</v>
      </c>
      <c r="D6" s="154" t="s">
        <v>2106</v>
      </c>
      <c r="E6" s="301" t="s">
        <v>696</v>
      </c>
      <c r="F6" s="302">
        <f ca="1">INDIRECT("'数据-取费表'!u"&amp;$G$1)</f>
        <v>0</v>
      </c>
      <c r="G6" s="1381"/>
      <c r="H6" s="1066" t="s">
        <v>398</v>
      </c>
      <c r="I6" s="3771" t="s">
        <v>694</v>
      </c>
      <c r="J6" s="300">
        <f ca="1">ROUND(M6*M8*M7*(1-M9)/10000,0)</f>
        <v>0</v>
      </c>
      <c r="K6" s="154" t="s">
        <v>2105</v>
      </c>
      <c r="L6" s="301" t="s">
        <v>696</v>
      </c>
      <c r="M6" s="302">
        <f ca="1">INDIRECT("'数据-取费表'!z"&amp;$G$1)</f>
        <v>0</v>
      </c>
    </row>
    <row r="7" spans="1:37" ht="18" customHeight="1">
      <c r="A7" s="1070"/>
      <c r="B7" s="3772"/>
      <c r="C7" s="1072"/>
      <c r="D7" s="306"/>
      <c r="E7" s="1073" t="s">
        <v>697</v>
      </c>
      <c r="F7" s="302">
        <f ca="1">IF(INDIRECT("'数据-取费表'!ah"&amp;$G$1)="",INDIRECT("'数据-取费表'!k"&amp;$G$1),INDIRECT("'数据-取费表'!ah"&amp;$G$1))</f>
        <v>0</v>
      </c>
      <c r="G7" s="1381"/>
      <c r="H7" s="303"/>
      <c r="I7" s="3772"/>
      <c r="J7" s="305"/>
      <c r="K7" s="306"/>
      <c r="L7" s="301" t="s">
        <v>697</v>
      </c>
      <c r="M7" s="302">
        <f ca="1">F7</f>
        <v>0</v>
      </c>
    </row>
    <row r="8" spans="1:37" ht="18" customHeight="1">
      <c r="A8" s="303"/>
      <c r="B8" s="3772"/>
      <c r="C8" s="305"/>
      <c r="D8" s="306"/>
      <c r="E8" s="301" t="s">
        <v>698</v>
      </c>
      <c r="F8" s="302">
        <f ca="1">INDIRECT("'数据-取费表'!ai"&amp;$G$1)</f>
        <v>0</v>
      </c>
      <c r="G8" s="1381"/>
      <c r="H8" s="303"/>
      <c r="I8" s="3772"/>
      <c r="J8" s="305"/>
      <c r="K8" s="306"/>
      <c r="L8" s="301" t="s">
        <v>698</v>
      </c>
      <c r="M8" s="302">
        <f ca="1">INDIRECT("'数据-取费表'!ai"&amp;$G$1)</f>
        <v>0</v>
      </c>
    </row>
    <row r="9" spans="1:37" ht="18" customHeight="1">
      <c r="A9" s="303"/>
      <c r="B9" s="3773"/>
      <c r="C9" s="305"/>
      <c r="D9" s="306"/>
      <c r="E9" s="301" t="s">
        <v>699</v>
      </c>
      <c r="F9" s="311">
        <f ca="1">INDIRECT("'数据-取费表'!w"&amp;$G$1)</f>
        <v>0</v>
      </c>
      <c r="G9" s="1381"/>
      <c r="H9" s="303"/>
      <c r="I9" s="3773"/>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3333</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3333</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IF(项目基本情况!B11="自然人","——",ROUND(F34*F35/10000,2))</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ROUND(C29*F36,2)</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ROUND(C13*F37,2)</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ROUND(C5*F38,2)</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9"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4">
        <f ca="1">IF(M47="住宅",IF(D1="——",MAX(J51,L48),MAX(J51,L48-'数据-取费表'!B24)),IF(D1="——",MIN(J51,L48),MIN(J51,L48-'数据-取费表'!B24)))</f>
        <v>0</v>
      </c>
      <c r="K53" s="3769" t="s">
        <v>837</v>
      </c>
      <c r="L53" s="3770"/>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3333</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9" t="e">
        <f ca="1">ROUND(D2/10000,4)</f>
        <v>#DIV/0!</v>
      </c>
      <c r="C2" s="1384" t="s">
        <v>879</v>
      </c>
      <c r="D2" s="1468" t="e">
        <f ca="1">C40+J29+L46</f>
        <v>#DIV/0!</v>
      </c>
      <c r="E2" s="1385" t="s">
        <v>880</v>
      </c>
      <c r="F2" s="1386"/>
      <c r="G2" s="2700"/>
      <c r="H2" s="2689"/>
      <c r="I2" s="2689"/>
      <c r="J2" s="2689"/>
      <c r="K2" s="2690"/>
      <c r="L2" s="2689"/>
      <c r="M2" s="2689"/>
    </row>
    <row r="3" spans="1:37" ht="18" customHeight="1" thickBot="1">
      <c r="A3" s="1387" t="s">
        <v>881</v>
      </c>
      <c r="B3" s="1388">
        <f ca="1">IF(ISERROR(D2/F43),0,ROUND(D2/F43,0))</f>
        <v>0</v>
      </c>
      <c r="C3" s="1384" t="s">
        <v>882</v>
      </c>
      <c r="D3" s="1384"/>
      <c r="E3" s="1385"/>
      <c r="F3" s="1386"/>
      <c r="G3" s="2700"/>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71" t="s">
        <v>694</v>
      </c>
      <c r="C6" s="1071">
        <f ca="1">ROUND(F6*F8*F7*(1-F9),0)</f>
        <v>0</v>
      </c>
      <c r="D6" s="154" t="s">
        <v>2103</v>
      </c>
      <c r="E6" s="301" t="s">
        <v>696</v>
      </c>
      <c r="F6" s="302">
        <f ca="1">INDIRECT("'数据-取费表'!u"&amp;$G$1)</f>
        <v>0</v>
      </c>
      <c r="G6" s="1381"/>
      <c r="H6" s="1066" t="s">
        <v>398</v>
      </c>
      <c r="I6" s="3771" t="s">
        <v>694</v>
      </c>
      <c r="J6" s="300">
        <f ca="1">ROUND(M6*M8*M7*(1-M9),0)</f>
        <v>0</v>
      </c>
      <c r="K6" s="1373" t="s">
        <v>2104</v>
      </c>
      <c r="L6" s="301" t="s">
        <v>696</v>
      </c>
      <c r="M6" s="302">
        <f ca="1">INDIRECT("'数据-取费表'!z"&amp;$G$1)</f>
        <v>0</v>
      </c>
    </row>
    <row r="7" spans="1:37" ht="18" customHeight="1">
      <c r="A7" s="1070"/>
      <c r="B7" s="3772"/>
      <c r="C7" s="1072"/>
      <c r="D7" s="306"/>
      <c r="E7" s="1073" t="s">
        <v>697</v>
      </c>
      <c r="F7" s="302">
        <f ca="1">IF(INDIRECT("'数据-取费表'!ah"&amp;$G$1)="",INDIRECT("'数据-取费表'!k"&amp;$G$1),INDIRECT("'数据-取费表'!ah"&amp;$G$1))</f>
        <v>0</v>
      </c>
      <c r="G7" s="1381"/>
      <c r="H7" s="303"/>
      <c r="I7" s="3772"/>
      <c r="J7" s="305"/>
      <c r="K7" s="306"/>
      <c r="L7" s="301" t="s">
        <v>697</v>
      </c>
      <c r="M7" s="302">
        <f ca="1">F7</f>
        <v>0</v>
      </c>
    </row>
    <row r="8" spans="1:37" ht="18" customHeight="1">
      <c r="A8" s="303"/>
      <c r="B8" s="3772"/>
      <c r="C8" s="305"/>
      <c r="D8" s="306"/>
      <c r="E8" s="301" t="s">
        <v>698</v>
      </c>
      <c r="F8" s="302">
        <f ca="1">INDIRECT("'数据-取费表'!ai"&amp;$G$1)</f>
        <v>0</v>
      </c>
      <c r="G8" s="1381"/>
      <c r="H8" s="303"/>
      <c r="I8" s="3772"/>
      <c r="J8" s="305"/>
      <c r="K8" s="306"/>
      <c r="L8" s="301" t="s">
        <v>698</v>
      </c>
      <c r="M8" s="302">
        <f ca="1">INDIRECT("'数据-取费表'!ai"&amp;$G$1)</f>
        <v>0</v>
      </c>
    </row>
    <row r="9" spans="1:37" ht="18" customHeight="1">
      <c r="A9" s="303"/>
      <c r="B9" s="3773"/>
      <c r="C9" s="305"/>
      <c r="D9" s="306"/>
      <c r="E9" s="301" t="s">
        <v>699</v>
      </c>
      <c r="F9" s="311">
        <f ca="1">INDIRECT("'数据-取费表'!w"&amp;$G$1)</f>
        <v>0</v>
      </c>
      <c r="G9" s="1381"/>
      <c r="H9" s="303"/>
      <c r="I9" s="3773"/>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3333</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3333</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IF(项目基本情况!B11="自然人","——",ROUND(F34*F35,0))</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ROUND(C29*F36,0)</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ROUND(C13*F37,0)</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ROUND(C5*F38,0)</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5" t="s">
        <v>3349</v>
      </c>
      <c r="B45" s="1397"/>
      <c r="C45" s="1469" t="e">
        <f ca="1">ROUND((C68-C40)/10000,4)</f>
        <v>#DIV/0!</v>
      </c>
      <c r="D45" s="3426" t="s">
        <v>3350</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4">
        <f ca="1">IF(M47="住宅",IF(D1="——",MAX(J51,L48),MAX(J51,L48-'数据-取费表'!B24)),IF(D1="——",MIN(J51,L48),MIN(J51,L48-'数据-取费表'!B24)))</f>
        <v>0</v>
      </c>
      <c r="K53" s="3769" t="s">
        <v>837</v>
      </c>
      <c r="L53" s="3770"/>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3333</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2432</v>
      </c>
      <c r="B1" s="2826"/>
      <c r="C1" s="2838"/>
      <c r="D1" s="2838"/>
      <c r="E1" s="2827"/>
      <c r="F1" s="2828"/>
      <c r="G1" s="2829"/>
      <c r="J1" s="2832" t="s">
        <v>2311</v>
      </c>
      <c r="K1" s="2833"/>
      <c r="L1" s="2833"/>
      <c r="M1" s="2833"/>
      <c r="N1" s="2833"/>
      <c r="O1" s="2833"/>
      <c r="P1" s="2833"/>
      <c r="Q1" s="2833"/>
      <c r="R1" s="2834"/>
      <c r="S1" s="2835"/>
      <c r="T1" s="2835"/>
      <c r="U1" s="2835"/>
    </row>
    <row r="2" spans="1:22" s="2847" customFormat="1" ht="13.15" customHeight="1">
      <c r="A2" s="1382" t="s">
        <v>2312</v>
      </c>
      <c r="B2" s="2837" t="e">
        <f>IF(D2="——",C40,C40+E2)</f>
        <v>#DIV/0!</v>
      </c>
      <c r="C2" s="2838" t="s">
        <v>2313</v>
      </c>
      <c r="D2" s="3437" t="s">
        <v>3356</v>
      </c>
      <c r="E2" s="3438"/>
      <c r="F2" s="2840"/>
      <c r="G2" s="2841"/>
      <c r="H2" s="2842"/>
      <c r="I2" s="2843"/>
      <c r="J2" s="3780" t="s">
        <v>2314</v>
      </c>
      <c r="K2" s="3781"/>
      <c r="L2" s="2844" t="s">
        <v>2315</v>
      </c>
      <c r="M2" s="2844" t="s">
        <v>2316</v>
      </c>
      <c r="N2" s="2844" t="s">
        <v>2317</v>
      </c>
      <c r="O2" s="2844" t="s">
        <v>2318</v>
      </c>
      <c r="P2" s="2844" t="s">
        <v>2319</v>
      </c>
      <c r="Q2" s="2845" t="s">
        <v>2320</v>
      </c>
      <c r="R2" s="2846" t="s">
        <v>2321</v>
      </c>
      <c r="S2" s="2835"/>
      <c r="T2" s="2835"/>
      <c r="U2" s="2835"/>
      <c r="V2" s="2843"/>
    </row>
    <row r="3" spans="1:22" s="2847" customFormat="1" ht="13.15" customHeight="1">
      <c r="A3" s="2848" t="s">
        <v>2322</v>
      </c>
      <c r="B3" s="2849" t="e">
        <f>ROUND(B2*10000/B4,0)</f>
        <v>#DIV/0!</v>
      </c>
      <c r="C3" s="2838" t="s">
        <v>2323</v>
      </c>
      <c r="D3" s="2838"/>
      <c r="E3" s="2839"/>
      <c r="F3" s="2840"/>
      <c r="G3" s="2841"/>
      <c r="H3" s="2842"/>
      <c r="I3" s="2843"/>
      <c r="J3" s="3782" t="s">
        <v>2324</v>
      </c>
      <c r="K3" s="3783"/>
      <c r="L3" s="2850"/>
      <c r="M3" s="2850"/>
      <c r="N3" s="2850"/>
      <c r="O3" s="2850"/>
      <c r="P3" s="2850"/>
      <c r="Q3" s="2851"/>
      <c r="R3" s="2852">
        <f>SUM(L3:Q3)</f>
        <v>0</v>
      </c>
      <c r="S3" s="2835"/>
      <c r="T3" s="2835"/>
      <c r="U3" s="2835"/>
      <c r="V3" s="2843"/>
    </row>
    <row r="4" spans="1:22" s="2847" customFormat="1" ht="13.15" customHeight="1">
      <c r="A4" s="2853" t="s">
        <v>2325</v>
      </c>
      <c r="B4" s="2854"/>
      <c r="C4" s="2838"/>
      <c r="D4" s="2838"/>
      <c r="E4" s="2839"/>
      <c r="F4" s="2840"/>
      <c r="G4" s="2841"/>
      <c r="H4" s="2842"/>
      <c r="I4" s="2843"/>
      <c r="J4" s="3782" t="s">
        <v>2326</v>
      </c>
      <c r="K4" s="3783"/>
      <c r="L4" s="2855"/>
      <c r="M4" s="2855"/>
      <c r="N4" s="2855"/>
      <c r="O4" s="2855"/>
      <c r="P4" s="2855"/>
      <c r="Q4" s="2856"/>
      <c r="R4" s="2857">
        <f>SUM(L4:Q4)</f>
        <v>0</v>
      </c>
      <c r="S4" s="2835"/>
      <c r="T4" s="2835"/>
      <c r="U4" s="2835"/>
      <c r="V4" s="2843"/>
    </row>
    <row r="5" spans="1:22" s="2847" customFormat="1" ht="13.15" customHeight="1" thickBot="1">
      <c r="A5" s="2858" t="s">
        <v>2327</v>
      </c>
      <c r="B5" s="2859"/>
      <c r="C5" s="2838"/>
      <c r="D5" s="2860"/>
      <c r="E5" s="2840"/>
      <c r="F5" s="2840"/>
      <c r="G5" s="2841"/>
      <c r="H5" s="2842"/>
      <c r="I5" s="2843"/>
      <c r="J5" s="2861" t="s">
        <v>2328</v>
      </c>
      <c r="K5" s="2862"/>
      <c r="L5" s="2862"/>
      <c r="M5" s="2863"/>
      <c r="N5" s="2863"/>
      <c r="O5" s="2863"/>
      <c r="P5" s="2863"/>
      <c r="Q5" s="2863"/>
      <c r="R5" s="2846">
        <f>SUM(R14,R19,R24,R25,R27,R28)</f>
        <v>0</v>
      </c>
      <c r="S5" s="2835"/>
      <c r="T5" s="2835" t="s">
        <v>2329</v>
      </c>
      <c r="U5" s="2835" t="e">
        <f>ROUND(R5*10000/365/R3,1)</f>
        <v>#DIV/0!</v>
      </c>
      <c r="V5" s="2843"/>
    </row>
    <row r="6" spans="1:22" s="2847" customFormat="1" ht="13.15" customHeight="1" thickBot="1">
      <c r="A6" s="3788" t="s">
        <v>2330</v>
      </c>
      <c r="B6" s="3789"/>
      <c r="C6" s="3790"/>
      <c r="D6" s="2864"/>
      <c r="E6" s="2865"/>
      <c r="F6" s="2866"/>
      <c r="G6" s="2867"/>
      <c r="H6" s="2842"/>
      <c r="I6" s="2843"/>
      <c r="J6" s="3774">
        <v>1</v>
      </c>
      <c r="K6" s="3775" t="s">
        <v>2331</v>
      </c>
      <c r="L6" s="2868" t="s">
        <v>2332</v>
      </c>
      <c r="M6" s="2869" t="s">
        <v>2333</v>
      </c>
      <c r="N6" s="2869" t="s">
        <v>2334</v>
      </c>
      <c r="O6" s="2869" t="s">
        <v>2335</v>
      </c>
      <c r="P6" s="2869" t="s">
        <v>2336</v>
      </c>
      <c r="Q6" s="2869" t="s">
        <v>2337</v>
      </c>
      <c r="R6" s="2852" t="s">
        <v>2338</v>
      </c>
      <c r="S6" s="2835"/>
      <c r="T6" s="2835" t="s">
        <v>2339</v>
      </c>
      <c r="U6" s="2835"/>
      <c r="V6" s="2843"/>
    </row>
    <row r="7" spans="1:22" s="2847" customFormat="1" ht="13.15" customHeight="1">
      <c r="A7" s="2870" t="s">
        <v>2340</v>
      </c>
      <c r="B7" s="2871"/>
      <c r="C7" s="2872"/>
      <c r="D7" s="2873">
        <f>SUM(D9,D10,D11,D17,0)</f>
        <v>0</v>
      </c>
      <c r="E7" s="2874" t="e">
        <f>E9+E10+E11+E17</f>
        <v>#DIV/0!</v>
      </c>
      <c r="F7" s="2875"/>
      <c r="G7" s="2876"/>
      <c r="H7" s="2842"/>
      <c r="I7" s="2843"/>
      <c r="J7" s="3774"/>
      <c r="K7" s="3776"/>
      <c r="L7" s="2877" t="s">
        <v>2341</v>
      </c>
      <c r="M7" s="2878"/>
      <c r="N7" s="2854"/>
      <c r="O7" s="2879"/>
      <c r="P7" s="2879"/>
      <c r="Q7" s="2880">
        <v>365</v>
      </c>
      <c r="R7" s="2881">
        <f>ROUND(M7*N7*O7*P7*Q7/10000,0)</f>
        <v>0</v>
      </c>
      <c r="S7" s="2835"/>
      <c r="T7" s="2835" t="s">
        <v>2342</v>
      </c>
      <c r="U7" s="2835"/>
      <c r="V7" s="2843"/>
    </row>
    <row r="8" spans="1:22" s="2847" customFormat="1" ht="13.15" customHeight="1">
      <c r="A8" s="2882" t="s">
        <v>2343</v>
      </c>
      <c r="B8" s="3791" t="s">
        <v>2344</v>
      </c>
      <c r="C8" s="3792"/>
      <c r="D8" s="2883" t="s">
        <v>2345</v>
      </c>
      <c r="E8" s="2884" t="s">
        <v>2346</v>
      </c>
      <c r="F8" s="2885" t="s">
        <v>2347</v>
      </c>
      <c r="G8" s="2886"/>
      <c r="H8" s="2842"/>
      <c r="I8" s="2843"/>
      <c r="J8" s="3774"/>
      <c r="K8" s="3776"/>
      <c r="L8" s="2877" t="s">
        <v>2348</v>
      </c>
      <c r="M8" s="2878"/>
      <c r="N8" s="2854"/>
      <c r="O8" s="2879"/>
      <c r="P8" s="2879"/>
      <c r="Q8" s="2880">
        <v>365</v>
      </c>
      <c r="R8" s="2881">
        <f t="shared" ref="R8:R13" si="0">ROUND(M8*N8*O8*P8*Q8/10000,0)</f>
        <v>0</v>
      </c>
      <c r="S8" s="2835"/>
      <c r="T8" s="2835" t="s">
        <v>2349</v>
      </c>
      <c r="U8" s="2835"/>
      <c r="V8" s="2843"/>
    </row>
    <row r="9" spans="1:22" s="2847" customFormat="1" ht="13.15" customHeight="1">
      <c r="A9" s="2882">
        <v>1</v>
      </c>
      <c r="B9" s="3791" t="s">
        <v>2350</v>
      </c>
      <c r="C9" s="3792"/>
      <c r="D9" s="2883">
        <f>ROUND(D6*E9,0)</f>
        <v>0</v>
      </c>
      <c r="E9" s="2887"/>
      <c r="F9" s="2888" t="s">
        <v>2351</v>
      </c>
      <c r="G9" s="2867"/>
      <c r="H9" s="2842"/>
      <c r="I9" s="2843"/>
      <c r="J9" s="3774"/>
      <c r="K9" s="3776"/>
      <c r="L9" s="2877" t="s">
        <v>2352</v>
      </c>
      <c r="M9" s="2878"/>
      <c r="N9" s="2854"/>
      <c r="O9" s="2879"/>
      <c r="P9" s="2879"/>
      <c r="Q9" s="2880">
        <v>365</v>
      </c>
      <c r="R9" s="2881">
        <f t="shared" si="0"/>
        <v>0</v>
      </c>
      <c r="S9" s="2835"/>
      <c r="T9" s="2835"/>
      <c r="U9" s="2835"/>
      <c r="V9" s="2843"/>
    </row>
    <row r="10" spans="1:22" s="2847" customFormat="1" ht="13.15" customHeight="1">
      <c r="A10" s="2882">
        <v>2</v>
      </c>
      <c r="B10" s="3791" t="s">
        <v>2353</v>
      </c>
      <c r="C10" s="3792"/>
      <c r="D10" s="2883">
        <f>ROUND(D6*E10,0)</f>
        <v>0</v>
      </c>
      <c r="E10" s="2887"/>
      <c r="F10" s="2888" t="s">
        <v>2354</v>
      </c>
      <c r="G10" s="2867"/>
      <c r="H10" s="2842"/>
      <c r="I10" s="2843"/>
      <c r="J10" s="3774"/>
      <c r="K10" s="3776"/>
      <c r="L10" s="2877" t="s">
        <v>2355</v>
      </c>
      <c r="M10" s="2878"/>
      <c r="N10" s="2854"/>
      <c r="O10" s="2879"/>
      <c r="P10" s="2879"/>
      <c r="Q10" s="2880">
        <v>365</v>
      </c>
      <c r="R10" s="2881">
        <f t="shared" si="0"/>
        <v>0</v>
      </c>
      <c r="S10" s="2835"/>
      <c r="T10" s="2835"/>
      <c r="U10" s="2835"/>
      <c r="V10" s="2843"/>
    </row>
    <row r="11" spans="1:22" s="2847" customFormat="1" ht="13.15" customHeight="1">
      <c r="A11" s="2882">
        <v>3</v>
      </c>
      <c r="B11" s="3791" t="s">
        <v>2356</v>
      </c>
      <c r="C11" s="3792"/>
      <c r="D11" s="2883">
        <f>D12+D14+D15+D16</f>
        <v>0</v>
      </c>
      <c r="E11" s="2889" t="e">
        <f>D11/D6</f>
        <v>#DIV/0!</v>
      </c>
      <c r="F11" s="2885"/>
      <c r="G11" s="2886"/>
      <c r="H11" s="2842"/>
      <c r="I11" s="2843"/>
      <c r="J11" s="3774"/>
      <c r="K11" s="3776"/>
      <c r="L11" s="2877" t="s">
        <v>2357</v>
      </c>
      <c r="M11" s="2878"/>
      <c r="N11" s="2854"/>
      <c r="O11" s="2879"/>
      <c r="P11" s="2879"/>
      <c r="Q11" s="2880">
        <v>365</v>
      </c>
      <c r="R11" s="2881">
        <f t="shared" si="0"/>
        <v>0</v>
      </c>
      <c r="S11" s="2835"/>
      <c r="T11" s="2835"/>
      <c r="U11" s="2835"/>
      <c r="V11" s="2843"/>
    </row>
    <row r="12" spans="1:22" s="2847" customFormat="1" ht="13.15" customHeight="1">
      <c r="A12" s="2890" t="s">
        <v>2358</v>
      </c>
      <c r="B12" s="3784" t="s">
        <v>2359</v>
      </c>
      <c r="C12" s="3785"/>
      <c r="D12" s="2891">
        <f>ROUND(D13*1.2%*(1-30%),0)</f>
        <v>0</v>
      </c>
      <c r="E12" s="2892">
        <v>1.2E-2</v>
      </c>
      <c r="F12" s="2885" t="s">
        <v>2360</v>
      </c>
      <c r="G12" s="2886"/>
      <c r="H12" s="2842"/>
      <c r="I12" s="2843"/>
      <c r="J12" s="3774"/>
      <c r="K12" s="3776"/>
      <c r="L12" s="2877" t="s">
        <v>2361</v>
      </c>
      <c r="M12" s="2878"/>
      <c r="N12" s="2854"/>
      <c r="O12" s="2879"/>
      <c r="P12" s="2879"/>
      <c r="Q12" s="2880">
        <v>365</v>
      </c>
      <c r="R12" s="2881">
        <f t="shared" si="0"/>
        <v>0</v>
      </c>
      <c r="S12" s="2835"/>
      <c r="T12" s="2835"/>
      <c r="U12" s="2835"/>
      <c r="V12" s="2843"/>
    </row>
    <row r="13" spans="1:22" s="2847" customFormat="1" ht="13.15" customHeight="1">
      <c r="A13" s="2890"/>
      <c r="B13" s="2893"/>
      <c r="C13" s="2894" t="s">
        <v>2362</v>
      </c>
      <c r="D13" s="2895"/>
      <c r="E13" s="2896"/>
      <c r="F13" s="2885"/>
      <c r="G13" s="2886"/>
      <c r="H13" s="2842"/>
      <c r="I13" s="2843"/>
      <c r="J13" s="3774"/>
      <c r="K13" s="3776"/>
      <c r="L13" s="2877" t="s">
        <v>2363</v>
      </c>
      <c r="M13" s="2878"/>
      <c r="N13" s="2854"/>
      <c r="O13" s="2879"/>
      <c r="P13" s="2879"/>
      <c r="Q13" s="2880">
        <v>365</v>
      </c>
      <c r="R13" s="2881">
        <f t="shared" si="0"/>
        <v>0</v>
      </c>
      <c r="S13" s="2835"/>
      <c r="T13" s="2835"/>
      <c r="U13" s="2835"/>
      <c r="V13" s="2843"/>
    </row>
    <row r="14" spans="1:22" s="2847" customFormat="1" ht="13.15" customHeight="1">
      <c r="A14" s="2890" t="s">
        <v>2364</v>
      </c>
      <c r="B14" s="3784" t="s">
        <v>2365</v>
      </c>
      <c r="C14" s="3785"/>
      <c r="D14" s="2891">
        <f>ROUND(E14*B5/10000,0)</f>
        <v>0</v>
      </c>
      <c r="E14" s="2880"/>
      <c r="F14" s="2885" t="s">
        <v>2366</v>
      </c>
      <c r="G14" s="2886"/>
      <c r="H14" s="2842"/>
      <c r="I14" s="2843"/>
      <c r="J14" s="3774"/>
      <c r="K14" s="3777"/>
      <c r="L14" s="2897" t="s">
        <v>2367</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2368</v>
      </c>
      <c r="B15" s="3784" t="s">
        <v>2369</v>
      </c>
      <c r="C15" s="3785"/>
      <c r="D15" s="2891">
        <f>ROUND(D6*E15,0)</f>
        <v>0</v>
      </c>
      <c r="E15" s="2892">
        <v>5.5E-2</v>
      </c>
      <c r="F15" s="2885" t="s">
        <v>2370</v>
      </c>
      <c r="G15" s="2867"/>
      <c r="H15" s="2842"/>
      <c r="I15" s="2843"/>
      <c r="J15" s="3774">
        <v>2</v>
      </c>
      <c r="K15" s="3775" t="s">
        <v>2371</v>
      </c>
      <c r="L15" s="2877" t="s">
        <v>2372</v>
      </c>
      <c r="M15" s="2878" t="s">
        <v>2373</v>
      </c>
      <c r="N15" s="2878" t="s">
        <v>2374</v>
      </c>
      <c r="O15" s="2879" t="s">
        <v>2375</v>
      </c>
      <c r="P15" s="2879" t="s">
        <v>2337</v>
      </c>
      <c r="Q15" s="2854" t="s">
        <v>2376</v>
      </c>
      <c r="R15" s="2901" t="s">
        <v>2338</v>
      </c>
      <c r="S15" s="2835"/>
      <c r="T15" s="2835"/>
      <c r="U15" s="2835"/>
      <c r="V15" s="2843"/>
    </row>
    <row r="16" spans="1:22" s="2847" customFormat="1" ht="13.15" customHeight="1">
      <c r="A16" s="2890" t="s">
        <v>2377</v>
      </c>
      <c r="B16" s="3784" t="s">
        <v>2378</v>
      </c>
      <c r="C16" s="3785"/>
      <c r="D16" s="2902">
        <f>D6*E16</f>
        <v>0</v>
      </c>
      <c r="E16" s="2903"/>
      <c r="F16" s="2888" t="s">
        <v>2379</v>
      </c>
      <c r="G16" s="2867"/>
      <c r="H16" s="2842"/>
      <c r="I16" s="2843"/>
      <c r="J16" s="3774"/>
      <c r="K16" s="3776"/>
      <c r="L16" s="2877" t="s">
        <v>2380</v>
      </c>
      <c r="M16" s="2878"/>
      <c r="N16" s="2878"/>
      <c r="O16" s="2879"/>
      <c r="P16" s="2880">
        <v>365</v>
      </c>
      <c r="Q16" s="2854"/>
      <c r="R16" s="2901">
        <f>ROUND(M16*N16*O16*P16/10000,0)</f>
        <v>0</v>
      </c>
      <c r="S16" s="2835"/>
      <c r="T16" s="2835"/>
      <c r="U16" s="2835"/>
      <c r="V16" s="2843"/>
    </row>
    <row r="17" spans="1:22" s="2847" customFormat="1" ht="13.15" customHeight="1" thickBot="1">
      <c r="A17" s="2904">
        <v>4</v>
      </c>
      <c r="B17" s="3786" t="s">
        <v>2381</v>
      </c>
      <c r="C17" s="3787"/>
      <c r="D17" s="2905">
        <f>ROUND(D6*E17,0)</f>
        <v>0</v>
      </c>
      <c r="E17" s="2906"/>
      <c r="F17" s="2907" t="s">
        <v>2382</v>
      </c>
      <c r="G17" s="2867"/>
      <c r="H17" s="2842"/>
      <c r="I17" s="2843"/>
      <c r="J17" s="3774"/>
      <c r="K17" s="3776"/>
      <c r="L17" s="2877" t="s">
        <v>2383</v>
      </c>
      <c r="M17" s="2878"/>
      <c r="N17" s="2878"/>
      <c r="O17" s="2879"/>
      <c r="P17" s="2880">
        <v>365</v>
      </c>
      <c r="Q17" s="2854"/>
      <c r="R17" s="2901">
        <f>ROUND(M17*N17*O17*P17/10000,0)</f>
        <v>0</v>
      </c>
      <c r="S17" s="2835"/>
      <c r="T17" s="2835"/>
      <c r="U17" s="2835"/>
      <c r="V17" s="2843"/>
    </row>
    <row r="18" spans="1:22" s="2847" customFormat="1" ht="13.15" customHeight="1" thickBot="1">
      <c r="A18" s="2870" t="s">
        <v>2384</v>
      </c>
      <c r="B18" s="2871"/>
      <c r="C18" s="2871"/>
      <c r="D18" s="2908">
        <f>ROUND(D6*E18,0)</f>
        <v>0</v>
      </c>
      <c r="E18" s="2909"/>
      <c r="F18" s="2910" t="s">
        <v>2385</v>
      </c>
      <c r="G18" s="2867"/>
      <c r="H18" s="2842"/>
      <c r="I18" s="2843"/>
      <c r="J18" s="3774"/>
      <c r="K18" s="3776"/>
      <c r="L18" s="2877" t="s">
        <v>2386</v>
      </c>
      <c r="M18" s="2878"/>
      <c r="N18" s="2878"/>
      <c r="O18" s="2879"/>
      <c r="P18" s="2880">
        <v>365</v>
      </c>
      <c r="Q18" s="2854"/>
      <c r="R18" s="2901">
        <f>ROUND(M18*N18*O18*P18/10000,0)</f>
        <v>0</v>
      </c>
      <c r="S18" s="2835"/>
      <c r="T18" s="2835"/>
      <c r="U18" s="2835"/>
      <c r="V18" s="2843"/>
    </row>
    <row r="19" spans="1:22" s="2847" customFormat="1" ht="13.15" customHeight="1" thickBot="1">
      <c r="A19" s="2911" t="s">
        <v>2387</v>
      </c>
      <c r="B19" s="2865"/>
      <c r="C19" s="2865"/>
      <c r="D19" s="2865"/>
      <c r="E19" s="2865"/>
      <c r="F19" s="2866"/>
      <c r="G19" s="2886"/>
      <c r="H19" s="2842"/>
      <c r="I19" s="2843"/>
      <c r="J19" s="3774"/>
      <c r="K19" s="3777"/>
      <c r="L19" s="2897" t="s">
        <v>2367</v>
      </c>
      <c r="M19" s="2898"/>
      <c r="N19" s="2898">
        <f>SUM(N16:N18)</f>
        <v>0</v>
      </c>
      <c r="O19" s="2899"/>
      <c r="P19" s="2912" t="s">
        <v>2431</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74">
        <v>3</v>
      </c>
      <c r="K20" s="3775" t="s">
        <v>2388</v>
      </c>
      <c r="L20" s="2877" t="s">
        <v>2389</v>
      </c>
      <c r="M20" s="2878" t="s">
        <v>2390</v>
      </c>
      <c r="N20" s="2915" t="s">
        <v>2391</v>
      </c>
      <c r="O20" s="2879" t="s">
        <v>2392</v>
      </c>
      <c r="P20" s="2880" t="s">
        <v>2393</v>
      </c>
      <c r="Q20" s="2854" t="s">
        <v>2394</v>
      </c>
      <c r="R20" s="2901" t="s">
        <v>2395</v>
      </c>
      <c r="S20" s="2916"/>
      <c r="T20" s="2916"/>
      <c r="U20" s="2916"/>
      <c r="V20" s="2843"/>
    </row>
    <row r="21" spans="1:22" s="2847" customFormat="1" ht="13.15" customHeight="1">
      <c r="A21" s="2870"/>
      <c r="B21" s="2871"/>
      <c r="C21" s="2917" t="s">
        <v>2396</v>
      </c>
      <c r="D21" s="2918" t="s">
        <v>2397</v>
      </c>
      <c r="E21" s="2919" t="s">
        <v>2398</v>
      </c>
      <c r="F21" s="2914"/>
      <c r="G21" s="2886"/>
      <c r="H21" s="2842"/>
      <c r="I21" s="2843"/>
      <c r="J21" s="3774"/>
      <c r="K21" s="3776"/>
      <c r="L21" s="2877" t="s">
        <v>2399</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2400</v>
      </c>
      <c r="D22" s="2922" t="s">
        <v>2401</v>
      </c>
      <c r="E22" s="2923" t="s">
        <v>2402</v>
      </c>
      <c r="F22" s="2914"/>
      <c r="G22" s="2924"/>
      <c r="H22" s="2842"/>
      <c r="I22" s="2843"/>
      <c r="J22" s="3774"/>
      <c r="K22" s="3776"/>
      <c r="L22" s="2877" t="s">
        <v>2403</v>
      </c>
      <c r="M22" s="2878"/>
      <c r="N22" s="2878"/>
      <c r="O22" s="2879"/>
      <c r="P22" s="2880">
        <v>365</v>
      </c>
      <c r="Q22" s="2854"/>
      <c r="R22" s="2920">
        <f>ROUND(M22*N22*O22*P22/10000,0)</f>
        <v>0</v>
      </c>
      <c r="S22" s="2916"/>
      <c r="T22" s="2916"/>
      <c r="U22" s="2916"/>
      <c r="V22" s="2843"/>
    </row>
    <row r="23" spans="1:22" s="2847" customFormat="1" ht="13.15" customHeight="1">
      <c r="A23" s="2925">
        <v>1</v>
      </c>
      <c r="B23" s="2926" t="s">
        <v>2404</v>
      </c>
      <c r="C23" s="2927">
        <f>D6</f>
        <v>0</v>
      </c>
      <c r="D23" s="2928">
        <f>C23*(1+D24)</f>
        <v>0</v>
      </c>
      <c r="E23" s="2929">
        <f>D23*(1+E24)</f>
        <v>0</v>
      </c>
      <c r="F23" s="2930"/>
      <c r="G23" s="2931"/>
      <c r="H23" s="2842"/>
      <c r="I23" s="2843"/>
      <c r="J23" s="3774"/>
      <c r="K23" s="3776"/>
      <c r="L23" s="2877" t="s">
        <v>2405</v>
      </c>
      <c r="M23" s="2878"/>
      <c r="N23" s="2878"/>
      <c r="O23" s="2879"/>
      <c r="P23" s="2880">
        <v>365</v>
      </c>
      <c r="Q23" s="2854"/>
      <c r="R23" s="2920">
        <f>ROUND(M23*N23*O23*P23/10000,0)</f>
        <v>0</v>
      </c>
      <c r="S23" s="2835"/>
      <c r="T23" s="2835"/>
      <c r="U23" s="2835"/>
      <c r="V23" s="2843"/>
    </row>
    <row r="24" spans="1:22" s="2847" customFormat="1" ht="13.15" customHeight="1">
      <c r="A24" s="2932"/>
      <c r="B24" s="2933" t="s">
        <v>2406</v>
      </c>
      <c r="C24" s="2934"/>
      <c r="D24" s="2935"/>
      <c r="E24" s="2936"/>
      <c r="F24" s="2937"/>
      <c r="G24" s="2931"/>
      <c r="H24" s="2842"/>
      <c r="I24" s="2843"/>
      <c r="J24" s="3774"/>
      <c r="K24" s="3777"/>
      <c r="L24" s="2897" t="s">
        <v>2367</v>
      </c>
      <c r="M24" s="2898">
        <f>SUM(M21:M23)</f>
        <v>0</v>
      </c>
      <c r="N24" s="2898"/>
      <c r="O24" s="2899"/>
      <c r="P24" s="2912" t="s">
        <v>2431</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2407</v>
      </c>
      <c r="L25" s="2940"/>
      <c r="M25" s="2940"/>
      <c r="N25" s="2940"/>
      <c r="O25" s="2940"/>
      <c r="P25" s="2941"/>
      <c r="Q25" s="2942">
        <v>0</v>
      </c>
      <c r="R25" s="2913">
        <f>ROUND(R14*Q25,0)</f>
        <v>0</v>
      </c>
      <c r="S25" s="2835"/>
      <c r="T25" s="2835"/>
      <c r="U25" s="2835"/>
      <c r="V25" s="2943"/>
    </row>
    <row r="26" spans="1:22" s="2944" customFormat="1" ht="13.15" customHeight="1">
      <c r="A26" s="2925">
        <v>2</v>
      </c>
      <c r="B26" s="2926" t="s">
        <v>2408</v>
      </c>
      <c r="C26" s="2927">
        <f>D7</f>
        <v>0</v>
      </c>
      <c r="D26" s="2928">
        <f>D23*D27</f>
        <v>0</v>
      </c>
      <c r="E26" s="2929">
        <f>E23*E27</f>
        <v>0</v>
      </c>
      <c r="F26" s="2930"/>
      <c r="G26" s="2931"/>
      <c r="H26" s="2842"/>
      <c r="I26" s="2843"/>
      <c r="J26" s="3778">
        <v>5</v>
      </c>
      <c r="K26" s="2945" t="s">
        <v>2409</v>
      </c>
      <c r="L26" s="2946"/>
      <c r="M26" s="2947"/>
      <c r="N26" s="2948" t="s">
        <v>2410</v>
      </c>
      <c r="O26" s="2948" t="s">
        <v>2411</v>
      </c>
      <c r="P26" s="2949" t="s">
        <v>2412</v>
      </c>
      <c r="Q26" s="2949" t="s">
        <v>2413</v>
      </c>
      <c r="R26" s="2852" t="s">
        <v>2338</v>
      </c>
      <c r="S26" s="2950"/>
      <c r="T26" s="2950"/>
      <c r="U26" s="2950"/>
      <c r="V26" s="2943"/>
    </row>
    <row r="27" spans="1:22" s="2847" customFormat="1" ht="13.15" customHeight="1">
      <c r="A27" s="2932"/>
      <c r="B27" s="2933" t="s">
        <v>2414</v>
      </c>
      <c r="C27" s="2951" t="e">
        <f>E7</f>
        <v>#DIV/0!</v>
      </c>
      <c r="D27" s="2935"/>
      <c r="E27" s="2936"/>
      <c r="F27" s="2937"/>
      <c r="G27" s="2931"/>
      <c r="H27" s="2952"/>
      <c r="I27" s="2943"/>
      <c r="J27" s="37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2415</v>
      </c>
      <c r="F28" s="2937"/>
      <c r="G28" s="2924"/>
      <c r="H28" s="2952"/>
      <c r="I28" s="2943"/>
      <c r="J28" s="2958">
        <v>6</v>
      </c>
      <c r="K28" s="2959" t="s">
        <v>2416</v>
      </c>
      <c r="L28" s="2960" t="s">
        <v>2417</v>
      </c>
      <c r="M28" s="2961"/>
      <c r="N28" s="2960" t="s">
        <v>2418</v>
      </c>
      <c r="O28" s="2962"/>
      <c r="P28" s="2960" t="s">
        <v>2419</v>
      </c>
      <c r="Q28" s="2963">
        <v>1.4999999999999999E-2</v>
      </c>
      <c r="R28" s="2964"/>
      <c r="S28" s="2916"/>
      <c r="T28" s="2916"/>
      <c r="U28" s="2916"/>
      <c r="V28" s="2943"/>
    </row>
    <row r="29" spans="1:22" s="2944" customFormat="1" ht="13.15" customHeight="1">
      <c r="A29" s="2925">
        <v>3</v>
      </c>
      <c r="B29" s="2926" t="s">
        <v>2420</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2414</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2421</v>
      </c>
      <c r="K31" s="2833"/>
      <c r="L31" s="2833"/>
      <c r="M31" s="2833"/>
      <c r="N31" s="2833"/>
      <c r="O31" s="2833"/>
      <c r="P31" s="2833"/>
      <c r="Q31" s="2833"/>
      <c r="R31" s="2834"/>
      <c r="S31" s="2916"/>
      <c r="T31" s="2835"/>
      <c r="U31" s="2835"/>
      <c r="V31" s="2943"/>
    </row>
    <row r="32" spans="1:22" s="2944" customFormat="1" ht="13.15" customHeight="1">
      <c r="A32" s="2925">
        <v>4</v>
      </c>
      <c r="B32" s="2926" t="s">
        <v>2422</v>
      </c>
      <c r="C32" s="2927">
        <f>C23-C26-C29</f>
        <v>0</v>
      </c>
      <c r="D32" s="2928">
        <f>D23-D26-D29</f>
        <v>0</v>
      </c>
      <c r="E32" s="2929">
        <f>E23-E26-E29</f>
        <v>0</v>
      </c>
      <c r="F32" s="2930"/>
      <c r="G32" s="2924"/>
      <c r="H32" s="2842"/>
      <c r="I32" s="2843"/>
      <c r="J32" s="3780" t="s">
        <v>2314</v>
      </c>
      <c r="K32" s="3781"/>
      <c r="L32" s="2844" t="s">
        <v>2315</v>
      </c>
      <c r="M32" s="2844" t="s">
        <v>2316</v>
      </c>
      <c r="N32" s="2844" t="s">
        <v>2317</v>
      </c>
      <c r="O32" s="2844" t="s">
        <v>2318</v>
      </c>
      <c r="P32" s="2844" t="s">
        <v>2319</v>
      </c>
      <c r="Q32" s="2845" t="s">
        <v>2320</v>
      </c>
      <c r="R32" s="2967" t="s">
        <v>2321</v>
      </c>
      <c r="S32" s="2916"/>
      <c r="T32" s="2835"/>
      <c r="U32" s="2835"/>
      <c r="V32" s="2943"/>
    </row>
    <row r="33" spans="1:23" s="2847" customFormat="1" ht="13.15" customHeight="1">
      <c r="A33" s="2925"/>
      <c r="B33" s="2926"/>
      <c r="C33" s="2927"/>
      <c r="D33" s="2968"/>
      <c r="E33" s="2969"/>
      <c r="F33" s="2930"/>
      <c r="G33" s="2924"/>
      <c r="H33" s="2952"/>
      <c r="I33" s="2943"/>
      <c r="J33" s="3782" t="s">
        <v>2324</v>
      </c>
      <c r="K33" s="3783"/>
      <c r="L33" s="2850"/>
      <c r="M33" s="2850"/>
      <c r="N33" s="2850"/>
      <c r="O33" s="2850"/>
      <c r="P33" s="2850"/>
      <c r="Q33" s="2851"/>
      <c r="R33" s="2970">
        <f>SUM(L33:Q33)</f>
        <v>0</v>
      </c>
      <c r="S33" s="2916"/>
      <c r="T33" s="2835"/>
      <c r="U33" s="2835"/>
      <c r="V33" s="2843"/>
    </row>
    <row r="34" spans="1:23" s="2847" customFormat="1" ht="13.15" customHeight="1">
      <c r="A34" s="2925">
        <v>5</v>
      </c>
      <c r="B34" s="2926" t="s">
        <v>2423</v>
      </c>
      <c r="C34" s="2971"/>
      <c r="D34" s="2972"/>
      <c r="E34" s="2973"/>
      <c r="F34" s="2930"/>
      <c r="G34" s="2924"/>
      <c r="H34" s="2952"/>
      <c r="I34" s="2943"/>
      <c r="J34" s="3782" t="s">
        <v>2326</v>
      </c>
      <c r="K34" s="378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2424</v>
      </c>
      <c r="C35" s="2975"/>
      <c r="D35" s="2976"/>
      <c r="E35" s="2977"/>
      <c r="F35" s="2930"/>
      <c r="G35" s="2978"/>
      <c r="H35" s="2842"/>
      <c r="I35" s="2943"/>
      <c r="J35" s="2861" t="s">
        <v>2328</v>
      </c>
      <c r="K35" s="2862"/>
      <c r="L35" s="2862"/>
      <c r="M35" s="2863"/>
      <c r="N35" s="2863"/>
      <c r="O35" s="2863"/>
      <c r="P35" s="2863"/>
      <c r="Q35" s="2863"/>
      <c r="R35" s="2979">
        <f>R40+R41+R43</f>
        <v>0</v>
      </c>
      <c r="S35" s="2916"/>
      <c r="T35" s="2835" t="s">
        <v>2329</v>
      </c>
      <c r="U35" s="2835"/>
      <c r="V35" s="2843"/>
    </row>
    <row r="36" spans="1:23" s="2847" customFormat="1" ht="13.15" customHeight="1" thickBot="1">
      <c r="A36" s="2925">
        <v>7</v>
      </c>
      <c r="B36" s="2980" t="s">
        <v>2425</v>
      </c>
      <c r="C36" s="2981"/>
      <c r="D36" s="2982"/>
      <c r="E36" s="2983"/>
      <c r="F36" s="2984">
        <f>C36+D36+E36</f>
        <v>0</v>
      </c>
      <c r="G36" s="2924"/>
      <c r="H36" s="2842"/>
      <c r="I36" s="2843"/>
      <c r="J36" s="3774">
        <v>1</v>
      </c>
      <c r="K36" s="3775" t="s">
        <v>2426</v>
      </c>
      <c r="L36" s="2868"/>
      <c r="M36" s="2869"/>
      <c r="N36" s="2869"/>
      <c r="O36" s="2869"/>
      <c r="P36" s="2869"/>
      <c r="Q36" s="2869"/>
      <c r="R36" s="2852" t="s">
        <v>2338</v>
      </c>
      <c r="S36" s="2916"/>
      <c r="T36" s="2835" t="s">
        <v>2339</v>
      </c>
      <c r="U36" s="2835"/>
      <c r="V36" s="2843"/>
    </row>
    <row r="37" spans="1:23" s="2847" customFormat="1" ht="13.15" customHeight="1">
      <c r="A37" s="2925"/>
      <c r="B37" s="2926"/>
      <c r="C37" s="2926"/>
      <c r="D37" s="2926"/>
      <c r="E37" s="2926"/>
      <c r="F37" s="2930"/>
      <c r="G37" s="2924"/>
      <c r="H37" s="2842"/>
      <c r="I37" s="2843"/>
      <c r="J37" s="3774"/>
      <c r="K37" s="3776"/>
      <c r="L37" s="2877"/>
      <c r="M37" s="2878"/>
      <c r="N37" s="2854"/>
      <c r="O37" s="2879"/>
      <c r="P37" s="2879"/>
      <c r="Q37" s="2880"/>
      <c r="R37" s="2881"/>
      <c r="S37" s="2916"/>
      <c r="T37" s="2835" t="s">
        <v>2342</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74"/>
      <c r="K38" s="3776"/>
      <c r="L38" s="2877"/>
      <c r="M38" s="2878"/>
      <c r="N38" s="2854"/>
      <c r="O38" s="2879"/>
      <c r="P38" s="2879"/>
      <c r="Q38" s="2880"/>
      <c r="R38" s="2881"/>
      <c r="S38" s="2916"/>
      <c r="T38" s="2835" t="s">
        <v>2349</v>
      </c>
      <c r="U38" s="2835"/>
      <c r="V38" s="2843"/>
    </row>
    <row r="39" spans="1:23" s="2847" customFormat="1" ht="13.15" customHeight="1">
      <c r="A39" s="2925">
        <v>9</v>
      </c>
      <c r="B39" s="2926" t="s">
        <v>2427</v>
      </c>
      <c r="C39" s="2891" t="e">
        <f>C38</f>
        <v>#DIV/0!</v>
      </c>
      <c r="D39" s="2926">
        <f>D38/(1+D34)^C36</f>
        <v>0</v>
      </c>
      <c r="E39" s="2926">
        <f>E38/(1+E34)^(C36+D36)</f>
        <v>0</v>
      </c>
      <c r="F39" s="2930"/>
      <c r="G39" s="2985"/>
      <c r="H39" s="2842"/>
      <c r="I39" s="2843"/>
      <c r="J39" s="3774"/>
      <c r="K39" s="3776"/>
      <c r="L39" s="2877"/>
      <c r="M39" s="2878"/>
      <c r="N39" s="2854"/>
      <c r="O39" s="2879"/>
      <c r="P39" s="2879"/>
      <c r="Q39" s="2880"/>
      <c r="R39" s="2881"/>
      <c r="S39" s="2916"/>
      <c r="T39" s="2835"/>
      <c r="U39" s="2835"/>
      <c r="V39" s="2843"/>
    </row>
    <row r="40" spans="1:23" s="2847" customFormat="1" ht="13.15" customHeight="1">
      <c r="A40" s="2986">
        <v>10</v>
      </c>
      <c r="B40" s="2926" t="s">
        <v>2428</v>
      </c>
      <c r="C40" s="2987" t="e">
        <f>C39+D39+E39</f>
        <v>#DIV/0!</v>
      </c>
      <c r="D40" s="2988"/>
      <c r="E40" s="2988"/>
      <c r="F40" s="2989"/>
      <c r="G40" s="2924"/>
      <c r="H40" s="2842"/>
      <c r="I40" s="2843"/>
      <c r="J40" s="3774"/>
      <c r="K40" s="3777"/>
      <c r="L40" s="2897" t="s">
        <v>2367</v>
      </c>
      <c r="M40" s="2898"/>
      <c r="N40" s="2898"/>
      <c r="O40" s="2899"/>
      <c r="P40" s="2899"/>
      <c r="Q40" s="2900"/>
      <c r="R40" s="2846">
        <f>SUM(R37:R39)</f>
        <v>0</v>
      </c>
      <c r="S40" s="2916"/>
      <c r="T40" s="2835"/>
      <c r="U40" s="2835"/>
      <c r="V40" s="2843"/>
    </row>
    <row r="41" spans="1:23" s="2847" customFormat="1" ht="13.15" customHeight="1" thickBot="1">
      <c r="A41" s="2990">
        <v>11</v>
      </c>
      <c r="B41" s="2991" t="s">
        <v>2429</v>
      </c>
      <c r="C41" s="2991" t="e">
        <f>ROUND(C40*10000/B4,0)</f>
        <v>#DIV/0!</v>
      </c>
      <c r="D41" s="2992"/>
      <c r="E41" s="2992"/>
      <c r="F41" s="2993"/>
      <c r="G41" s="2994"/>
      <c r="H41" s="2842"/>
      <c r="I41" s="2843"/>
      <c r="J41" s="2938">
        <v>2</v>
      </c>
      <c r="K41" s="2939" t="s">
        <v>2407</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8">
        <v>3</v>
      </c>
      <c r="K42" s="2945" t="s">
        <v>2409</v>
      </c>
      <c r="L42" s="2946"/>
      <c r="M42" s="2947"/>
      <c r="N42" s="2948" t="s">
        <v>2410</v>
      </c>
      <c r="O42" s="2948" t="s">
        <v>2411</v>
      </c>
      <c r="P42" s="2949" t="s">
        <v>2412</v>
      </c>
      <c r="Q42" s="2949" t="s">
        <v>2413</v>
      </c>
      <c r="R42" s="2852" t="s">
        <v>2338</v>
      </c>
      <c r="S42" s="2950"/>
      <c r="T42" s="2950"/>
      <c r="U42" s="2835"/>
      <c r="V42" s="2843"/>
    </row>
    <row r="43" spans="1:23" ht="13.15" customHeight="1">
      <c r="A43" s="2847"/>
      <c r="B43" s="2847"/>
      <c r="C43" s="2847"/>
      <c r="D43" s="2847"/>
      <c r="E43" s="2847"/>
      <c r="F43" s="2847"/>
      <c r="I43" s="2830"/>
      <c r="J43" s="37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2416</v>
      </c>
      <c r="L44" s="2998" t="s">
        <v>2417</v>
      </c>
      <c r="M44" s="2961"/>
      <c r="N44" s="2998" t="s">
        <v>2418</v>
      </c>
      <c r="O44" s="2961"/>
      <c r="P44" s="2998" t="s">
        <v>2419</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1"/>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1">
        <f>SUM(E6:E13)</f>
        <v>0</v>
      </c>
      <c r="F2" s="2701"/>
      <c r="G2" s="1486"/>
      <c r="H2" s="1486"/>
      <c r="I2" s="1486"/>
      <c r="J2" s="1486"/>
      <c r="K2" s="1486"/>
      <c r="L2" s="1486"/>
      <c r="M2" s="1486"/>
      <c r="N2" s="1486"/>
      <c r="O2" s="1486"/>
      <c r="P2" s="1486"/>
      <c r="Q2" s="1486"/>
      <c r="R2" s="1486"/>
      <c r="S2" s="1486"/>
    </row>
    <row r="3" spans="1:22" ht="15.75">
      <c r="A3" s="1866" t="s">
        <v>686</v>
      </c>
      <c r="B3" s="2595" t="e">
        <f ca="1">ROUND(B2*10000/E2,0)</f>
        <v>#DIV/0!</v>
      </c>
      <c r="C3" s="1868" t="s">
        <v>1659</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1653</v>
      </c>
      <c r="B5" s="3793" t="s">
        <v>1654</v>
      </c>
      <c r="C5" s="3794"/>
      <c r="D5" s="2702"/>
      <c r="E5" s="1870" t="s">
        <v>1655</v>
      </c>
      <c r="F5" s="1871" t="s">
        <v>1656</v>
      </c>
      <c r="G5" s="1486"/>
      <c r="H5" s="1486"/>
      <c r="I5" s="1486"/>
      <c r="J5" s="1486"/>
      <c r="K5" s="1486"/>
      <c r="L5" s="1486"/>
      <c r="M5" s="1486"/>
      <c r="N5" s="1486"/>
      <c r="O5" s="1486"/>
      <c r="P5" s="1486"/>
      <c r="Q5" s="1486"/>
      <c r="R5" s="1486"/>
      <c r="S5" s="1486"/>
    </row>
    <row r="6" spans="1:22">
      <c r="A6" s="2598">
        <f>'数据-取费表'!AN6</f>
        <v>0</v>
      </c>
      <c r="B6" s="2596" t="e">
        <f ca="1">IF(F6="是",'数据-取费表'!AO6,0)</f>
        <v>#REF!</v>
      </c>
      <c r="C6" s="1868" t="s">
        <v>1651</v>
      </c>
      <c r="D6" s="2703"/>
      <c r="E6" s="2600">
        <f>IF(OR(A6=0,F6="否"),0,'数据-取费表'!K6+'数据-取费表'!S6)</f>
        <v>0</v>
      </c>
      <c r="F6" s="1872" t="s">
        <v>1657</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8" t="s">
        <v>1651</v>
      </c>
      <c r="D7" s="2703"/>
      <c r="E7" s="2600">
        <f>IF(OR(A7=0,F7="否"),0,'数据-取费表'!K7+'数据-取费表'!S7)</f>
        <v>0</v>
      </c>
      <c r="F7" s="1872" t="s">
        <v>1657</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8" t="s">
        <v>1651</v>
      </c>
      <c r="D8" s="2703"/>
      <c r="E8" s="2600">
        <f>IF(OR(A8=0,F8="否"),0,'数据-取费表'!K8+'数据-取费表'!S8)</f>
        <v>0</v>
      </c>
      <c r="F8" s="1872" t="s">
        <v>1657</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8" t="s">
        <v>1651</v>
      </c>
      <c r="D9" s="2703"/>
      <c r="E9" s="2600">
        <f>IF(OR(A9=0,F9="否"),0,'数据-取费表'!K9+'数据-取费表'!S9)</f>
        <v>0</v>
      </c>
      <c r="F9" s="1872" t="s">
        <v>1657</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8" t="s">
        <v>1651</v>
      </c>
      <c r="D10" s="2703"/>
      <c r="E10" s="2600">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8" t="s">
        <v>1651</v>
      </c>
      <c r="D11" s="2703"/>
      <c r="E11" s="2600">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8" t="s">
        <v>1651</v>
      </c>
      <c r="D12" s="2703"/>
      <c r="E12" s="2600">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20"/>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7"/>
      <c r="M2" s="2708"/>
      <c r="N2" s="2708"/>
      <c r="O2" s="2708"/>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135.71</v>
      </c>
      <c r="E3" s="905"/>
      <c r="F3" s="1884"/>
      <c r="G3" s="905"/>
      <c r="H3" s="905"/>
      <c r="I3" s="905"/>
      <c r="J3" s="905"/>
      <c r="K3" s="1880"/>
      <c r="L3" s="2707"/>
      <c r="M3" s="2708"/>
      <c r="N3" s="2708"/>
      <c r="O3" s="2708"/>
      <c r="P3" s="1881"/>
      <c r="Q3" s="1882"/>
      <c r="R3" s="1882"/>
      <c r="S3" s="1882"/>
      <c r="T3" s="1882"/>
      <c r="U3" s="1882"/>
      <c r="V3" s="1882"/>
      <c r="W3" s="1882"/>
      <c r="X3" s="1882"/>
      <c r="Y3" s="1882"/>
      <c r="Z3" s="1882"/>
      <c r="AA3" s="1882"/>
      <c r="AB3" s="1882"/>
      <c r="AC3" s="1058"/>
    </row>
    <row r="4" spans="1:29" ht="15">
      <c r="A4" s="354" t="s">
        <v>1666</v>
      </c>
      <c r="B4" s="355"/>
      <c r="C4" s="3813" t="s">
        <v>1667</v>
      </c>
      <c r="D4" s="3814"/>
      <c r="E4" s="3815" t="s">
        <v>1668</v>
      </c>
      <c r="F4" s="3816"/>
      <c r="G4" s="3813" t="s">
        <v>1669</v>
      </c>
      <c r="H4" s="3814"/>
      <c r="I4" s="3813" t="s">
        <v>1670</v>
      </c>
      <c r="J4" s="3814"/>
      <c r="K4" s="1885" t="s">
        <v>1671</v>
      </c>
      <c r="L4" s="2709"/>
      <c r="M4" s="2710"/>
      <c r="N4" s="2710"/>
      <c r="O4" s="2710"/>
      <c r="P4" s="3817" t="s">
        <v>1672</v>
      </c>
      <c r="Q4" s="3818"/>
      <c r="R4" s="3823" t="s">
        <v>1668</v>
      </c>
      <c r="S4" s="3824"/>
      <c r="T4" s="3823" t="s">
        <v>1669</v>
      </c>
      <c r="U4" s="3824"/>
      <c r="V4" s="3829" t="s">
        <v>1670</v>
      </c>
      <c r="W4" s="3829"/>
      <c r="X4" s="1352"/>
      <c r="Y4" s="3823" t="s">
        <v>1672</v>
      </c>
      <c r="Z4" s="3824"/>
      <c r="AA4" s="3810" t="s">
        <v>1668</v>
      </c>
      <c r="AB4" s="3810" t="s">
        <v>1669</v>
      </c>
      <c r="AC4" s="3810" t="s">
        <v>1670</v>
      </c>
    </row>
    <row r="5" spans="1:29" ht="15">
      <c r="A5" s="357"/>
      <c r="B5" s="358"/>
      <c r="C5" s="3832" t="s">
        <v>1673</v>
      </c>
      <c r="D5" s="3833"/>
      <c r="E5" s="3839" t="s">
        <v>1674</v>
      </c>
      <c r="F5" s="3840"/>
      <c r="G5" s="3832" t="s">
        <v>1675</v>
      </c>
      <c r="H5" s="3833"/>
      <c r="I5" s="3832" t="s">
        <v>1676</v>
      </c>
      <c r="J5" s="3833"/>
      <c r="K5" s="1886"/>
      <c r="L5" s="2709"/>
      <c r="M5" s="2710"/>
      <c r="N5" s="2710"/>
      <c r="O5" s="2710"/>
      <c r="P5" s="3819"/>
      <c r="Q5" s="3820"/>
      <c r="R5" s="3825"/>
      <c r="S5" s="3826"/>
      <c r="T5" s="3825"/>
      <c r="U5" s="3826"/>
      <c r="V5" s="3829"/>
      <c r="W5" s="3829"/>
      <c r="X5" s="1352"/>
      <c r="Y5" s="3825"/>
      <c r="Z5" s="3826"/>
      <c r="AA5" s="3811"/>
      <c r="AB5" s="3811"/>
      <c r="AC5" s="3811"/>
    </row>
    <row r="6" spans="1:29" ht="15.75" thickBot="1">
      <c r="A6" s="359"/>
      <c r="B6" s="360"/>
      <c r="C6" s="3830" t="s">
        <v>1677</v>
      </c>
      <c r="D6" s="3831"/>
      <c r="E6" s="3837" t="s">
        <v>1677</v>
      </c>
      <c r="F6" s="3838"/>
      <c r="G6" s="3830" t="s">
        <v>1677</v>
      </c>
      <c r="H6" s="3831"/>
      <c r="I6" s="3830" t="s">
        <v>1677</v>
      </c>
      <c r="J6" s="3831"/>
      <c r="K6" s="1886" t="s">
        <v>1678</v>
      </c>
      <c r="L6" s="2709"/>
      <c r="M6" s="2710"/>
      <c r="N6" s="2710"/>
      <c r="O6" s="2710"/>
      <c r="P6" s="3821"/>
      <c r="Q6" s="3822"/>
      <c r="R6" s="3825"/>
      <c r="S6" s="3826"/>
      <c r="T6" s="3827"/>
      <c r="U6" s="3828"/>
      <c r="V6" s="3829"/>
      <c r="W6" s="3829"/>
      <c r="X6" s="1352"/>
      <c r="Y6" s="3827"/>
      <c r="Z6" s="3828"/>
      <c r="AA6" s="3812"/>
      <c r="AB6" s="3812"/>
      <c r="AC6" s="3812"/>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1"/>
      <c r="M7" s="2712"/>
      <c r="N7" s="2712"/>
      <c r="O7" s="2712"/>
      <c r="P7" s="3834" t="s">
        <v>1680</v>
      </c>
      <c r="Q7" s="3836"/>
      <c r="R7" s="699" t="s">
        <v>20</v>
      </c>
      <c r="S7" s="700">
        <f t="shared" ref="S7:S15" si="0">F7</f>
        <v>0</v>
      </c>
      <c r="T7" s="699" t="s">
        <v>20</v>
      </c>
      <c r="U7" s="700">
        <f t="shared" ref="U7:U15" si="1">H7</f>
        <v>0</v>
      </c>
      <c r="V7" s="699" t="s">
        <v>20</v>
      </c>
      <c r="W7" s="700">
        <f t="shared" ref="W7:W15" si="2">J7</f>
        <v>0</v>
      </c>
      <c r="X7" s="701"/>
      <c r="Y7" s="3834" t="s">
        <v>1680</v>
      </c>
      <c r="Z7" s="3835"/>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1"/>
      <c r="M8" s="2712"/>
      <c r="N8" s="2712"/>
      <c r="O8" s="2712"/>
      <c r="P8" s="3834" t="s">
        <v>1683</v>
      </c>
      <c r="Q8" s="3835"/>
      <c r="R8" s="699" t="s">
        <v>20</v>
      </c>
      <c r="S8" s="700">
        <f t="shared" si="0"/>
        <v>100</v>
      </c>
      <c r="T8" s="699" t="s">
        <v>20</v>
      </c>
      <c r="U8" s="700">
        <f t="shared" si="1"/>
        <v>100</v>
      </c>
      <c r="V8" s="699" t="s">
        <v>20</v>
      </c>
      <c r="W8" s="700">
        <f t="shared" si="2"/>
        <v>100</v>
      </c>
      <c r="X8" s="701"/>
      <c r="Y8" s="3834" t="s">
        <v>1683</v>
      </c>
      <c r="Z8" s="3835"/>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1"/>
      <c r="M9" s="2712"/>
      <c r="N9" s="2712"/>
      <c r="O9" s="2712"/>
      <c r="P9" s="3809" t="s">
        <v>1686</v>
      </c>
      <c r="Q9" s="1340"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1887"/>
      <c r="L10" s="2713"/>
      <c r="M10" s="2714"/>
      <c r="N10" s="2714"/>
      <c r="O10" s="2714"/>
      <c r="P10" s="3809"/>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809"/>
      <c r="Q11" s="1340" t="str">
        <f t="shared" si="6"/>
        <v>容积率</v>
      </c>
      <c r="R11" s="699" t="s">
        <v>18</v>
      </c>
      <c r="S11" s="700" t="e">
        <f t="shared" si="0"/>
        <v>#N/A</v>
      </c>
      <c r="T11" s="699" t="s">
        <v>18</v>
      </c>
      <c r="U11" s="700" t="e">
        <f t="shared" si="1"/>
        <v>#N/A</v>
      </c>
      <c r="V11" s="699" t="s">
        <v>18</v>
      </c>
      <c r="W11" s="700" t="e">
        <f t="shared" si="2"/>
        <v>#N/A</v>
      </c>
      <c r="X11" s="701"/>
      <c r="Y11" s="3673"/>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1"/>
      <c r="M12" s="2712"/>
      <c r="N12" s="2712"/>
      <c r="O12" s="2712"/>
      <c r="P12" s="3809"/>
      <c r="Q12" s="1340">
        <f t="shared" si="6"/>
        <v>111</v>
      </c>
      <c r="R12" s="699" t="s">
        <v>18</v>
      </c>
      <c r="S12" s="700">
        <f t="shared" si="0"/>
        <v>100</v>
      </c>
      <c r="T12" s="699" t="s">
        <v>18</v>
      </c>
      <c r="U12" s="700">
        <f t="shared" si="1"/>
        <v>100</v>
      </c>
      <c r="V12" s="699" t="s">
        <v>18</v>
      </c>
      <c r="W12" s="700">
        <f t="shared" si="2"/>
        <v>100</v>
      </c>
      <c r="X12" s="701"/>
      <c r="Y12" s="3673"/>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6"/>
      <c r="M13" s="2710"/>
      <c r="N13" s="2710"/>
      <c r="O13" s="2710"/>
      <c r="P13" s="3809"/>
      <c r="Q13" s="1340">
        <f t="shared" si="6"/>
        <v>111</v>
      </c>
      <c r="R13" s="699" t="s">
        <v>18</v>
      </c>
      <c r="S13" s="700">
        <f t="shared" si="0"/>
        <v>100</v>
      </c>
      <c r="T13" s="699" t="s">
        <v>18</v>
      </c>
      <c r="U13" s="700">
        <f t="shared" si="1"/>
        <v>100</v>
      </c>
      <c r="V13" s="699" t="s">
        <v>18</v>
      </c>
      <c r="W13" s="700">
        <f t="shared" si="2"/>
        <v>100</v>
      </c>
      <c r="X13" s="701"/>
      <c r="Y13" s="3673"/>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6"/>
      <c r="M14" s="2710"/>
      <c r="N14" s="2710"/>
      <c r="O14" s="2710"/>
      <c r="P14" s="3809"/>
      <c r="Q14" s="1340">
        <f t="shared" si="6"/>
        <v>111</v>
      </c>
      <c r="R14" s="699" t="s">
        <v>18</v>
      </c>
      <c r="S14" s="700">
        <f t="shared" si="0"/>
        <v>100</v>
      </c>
      <c r="T14" s="699" t="s">
        <v>18</v>
      </c>
      <c r="U14" s="700">
        <f t="shared" si="1"/>
        <v>100</v>
      </c>
      <c r="V14" s="699" t="s">
        <v>18</v>
      </c>
      <c r="W14" s="700">
        <f t="shared" si="2"/>
        <v>100</v>
      </c>
      <c r="X14" s="701"/>
      <c r="Y14" s="3673"/>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807" t="s">
        <v>1691</v>
      </c>
      <c r="Q15" s="1349" t="str">
        <f t="shared" si="6"/>
        <v>居住社区成熟度</v>
      </c>
      <c r="R15" s="703" t="s">
        <v>18</v>
      </c>
      <c r="S15" s="704">
        <f t="shared" si="0"/>
        <v>100</v>
      </c>
      <c r="T15" s="703" t="s">
        <v>18</v>
      </c>
      <c r="U15" s="704">
        <f t="shared" si="1"/>
        <v>100</v>
      </c>
      <c r="V15" s="703" t="s">
        <v>18</v>
      </c>
      <c r="W15" s="704">
        <f t="shared" si="2"/>
        <v>100</v>
      </c>
      <c r="X15" s="1352"/>
      <c r="Y15" s="3800"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6"/>
      <c r="M16" s="2710"/>
      <c r="N16" s="2710"/>
      <c r="O16" s="2710"/>
      <c r="P16" s="3808"/>
      <c r="Q16" s="1349"/>
      <c r="R16" s="703"/>
      <c r="S16" s="704"/>
      <c r="T16" s="703"/>
      <c r="U16" s="704"/>
      <c r="V16" s="703"/>
      <c r="W16" s="704"/>
      <c r="X16" s="1352"/>
      <c r="Y16" s="3801"/>
      <c r="Z16" s="1353"/>
      <c r="AA16" s="1350">
        <v>1</v>
      </c>
      <c r="AB16" s="1350">
        <v>1</v>
      </c>
      <c r="AC16" s="1350">
        <v>1</v>
      </c>
    </row>
    <row r="17" spans="1:29" ht="99.75">
      <c r="A17" s="378"/>
      <c r="B17" s="401" t="s">
        <v>1259</v>
      </c>
      <c r="C17" s="1896" t="str">
        <f>估价对象房地状况!C6</f>
        <v>估价对象周边有M1、M25、M27、336、370、383、快速公交4线等多条公交线路，周边道路网线较密集，通达度较好。综合评价交通便捷度较好。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808"/>
      <c r="Q17" s="1349" t="str">
        <f>B17</f>
        <v>交通便捷度</v>
      </c>
      <c r="R17" s="703" t="s">
        <v>18</v>
      </c>
      <c r="S17" s="704">
        <f>F17</f>
        <v>100</v>
      </c>
      <c r="T17" s="703" t="s">
        <v>18</v>
      </c>
      <c r="U17" s="704">
        <f>H17</f>
        <v>100</v>
      </c>
      <c r="V17" s="703" t="s">
        <v>18</v>
      </c>
      <c r="W17" s="704">
        <f>J17</f>
        <v>100</v>
      </c>
      <c r="X17" s="1352"/>
      <c r="Y17" s="3801"/>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6"/>
      <c r="M18" s="2710"/>
      <c r="N18" s="2710"/>
      <c r="O18" s="2710"/>
      <c r="P18" s="3808"/>
      <c r="Q18" s="1349"/>
      <c r="R18" s="703"/>
      <c r="S18" s="704"/>
      <c r="T18" s="703"/>
      <c r="U18" s="704"/>
      <c r="V18" s="703"/>
      <c r="W18" s="704"/>
      <c r="X18" s="1352"/>
      <c r="Y18" s="3801"/>
      <c r="Z18" s="1353"/>
      <c r="AA18" s="1350">
        <v>1</v>
      </c>
      <c r="AB18" s="1350">
        <v>1</v>
      </c>
      <c r="AC18" s="1350">
        <v>1</v>
      </c>
    </row>
    <row r="19" spans="1:29" ht="199.5">
      <c r="A19" s="378"/>
      <c r="B19" s="401" t="s">
        <v>1258</v>
      </c>
      <c r="C19" s="1896"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808"/>
      <c r="Q19" s="1349" t="str">
        <f>B19</f>
        <v>公共配套设施</v>
      </c>
      <c r="R19" s="703" t="s">
        <v>18</v>
      </c>
      <c r="S19" s="704">
        <f>F19</f>
        <v>100</v>
      </c>
      <c r="T19" s="703" t="s">
        <v>18</v>
      </c>
      <c r="U19" s="704">
        <f>H19</f>
        <v>100</v>
      </c>
      <c r="V19" s="703" t="s">
        <v>18</v>
      </c>
      <c r="W19" s="704">
        <f>J19</f>
        <v>100</v>
      </c>
      <c r="X19" s="1352"/>
      <c r="Y19" s="3801"/>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6"/>
      <c r="M20" s="2710"/>
      <c r="N20" s="2710"/>
      <c r="O20" s="2710"/>
      <c r="P20" s="3808"/>
      <c r="Q20" s="1349"/>
      <c r="R20" s="703"/>
      <c r="S20" s="704"/>
      <c r="T20" s="703"/>
      <c r="U20" s="704"/>
      <c r="V20" s="703"/>
      <c r="W20" s="704"/>
      <c r="X20" s="1352"/>
      <c r="Y20" s="3801"/>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808"/>
      <c r="Q21" s="1349" t="str">
        <f>B21</f>
        <v>基础设施水平</v>
      </c>
      <c r="R21" s="703" t="s">
        <v>14</v>
      </c>
      <c r="S21" s="704">
        <f>F21</f>
        <v>100</v>
      </c>
      <c r="T21" s="703" t="s">
        <v>14</v>
      </c>
      <c r="U21" s="704">
        <f>H21</f>
        <v>100</v>
      </c>
      <c r="V21" s="703" t="s">
        <v>14</v>
      </c>
      <c r="W21" s="704">
        <f>J21</f>
        <v>100</v>
      </c>
      <c r="X21" s="1352"/>
      <c r="Y21" s="3801"/>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6"/>
      <c r="M22" s="2710"/>
      <c r="N22" s="2710"/>
      <c r="O22" s="2710"/>
      <c r="P22" s="3808"/>
      <c r="Q22" s="1349"/>
      <c r="R22" s="703"/>
      <c r="S22" s="704"/>
      <c r="T22" s="703"/>
      <c r="U22" s="704"/>
      <c r="V22" s="703"/>
      <c r="W22" s="704"/>
      <c r="X22" s="1352"/>
      <c r="Y22" s="3801"/>
      <c r="Z22" s="1353"/>
      <c r="AA22" s="1350">
        <v>1</v>
      </c>
      <c r="AB22" s="1350">
        <v>1</v>
      </c>
      <c r="AC22" s="1350">
        <v>1</v>
      </c>
    </row>
    <row r="23" spans="1:29" ht="71.25">
      <c r="A23" s="378"/>
      <c r="B23" s="401" t="s">
        <v>1261</v>
      </c>
      <c r="C23" s="1896" t="str">
        <f>估价对象房地状况!C9</f>
        <v>估价对象周边有滨河世纪广场公园、永定河、黑山公园、门头沟体育馆等自然、人文场所，综合评价环境状况较好。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808"/>
      <c r="Q23" s="1349" t="str">
        <f>B23</f>
        <v>自然及人文环境</v>
      </c>
      <c r="R23" s="703" t="s">
        <v>18</v>
      </c>
      <c r="S23" s="704">
        <f>F23</f>
        <v>100</v>
      </c>
      <c r="T23" s="703" t="s">
        <v>18</v>
      </c>
      <c r="U23" s="704">
        <f>H23</f>
        <v>100</v>
      </c>
      <c r="V23" s="703" t="s">
        <v>18</v>
      </c>
      <c r="W23" s="704">
        <f>J23</f>
        <v>100</v>
      </c>
      <c r="X23" s="1352"/>
      <c r="Y23" s="3801"/>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6"/>
      <c r="M24" s="2710"/>
      <c r="N24" s="2710"/>
      <c r="O24" s="2710"/>
      <c r="P24" s="3808"/>
      <c r="Q24" s="1349"/>
      <c r="R24" s="703"/>
      <c r="S24" s="704"/>
      <c r="T24" s="703"/>
      <c r="U24" s="704"/>
      <c r="V24" s="703"/>
      <c r="W24" s="704"/>
      <c r="X24" s="1352"/>
      <c r="Y24" s="3801"/>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6"/>
      <c r="M25" s="2710"/>
      <c r="N25" s="2710"/>
      <c r="O25" s="2710"/>
      <c r="P25" s="3808"/>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01"/>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6"/>
      <c r="M26" s="2710"/>
      <c r="N26" s="2710"/>
      <c r="O26" s="2710"/>
      <c r="P26" s="3808"/>
      <c r="Q26" s="1349" t="str">
        <f t="shared" si="11"/>
        <v>朝向</v>
      </c>
      <c r="R26" s="703" t="s">
        <v>18</v>
      </c>
      <c r="S26" s="704">
        <f t="shared" si="12"/>
        <v>100</v>
      </c>
      <c r="T26" s="703" t="s">
        <v>18</v>
      </c>
      <c r="U26" s="704">
        <f t="shared" si="13"/>
        <v>100</v>
      </c>
      <c r="V26" s="703" t="s">
        <v>18</v>
      </c>
      <c r="W26" s="704">
        <f t="shared" si="14"/>
        <v>100</v>
      </c>
      <c r="X26" s="1352"/>
      <c r="Y26" s="3801"/>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1"/>
      <c r="M27" s="2712"/>
      <c r="N27" s="2712"/>
      <c r="O27" s="2712"/>
      <c r="P27" s="3808"/>
      <c r="Q27" s="1340">
        <f t="shared" si="11"/>
        <v>111</v>
      </c>
      <c r="R27" s="699" t="s">
        <v>18</v>
      </c>
      <c r="S27" s="700">
        <f t="shared" si="12"/>
        <v>100</v>
      </c>
      <c r="T27" s="699" t="s">
        <v>18</v>
      </c>
      <c r="U27" s="700">
        <f t="shared" si="13"/>
        <v>100</v>
      </c>
      <c r="V27" s="699" t="s">
        <v>18</v>
      </c>
      <c r="W27" s="700">
        <f t="shared" si="14"/>
        <v>100</v>
      </c>
      <c r="X27" s="701"/>
      <c r="Y27" s="3801"/>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6"/>
      <c r="M28" s="2710"/>
      <c r="N28" s="2710"/>
      <c r="O28" s="2710"/>
      <c r="P28" s="3808"/>
      <c r="Q28" s="1349">
        <f t="shared" si="11"/>
        <v>111</v>
      </c>
      <c r="R28" s="703" t="s">
        <v>18</v>
      </c>
      <c r="S28" s="704">
        <f t="shared" si="12"/>
        <v>100</v>
      </c>
      <c r="T28" s="703" t="s">
        <v>18</v>
      </c>
      <c r="U28" s="704">
        <f t="shared" si="13"/>
        <v>100</v>
      </c>
      <c r="V28" s="703" t="s">
        <v>18</v>
      </c>
      <c r="W28" s="704">
        <f t="shared" si="14"/>
        <v>100</v>
      </c>
      <c r="X28" s="1352"/>
      <c r="Y28" s="3801"/>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6"/>
      <c r="M29" s="2710"/>
      <c r="N29" s="2710"/>
      <c r="O29" s="2710"/>
      <c r="P29" s="3808"/>
      <c r="Q29" s="1349">
        <f t="shared" si="11"/>
        <v>111</v>
      </c>
      <c r="R29" s="703" t="s">
        <v>18</v>
      </c>
      <c r="S29" s="704">
        <f t="shared" si="12"/>
        <v>100</v>
      </c>
      <c r="T29" s="703" t="s">
        <v>18</v>
      </c>
      <c r="U29" s="704">
        <f t="shared" si="13"/>
        <v>100</v>
      </c>
      <c r="V29" s="703" t="s">
        <v>18</v>
      </c>
      <c r="W29" s="704">
        <f t="shared" si="14"/>
        <v>100</v>
      </c>
      <c r="X29" s="1352"/>
      <c r="Y29" s="3801"/>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6"/>
      <c r="M30" s="2710"/>
      <c r="N30" s="2710"/>
      <c r="O30" s="2710"/>
      <c r="P30" s="3808"/>
      <c r="Q30" s="1349">
        <f t="shared" si="11"/>
        <v>111</v>
      </c>
      <c r="R30" s="703" t="s">
        <v>18</v>
      </c>
      <c r="S30" s="704">
        <f t="shared" si="12"/>
        <v>100</v>
      </c>
      <c r="T30" s="703" t="s">
        <v>18</v>
      </c>
      <c r="U30" s="704">
        <f t="shared" si="13"/>
        <v>100</v>
      </c>
      <c r="V30" s="703" t="s">
        <v>18</v>
      </c>
      <c r="W30" s="704">
        <f t="shared" si="14"/>
        <v>100</v>
      </c>
      <c r="X30" s="1352"/>
      <c r="Y30" s="3801"/>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6"/>
      <c r="M31" s="2710"/>
      <c r="N31" s="2710"/>
      <c r="O31" s="2710"/>
      <c r="P31" s="3808"/>
      <c r="Q31" s="1349">
        <f t="shared" si="11"/>
        <v>111</v>
      </c>
      <c r="R31" s="703" t="s">
        <v>18</v>
      </c>
      <c r="S31" s="704">
        <f t="shared" si="12"/>
        <v>100</v>
      </c>
      <c r="T31" s="703" t="s">
        <v>18</v>
      </c>
      <c r="U31" s="704">
        <f t="shared" si="13"/>
        <v>100</v>
      </c>
      <c r="V31" s="703" t="s">
        <v>18</v>
      </c>
      <c r="W31" s="704">
        <f t="shared" si="14"/>
        <v>100</v>
      </c>
      <c r="X31" s="1352"/>
      <c r="Y31" s="3801"/>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6"/>
      <c r="M32" s="2710"/>
      <c r="N32" s="2710"/>
      <c r="O32" s="2710"/>
      <c r="P32" s="3802" t="s">
        <v>1696</v>
      </c>
      <c r="Q32" s="1349" t="str">
        <f t="shared" si="11"/>
        <v>建筑类型</v>
      </c>
      <c r="R32" s="703" t="s">
        <v>18</v>
      </c>
      <c r="S32" s="704">
        <f t="shared" si="12"/>
        <v>100</v>
      </c>
      <c r="T32" s="703" t="s">
        <v>18</v>
      </c>
      <c r="U32" s="704">
        <f t="shared" si="13"/>
        <v>100</v>
      </c>
      <c r="V32" s="703" t="s">
        <v>18</v>
      </c>
      <c r="W32" s="704">
        <f t="shared" si="14"/>
        <v>100</v>
      </c>
      <c r="X32" s="1352"/>
      <c r="Y32" s="3805"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5"/>
      <c r="M33" s="2717"/>
      <c r="N33" s="2717"/>
      <c r="O33" s="2717"/>
      <c r="P33" s="3803"/>
      <c r="Q33" s="705" t="str">
        <f t="shared" si="11"/>
        <v>项目建筑规模</v>
      </c>
      <c r="R33" s="706" t="s">
        <v>18</v>
      </c>
      <c r="S33" s="707" t="e">
        <f t="shared" si="12"/>
        <v>#N/A</v>
      </c>
      <c r="T33" s="706" t="s">
        <v>18</v>
      </c>
      <c r="U33" s="707" t="e">
        <f t="shared" si="13"/>
        <v>#N/A</v>
      </c>
      <c r="V33" s="706" t="s">
        <v>18</v>
      </c>
      <c r="W33" s="707" t="e">
        <f t="shared" si="14"/>
        <v>#N/A</v>
      </c>
      <c r="X33" s="708"/>
      <c r="Y33" s="3805"/>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6"/>
      <c r="M34" s="2710"/>
      <c r="N34" s="2710"/>
      <c r="O34" s="2710"/>
      <c r="P34" s="3803"/>
      <c r="Q34" s="1349" t="str">
        <f t="shared" si="11"/>
        <v>建筑结构</v>
      </c>
      <c r="R34" s="703" t="s">
        <v>18</v>
      </c>
      <c r="S34" s="704">
        <f t="shared" si="12"/>
        <v>100</v>
      </c>
      <c r="T34" s="703" t="s">
        <v>18</v>
      </c>
      <c r="U34" s="704">
        <f t="shared" si="13"/>
        <v>100</v>
      </c>
      <c r="V34" s="703" t="s">
        <v>18</v>
      </c>
      <c r="W34" s="704">
        <f t="shared" si="14"/>
        <v>100</v>
      </c>
      <c r="X34" s="1352"/>
      <c r="Y34" s="3805"/>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6"/>
      <c r="M35" s="2710"/>
      <c r="N35" s="2710"/>
      <c r="O35" s="2710"/>
      <c r="P35" s="3803"/>
      <c r="Q35" s="1349" t="str">
        <f t="shared" si="11"/>
        <v>建筑品质</v>
      </c>
      <c r="R35" s="703" t="s">
        <v>18</v>
      </c>
      <c r="S35" s="704">
        <f t="shared" si="12"/>
        <v>100</v>
      </c>
      <c r="T35" s="703" t="s">
        <v>18</v>
      </c>
      <c r="U35" s="704">
        <f t="shared" si="13"/>
        <v>100</v>
      </c>
      <c r="V35" s="703" t="s">
        <v>18</v>
      </c>
      <c r="W35" s="704">
        <f t="shared" si="14"/>
        <v>100</v>
      </c>
      <c r="X35" s="1352"/>
      <c r="Y35" s="3805"/>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6"/>
      <c r="M36" s="2710"/>
      <c r="N36" s="2710"/>
      <c r="O36" s="2710"/>
      <c r="P36" s="3803"/>
      <c r="Q36" s="1349" t="str">
        <f t="shared" si="11"/>
        <v>公共部分装修</v>
      </c>
      <c r="R36" s="703" t="s">
        <v>18</v>
      </c>
      <c r="S36" s="704">
        <f t="shared" si="12"/>
        <v>100</v>
      </c>
      <c r="T36" s="703" t="s">
        <v>18</v>
      </c>
      <c r="U36" s="704">
        <f t="shared" si="13"/>
        <v>100</v>
      </c>
      <c r="V36" s="703" t="s">
        <v>18</v>
      </c>
      <c r="W36" s="704">
        <f t="shared" si="14"/>
        <v>100</v>
      </c>
      <c r="X36" s="1352"/>
      <c r="Y36" s="3805"/>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803"/>
      <c r="Q37" s="1340" t="str">
        <f t="shared" si="11"/>
        <v>成新度</v>
      </c>
      <c r="R37" s="699" t="s">
        <v>18</v>
      </c>
      <c r="S37" s="700" t="e">
        <f t="shared" si="12"/>
        <v>#N/A</v>
      </c>
      <c r="T37" s="699" t="s">
        <v>18</v>
      </c>
      <c r="U37" s="700" t="e">
        <f t="shared" si="13"/>
        <v>#N/A</v>
      </c>
      <c r="V37" s="699" t="s">
        <v>18</v>
      </c>
      <c r="W37" s="700" t="e">
        <f t="shared" si="14"/>
        <v>#N/A</v>
      </c>
      <c r="X37" s="701"/>
      <c r="Y37" s="3805"/>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6"/>
      <c r="M38" s="2710"/>
      <c r="N38" s="2710"/>
      <c r="O38" s="2710"/>
      <c r="P38" s="3803" t="s">
        <v>1696</v>
      </c>
      <c r="Q38" s="1349" t="str">
        <f t="shared" si="11"/>
        <v>物业管理</v>
      </c>
      <c r="R38" s="703" t="s">
        <v>18</v>
      </c>
      <c r="S38" s="704">
        <f t="shared" si="12"/>
        <v>100</v>
      </c>
      <c r="T38" s="703" t="s">
        <v>18</v>
      </c>
      <c r="U38" s="704">
        <f t="shared" si="13"/>
        <v>100</v>
      </c>
      <c r="V38" s="703" t="s">
        <v>18</v>
      </c>
      <c r="W38" s="704">
        <f t="shared" si="14"/>
        <v>100</v>
      </c>
      <c r="X38" s="1352"/>
      <c r="Y38" s="3805"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6"/>
      <c r="M39" s="2710"/>
      <c r="N39" s="2710"/>
      <c r="O39" s="2710"/>
      <c r="P39" s="3803"/>
      <c r="Q39" s="1349" t="str">
        <f t="shared" si="11"/>
        <v>市政基础设施</v>
      </c>
      <c r="R39" s="703" t="s">
        <v>18</v>
      </c>
      <c r="S39" s="704">
        <f t="shared" si="12"/>
        <v>100</v>
      </c>
      <c r="T39" s="703" t="s">
        <v>18</v>
      </c>
      <c r="U39" s="704">
        <f t="shared" si="13"/>
        <v>100</v>
      </c>
      <c r="V39" s="703" t="s">
        <v>18</v>
      </c>
      <c r="W39" s="704">
        <f t="shared" si="14"/>
        <v>100</v>
      </c>
      <c r="X39" s="1352"/>
      <c r="Y39" s="3805"/>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6"/>
      <c r="M40" s="2710"/>
      <c r="N40" s="2710"/>
      <c r="O40" s="2710"/>
      <c r="P40" s="3803"/>
      <c r="Q40" s="1349" t="str">
        <f t="shared" si="11"/>
        <v>房型</v>
      </c>
      <c r="R40" s="703" t="s">
        <v>18</v>
      </c>
      <c r="S40" s="704">
        <f t="shared" si="12"/>
        <v>100</v>
      </c>
      <c r="T40" s="703" t="s">
        <v>18</v>
      </c>
      <c r="U40" s="704">
        <f t="shared" si="13"/>
        <v>100</v>
      </c>
      <c r="V40" s="703" t="s">
        <v>18</v>
      </c>
      <c r="W40" s="704">
        <f t="shared" si="14"/>
        <v>100</v>
      </c>
      <c r="X40" s="1352"/>
      <c r="Y40" s="3805"/>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5"/>
      <c r="M41" s="2717"/>
      <c r="N41" s="2717"/>
      <c r="O41" s="2717"/>
      <c r="P41" s="3803"/>
      <c r="Q41" s="705" t="str">
        <f t="shared" si="11"/>
        <v>单套/主力户型建筑面积</v>
      </c>
      <c r="R41" s="706" t="s">
        <v>18</v>
      </c>
      <c r="S41" s="707">
        <f t="shared" si="12"/>
        <v>100</v>
      </c>
      <c r="T41" s="706" t="s">
        <v>18</v>
      </c>
      <c r="U41" s="707">
        <f t="shared" si="13"/>
        <v>100</v>
      </c>
      <c r="V41" s="706" t="s">
        <v>18</v>
      </c>
      <c r="W41" s="707">
        <f t="shared" si="14"/>
        <v>100</v>
      </c>
      <c r="X41" s="708"/>
      <c r="Y41" s="3805"/>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6"/>
      <c r="M42" s="2710"/>
      <c r="N42" s="2710"/>
      <c r="O42" s="2710"/>
      <c r="P42" s="3803"/>
      <c r="Q42" s="1349" t="str">
        <f t="shared" si="11"/>
        <v>内部装修</v>
      </c>
      <c r="R42" s="703" t="s">
        <v>18</v>
      </c>
      <c r="S42" s="704">
        <f t="shared" si="12"/>
        <v>100</v>
      </c>
      <c r="T42" s="703" t="s">
        <v>18</v>
      </c>
      <c r="U42" s="704">
        <f t="shared" si="13"/>
        <v>100</v>
      </c>
      <c r="V42" s="703" t="s">
        <v>18</v>
      </c>
      <c r="W42" s="704">
        <f t="shared" si="14"/>
        <v>100</v>
      </c>
      <c r="X42" s="1352"/>
      <c r="Y42" s="3805"/>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6"/>
      <c r="M43" s="2710"/>
      <c r="N43" s="2710"/>
      <c r="O43" s="2710"/>
      <c r="P43" s="3803"/>
      <c r="Q43" s="1349" t="str">
        <f t="shared" si="11"/>
        <v>内部装修维护情况</v>
      </c>
      <c r="R43" s="703" t="s">
        <v>18</v>
      </c>
      <c r="S43" s="704">
        <f t="shared" si="12"/>
        <v>100</v>
      </c>
      <c r="T43" s="703" t="s">
        <v>18</v>
      </c>
      <c r="U43" s="704">
        <f t="shared" si="13"/>
        <v>100</v>
      </c>
      <c r="V43" s="703" t="s">
        <v>18</v>
      </c>
      <c r="W43" s="704">
        <f t="shared" si="14"/>
        <v>100</v>
      </c>
      <c r="X43" s="1352"/>
      <c r="Y43" s="3805"/>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1"/>
      <c r="M44" s="2712"/>
      <c r="N44" s="2712"/>
      <c r="O44" s="2712"/>
      <c r="P44" s="3803"/>
      <c r="Q44" s="1340">
        <f t="shared" si="11"/>
        <v>111</v>
      </c>
      <c r="R44" s="699" t="s">
        <v>18</v>
      </c>
      <c r="S44" s="700">
        <f t="shared" si="12"/>
        <v>100</v>
      </c>
      <c r="T44" s="699" t="s">
        <v>18</v>
      </c>
      <c r="U44" s="700">
        <f t="shared" si="13"/>
        <v>100</v>
      </c>
      <c r="V44" s="699" t="s">
        <v>18</v>
      </c>
      <c r="W44" s="700">
        <f t="shared" si="14"/>
        <v>100</v>
      </c>
      <c r="X44" s="701"/>
      <c r="Y44" s="3805"/>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6"/>
      <c r="M45" s="2710"/>
      <c r="N45" s="2710"/>
      <c r="O45" s="2710"/>
      <c r="P45" s="3803"/>
      <c r="Q45" s="1349">
        <f t="shared" si="11"/>
        <v>111</v>
      </c>
      <c r="R45" s="703" t="s">
        <v>18</v>
      </c>
      <c r="S45" s="704">
        <f t="shared" si="12"/>
        <v>100</v>
      </c>
      <c r="T45" s="703" t="s">
        <v>18</v>
      </c>
      <c r="U45" s="704">
        <f t="shared" si="13"/>
        <v>100</v>
      </c>
      <c r="V45" s="703" t="s">
        <v>18</v>
      </c>
      <c r="W45" s="704">
        <f t="shared" si="14"/>
        <v>100</v>
      </c>
      <c r="X45" s="1352"/>
      <c r="Y45" s="3805"/>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6"/>
      <c r="M46" s="2710"/>
      <c r="N46" s="2710"/>
      <c r="O46" s="2710"/>
      <c r="P46" s="3804"/>
      <c r="Q46" s="1349">
        <f t="shared" si="11"/>
        <v>111</v>
      </c>
      <c r="R46" s="703" t="s">
        <v>17</v>
      </c>
      <c r="S46" s="704">
        <f t="shared" si="12"/>
        <v>100</v>
      </c>
      <c r="T46" s="703" t="s">
        <v>17</v>
      </c>
      <c r="U46" s="704">
        <f t="shared" si="13"/>
        <v>100</v>
      </c>
      <c r="V46" s="703" t="s">
        <v>17</v>
      </c>
      <c r="W46" s="704">
        <f t="shared" si="14"/>
        <v>100</v>
      </c>
      <c r="X46" s="1352"/>
      <c r="Y46" s="3806"/>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8"/>
      <c r="M47" s="2719"/>
      <c r="N47" s="2710"/>
      <c r="O47" s="2719"/>
      <c r="P47" s="3798" t="str">
        <f>A47</f>
        <v>成交单价（元/平方米）</v>
      </c>
      <c r="Q47" s="3798"/>
      <c r="R47" s="3799">
        <f>E47</f>
        <v>0</v>
      </c>
      <c r="S47" s="3799"/>
      <c r="T47" s="3799">
        <f>G47</f>
        <v>0</v>
      </c>
      <c r="U47" s="3799"/>
      <c r="V47" s="3799">
        <f>I47</f>
        <v>0</v>
      </c>
      <c r="W47" s="3799"/>
      <c r="X47" s="688"/>
      <c r="Y47" s="710"/>
      <c r="Z47" s="688"/>
      <c r="AA47" s="688"/>
      <c r="AB47" s="688"/>
      <c r="AC47" s="688"/>
    </row>
    <row r="48" spans="1:29" ht="15.75" thickBot="1">
      <c r="A48" s="436" t="s">
        <v>1709</v>
      </c>
      <c r="B48" s="437"/>
      <c r="C48" s="1157" t="e">
        <f>R49</f>
        <v>#DIV/0!</v>
      </c>
      <c r="D48" s="2313" t="s">
        <v>2135</v>
      </c>
      <c r="E48" s="1158" t="e">
        <f>R48</f>
        <v>#DIV/0!</v>
      </c>
      <c r="F48" s="2314"/>
      <c r="G48" s="1157" t="e">
        <f>T48</f>
        <v>#DIV/0!</v>
      </c>
      <c r="H48" s="2314"/>
      <c r="I48" s="1158" t="e">
        <f>V48</f>
        <v>#DIV/0!</v>
      </c>
      <c r="J48" s="2314"/>
      <c r="K48" s="2315">
        <f>F48+H48+J48</f>
        <v>0</v>
      </c>
      <c r="L48" s="2718"/>
      <c r="M48" s="2719"/>
      <c r="N48" s="2719"/>
      <c r="O48" s="2719"/>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8"/>
      <c r="M49" s="2719"/>
      <c r="N49" s="2719"/>
      <c r="O49" s="2719"/>
      <c r="P49" s="3795" t="str">
        <f>A49</f>
        <v>估价对象XX用房的比较价值（楼面单价，元/平方米）</v>
      </c>
      <c r="Q49" s="3796"/>
      <c r="R49" s="3797" t="e">
        <f>IF(F1="售价",ROUND(IF(D48="简单平均",AVERAGE(R48:V48),R48*F48+T48*H48+V48*J48),0),ROUND(IF(D48="简单平均",AVERAGE(R48:V48),R48*F48+T48*H48+V48*J48),1))</f>
        <v>#DIV/0!</v>
      </c>
      <c r="S49" s="3797"/>
      <c r="T49" s="3797"/>
      <c r="U49" s="3797"/>
      <c r="V49" s="3797"/>
      <c r="W49" s="3797"/>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3"/>
    </row>
    <row r="55" spans="1:29" s="450"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20"/>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135.71</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1666</v>
      </c>
      <c r="B4" s="355"/>
      <c r="C4" s="3813" t="s">
        <v>1667</v>
      </c>
      <c r="D4" s="3814"/>
      <c r="E4" s="3815" t="s">
        <v>1668</v>
      </c>
      <c r="F4" s="3816"/>
      <c r="G4" s="3813" t="s">
        <v>1669</v>
      </c>
      <c r="H4" s="3814"/>
      <c r="I4" s="3813" t="s">
        <v>1670</v>
      </c>
      <c r="J4" s="3814"/>
      <c r="K4" s="558" t="s">
        <v>1671</v>
      </c>
      <c r="L4" s="2709"/>
      <c r="M4" s="2710"/>
      <c r="N4" s="2710"/>
      <c r="O4" s="2710"/>
      <c r="P4" s="3817" t="s">
        <v>1672</v>
      </c>
      <c r="Q4" s="3818"/>
      <c r="R4" s="3823" t="s">
        <v>1668</v>
      </c>
      <c r="S4" s="3824"/>
      <c r="T4" s="3823" t="s">
        <v>1669</v>
      </c>
      <c r="U4" s="3824"/>
      <c r="V4" s="3829" t="s">
        <v>1670</v>
      </c>
      <c r="W4" s="3829"/>
      <c r="X4" s="3446"/>
      <c r="Y4" s="3823" t="s">
        <v>1672</v>
      </c>
      <c r="Z4" s="3824"/>
      <c r="AA4" s="3810" t="s">
        <v>1668</v>
      </c>
      <c r="AB4" s="3829" t="s">
        <v>1669</v>
      </c>
      <c r="AC4" s="3810" t="s">
        <v>1670</v>
      </c>
    </row>
    <row r="5" spans="1:29" ht="15">
      <c r="A5" s="357"/>
      <c r="B5" s="358"/>
      <c r="C5" s="3832" t="s">
        <v>1673</v>
      </c>
      <c r="D5" s="3833"/>
      <c r="E5" s="3841" t="s">
        <v>3538</v>
      </c>
      <c r="F5" s="3840"/>
      <c r="G5" s="3842" t="s">
        <v>3538</v>
      </c>
      <c r="H5" s="3833"/>
      <c r="I5" s="3842" t="s">
        <v>3522</v>
      </c>
      <c r="J5" s="3833"/>
      <c r="K5" s="558"/>
      <c r="L5" s="2709"/>
      <c r="M5" s="2710"/>
      <c r="N5" s="2710"/>
      <c r="O5" s="2710"/>
      <c r="P5" s="3819"/>
      <c r="Q5" s="3820"/>
      <c r="R5" s="3825"/>
      <c r="S5" s="3826"/>
      <c r="T5" s="3825"/>
      <c r="U5" s="3826"/>
      <c r="V5" s="3829"/>
      <c r="W5" s="3829"/>
      <c r="X5" s="3446"/>
      <c r="Y5" s="3825"/>
      <c r="Z5" s="3826"/>
      <c r="AA5" s="3811"/>
      <c r="AB5" s="3829"/>
      <c r="AC5" s="3811"/>
    </row>
    <row r="6" spans="1:29" ht="15.75" thickBot="1">
      <c r="A6" s="359"/>
      <c r="B6" s="360"/>
      <c r="C6" s="3830" t="s">
        <v>1677</v>
      </c>
      <c r="D6" s="3831"/>
      <c r="E6" s="3837" t="s">
        <v>1677</v>
      </c>
      <c r="F6" s="3838"/>
      <c r="G6" s="3830" t="s">
        <v>1677</v>
      </c>
      <c r="H6" s="3831"/>
      <c r="I6" s="3830" t="s">
        <v>1677</v>
      </c>
      <c r="J6" s="3831"/>
      <c r="K6" s="558" t="s">
        <v>1678</v>
      </c>
      <c r="L6" s="2709"/>
      <c r="M6" s="2710"/>
      <c r="N6" s="2710"/>
      <c r="O6" s="2710"/>
      <c r="P6" s="3821"/>
      <c r="Q6" s="3822"/>
      <c r="R6" s="3825"/>
      <c r="S6" s="3826"/>
      <c r="T6" s="3827"/>
      <c r="U6" s="3828"/>
      <c r="V6" s="3829"/>
      <c r="W6" s="3829"/>
      <c r="X6" s="3446"/>
      <c r="Y6" s="3827"/>
      <c r="Z6" s="3828"/>
      <c r="AA6" s="3812"/>
      <c r="AB6" s="3829"/>
      <c r="AC6" s="3812"/>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1"/>
      <c r="M7" s="2712"/>
      <c r="N7" s="2712"/>
      <c r="O7" s="2712"/>
      <c r="P7" s="3834" t="s">
        <v>1680</v>
      </c>
      <c r="Q7" s="3836"/>
      <c r="R7" s="699" t="s">
        <v>14</v>
      </c>
      <c r="S7" s="700">
        <f t="shared" ref="S7:S15" si="0">F7</f>
        <v>100</v>
      </c>
      <c r="T7" s="699" t="s">
        <v>14</v>
      </c>
      <c r="U7" s="700">
        <f t="shared" ref="U7:U15" si="1">H7</f>
        <v>100</v>
      </c>
      <c r="V7" s="699" t="s">
        <v>14</v>
      </c>
      <c r="W7" s="700">
        <f t="shared" ref="W7:W15" si="2">J7</f>
        <v>100</v>
      </c>
      <c r="X7" s="701"/>
      <c r="Y7" s="3834" t="s">
        <v>1680</v>
      </c>
      <c r="Z7" s="3835"/>
      <c r="AA7" s="702">
        <f>D7/F7</f>
        <v>1</v>
      </c>
      <c r="AB7" s="702">
        <f>D7/H7</f>
        <v>1</v>
      </c>
      <c r="AC7" s="702">
        <f>D7/J7</f>
        <v>1</v>
      </c>
    </row>
    <row r="8" spans="1:29" s="107" customFormat="1" ht="15.75" thickBot="1">
      <c r="A8" s="361" t="s">
        <v>1681</v>
      </c>
      <c r="B8" s="362"/>
      <c r="C8" s="367" t="s">
        <v>3539</v>
      </c>
      <c r="D8" s="364">
        <v>100</v>
      </c>
      <c r="E8" s="367" t="s">
        <v>3539</v>
      </c>
      <c r="F8" s="366">
        <f>SUMIF(61:61,E8,62:62)-SUMIF(61:61,C8,62:62)+100</f>
        <v>100</v>
      </c>
      <c r="G8" s="367" t="s">
        <v>3539</v>
      </c>
      <c r="H8" s="364">
        <f>SUMIF(61:61,G8,62:62)-SUMIF(61:61,C8,62:62)+100</f>
        <v>100</v>
      </c>
      <c r="I8" s="367" t="s">
        <v>3539</v>
      </c>
      <c r="J8" s="364">
        <f>SUMIF(61:61,I8,62:62)-SUMIF(61:61,C8,62:62)+100</f>
        <v>100</v>
      </c>
      <c r="K8" s="559"/>
      <c r="L8" s="2711"/>
      <c r="M8" s="2712"/>
      <c r="N8" s="2712"/>
      <c r="O8" s="2712"/>
      <c r="P8" s="3834" t="s">
        <v>1683</v>
      </c>
      <c r="Q8" s="3835"/>
      <c r="R8" s="699" t="s">
        <v>14</v>
      </c>
      <c r="S8" s="700">
        <f t="shared" si="0"/>
        <v>100</v>
      </c>
      <c r="T8" s="699" t="s">
        <v>14</v>
      </c>
      <c r="U8" s="700">
        <f t="shared" si="1"/>
        <v>100</v>
      </c>
      <c r="V8" s="699" t="s">
        <v>14</v>
      </c>
      <c r="W8" s="700">
        <f t="shared" si="2"/>
        <v>100</v>
      </c>
      <c r="X8" s="701"/>
      <c r="Y8" s="3834" t="s">
        <v>1683</v>
      </c>
      <c r="Z8" s="3835"/>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09" t="s">
        <v>1686</v>
      </c>
      <c r="Q9" s="3445" t="str">
        <f t="shared" ref="Q9:Q15" si="6">B9</f>
        <v>用途</v>
      </c>
      <c r="R9" s="699" t="s">
        <v>14</v>
      </c>
      <c r="S9" s="700">
        <f t="shared" si="0"/>
        <v>100</v>
      </c>
      <c r="T9" s="699" t="s">
        <v>14</v>
      </c>
      <c r="U9" s="700">
        <f t="shared" si="1"/>
        <v>100</v>
      </c>
      <c r="V9" s="699" t="s">
        <v>14</v>
      </c>
      <c r="W9" s="700">
        <f t="shared" si="2"/>
        <v>100</v>
      </c>
      <c r="X9" s="701"/>
      <c r="Y9" s="3673" t="s">
        <v>1687</v>
      </c>
      <c r="Z9" s="3444"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809"/>
      <c r="Q10" s="3445" t="str">
        <f t="shared" si="6"/>
        <v>土地使用年限（年）</v>
      </c>
      <c r="R10" s="699" t="s">
        <v>14</v>
      </c>
      <c r="S10" s="700">
        <f t="shared" si="0"/>
        <v>100</v>
      </c>
      <c r="T10" s="699" t="s">
        <v>14</v>
      </c>
      <c r="U10" s="700">
        <f t="shared" si="1"/>
        <v>100</v>
      </c>
      <c r="V10" s="699" t="s">
        <v>14</v>
      </c>
      <c r="W10" s="700">
        <f t="shared" si="2"/>
        <v>100</v>
      </c>
      <c r="X10" s="701"/>
      <c r="Y10" s="3673"/>
      <c r="Z10" s="3444"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09"/>
      <c r="Q11" s="3445" t="str">
        <f t="shared" si="6"/>
        <v>容积率</v>
      </c>
      <c r="R11" s="699" t="s">
        <v>14</v>
      </c>
      <c r="S11" s="700">
        <f t="shared" si="0"/>
        <v>100</v>
      </c>
      <c r="T11" s="699" t="s">
        <v>14</v>
      </c>
      <c r="U11" s="700">
        <f t="shared" si="1"/>
        <v>100</v>
      </c>
      <c r="V11" s="699" t="s">
        <v>14</v>
      </c>
      <c r="W11" s="700">
        <f t="shared" si="2"/>
        <v>100</v>
      </c>
      <c r="X11" s="701"/>
      <c r="Y11" s="3673"/>
      <c r="Z11" s="3444"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09"/>
      <c r="Q12" s="3445">
        <f t="shared" si="6"/>
        <v>111</v>
      </c>
      <c r="R12" s="699" t="s">
        <v>14</v>
      </c>
      <c r="S12" s="700">
        <f t="shared" si="0"/>
        <v>100</v>
      </c>
      <c r="T12" s="699" t="s">
        <v>14</v>
      </c>
      <c r="U12" s="700">
        <f t="shared" si="1"/>
        <v>100</v>
      </c>
      <c r="V12" s="699" t="s">
        <v>14</v>
      </c>
      <c r="W12" s="700">
        <f t="shared" si="2"/>
        <v>100</v>
      </c>
      <c r="X12" s="701"/>
      <c r="Y12" s="3673"/>
      <c r="Z12" s="3444">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09"/>
      <c r="Q13" s="3445">
        <f t="shared" si="6"/>
        <v>111</v>
      </c>
      <c r="R13" s="699" t="s">
        <v>14</v>
      </c>
      <c r="S13" s="700">
        <f t="shared" si="0"/>
        <v>100</v>
      </c>
      <c r="T13" s="699" t="s">
        <v>14</v>
      </c>
      <c r="U13" s="700">
        <f t="shared" si="1"/>
        <v>100</v>
      </c>
      <c r="V13" s="699" t="s">
        <v>14</v>
      </c>
      <c r="W13" s="700">
        <f t="shared" si="2"/>
        <v>100</v>
      </c>
      <c r="X13" s="701"/>
      <c r="Y13" s="3673"/>
      <c r="Z13" s="3444">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09"/>
      <c r="Q14" s="3445">
        <f t="shared" si="6"/>
        <v>111</v>
      </c>
      <c r="R14" s="699" t="s">
        <v>14</v>
      </c>
      <c r="S14" s="700">
        <f t="shared" si="0"/>
        <v>100</v>
      </c>
      <c r="T14" s="699" t="s">
        <v>14</v>
      </c>
      <c r="U14" s="700">
        <f t="shared" si="1"/>
        <v>100</v>
      </c>
      <c r="V14" s="699" t="s">
        <v>14</v>
      </c>
      <c r="W14" s="700">
        <f t="shared" si="2"/>
        <v>100</v>
      </c>
      <c r="X14" s="701"/>
      <c r="Y14" s="3673"/>
      <c r="Z14" s="3444">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07" t="s">
        <v>1691</v>
      </c>
      <c r="Q15" s="3449" t="str">
        <f t="shared" si="6"/>
        <v>商业繁华度</v>
      </c>
      <c r="R15" s="703" t="s">
        <v>14</v>
      </c>
      <c r="S15" s="704">
        <f t="shared" si="0"/>
        <v>105</v>
      </c>
      <c r="T15" s="703" t="s">
        <v>14</v>
      </c>
      <c r="U15" s="704">
        <f t="shared" si="1"/>
        <v>105</v>
      </c>
      <c r="V15" s="703" t="s">
        <v>14</v>
      </c>
      <c r="W15" s="704">
        <f t="shared" si="2"/>
        <v>105</v>
      </c>
      <c r="X15" s="3446"/>
      <c r="Y15" s="3800" t="s">
        <v>1691</v>
      </c>
      <c r="Z15" s="3447" t="str">
        <f t="shared" si="7"/>
        <v>商业繁华度</v>
      </c>
      <c r="AA15" s="3450">
        <f t="shared" si="3"/>
        <v>0.95238095238095233</v>
      </c>
      <c r="AB15" s="3450">
        <f t="shared" si="4"/>
        <v>0.95238095238095233</v>
      </c>
      <c r="AC15" s="3450">
        <f t="shared" si="5"/>
        <v>0.95238095238095233</v>
      </c>
    </row>
    <row r="16" spans="1:29" ht="15">
      <c r="A16" s="378"/>
      <c r="B16" s="396"/>
      <c r="C16" s="397" t="s">
        <v>3511</v>
      </c>
      <c r="D16" s="398"/>
      <c r="E16" s="397" t="s">
        <v>3514</v>
      </c>
      <c r="F16" s="399"/>
      <c r="G16" s="397" t="s">
        <v>3514</v>
      </c>
      <c r="H16" s="400"/>
      <c r="I16" s="397" t="s">
        <v>3514</v>
      </c>
      <c r="J16" s="398"/>
      <c r="K16" s="563"/>
      <c r="L16" s="2716"/>
      <c r="M16" s="2710"/>
      <c r="N16" s="2710"/>
      <c r="O16" s="2710"/>
      <c r="P16" s="3808"/>
      <c r="Q16" s="3449"/>
      <c r="R16" s="703"/>
      <c r="S16" s="704"/>
      <c r="T16" s="703"/>
      <c r="U16" s="704"/>
      <c r="V16" s="703"/>
      <c r="W16" s="704"/>
      <c r="X16" s="3446"/>
      <c r="Y16" s="3801"/>
      <c r="Z16" s="3447"/>
      <c r="AA16" s="3450">
        <v>1</v>
      </c>
      <c r="AB16" s="3450">
        <v>1</v>
      </c>
      <c r="AC16" s="3450">
        <v>1</v>
      </c>
    </row>
    <row r="17" spans="1:29" ht="48" customHeight="1">
      <c r="A17" s="378"/>
      <c r="B17" s="401" t="s">
        <v>1259</v>
      </c>
      <c r="C17" s="1896" t="str">
        <f>估价对象房地状况!C6</f>
        <v>估价对象周边有M1、M25、M27、336、370、383、快速公交4线等多条公交线路，周边道路网线较密集，通达度较好。综合评价交通便捷度较好。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08"/>
      <c r="Q17" s="3449" t="str">
        <f>B17</f>
        <v>交通便捷度</v>
      </c>
      <c r="R17" s="703" t="s">
        <v>14</v>
      </c>
      <c r="S17" s="704">
        <f>F17</f>
        <v>102</v>
      </c>
      <c r="T17" s="703" t="s">
        <v>14</v>
      </c>
      <c r="U17" s="704">
        <f>H17</f>
        <v>102</v>
      </c>
      <c r="V17" s="703" t="s">
        <v>14</v>
      </c>
      <c r="W17" s="704">
        <f>J17</f>
        <v>102</v>
      </c>
      <c r="X17" s="3446"/>
      <c r="Y17" s="3801"/>
      <c r="Z17" s="3447" t="str">
        <f>Q17</f>
        <v>交通便捷度</v>
      </c>
      <c r="AA17" s="3450">
        <f t="shared" si="3"/>
        <v>0.98039215686274506</v>
      </c>
      <c r="AB17" s="3450">
        <f t="shared" si="4"/>
        <v>0.98039215686274506</v>
      </c>
      <c r="AC17" s="3450">
        <f t="shared" si="5"/>
        <v>0.98039215686274506</v>
      </c>
    </row>
    <row r="18" spans="1:29" ht="15">
      <c r="A18" s="378"/>
      <c r="B18" s="406"/>
      <c r="C18" s="1897" t="s">
        <v>3511</v>
      </c>
      <c r="D18" s="400"/>
      <c r="E18" s="1899" t="s">
        <v>3514</v>
      </c>
      <c r="F18" s="403"/>
      <c r="G18" s="1899" t="s">
        <v>3514</v>
      </c>
      <c r="H18" s="398"/>
      <c r="I18" s="1899" t="s">
        <v>3514</v>
      </c>
      <c r="J18" s="398"/>
      <c r="K18" s="563"/>
      <c r="L18" s="2716"/>
      <c r="M18" s="2710"/>
      <c r="N18" s="2710"/>
      <c r="O18" s="2710"/>
      <c r="P18" s="3808"/>
      <c r="Q18" s="3449"/>
      <c r="R18" s="703"/>
      <c r="S18" s="704"/>
      <c r="T18" s="703"/>
      <c r="U18" s="704"/>
      <c r="V18" s="703"/>
      <c r="W18" s="704"/>
      <c r="X18" s="3446"/>
      <c r="Y18" s="3801"/>
      <c r="Z18" s="3447"/>
      <c r="AA18" s="3450">
        <v>1</v>
      </c>
      <c r="AB18" s="3450">
        <v>1</v>
      </c>
      <c r="AC18" s="3450">
        <v>1</v>
      </c>
    </row>
    <row r="19" spans="1:29" ht="46.5" customHeight="1">
      <c r="A19" s="378"/>
      <c r="B19" s="401" t="s">
        <v>1778</v>
      </c>
      <c r="C19" s="1896"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08"/>
      <c r="Q19" s="3449" t="str">
        <f>B19</f>
        <v>公共配套设施</v>
      </c>
      <c r="R19" s="703" t="s">
        <v>14</v>
      </c>
      <c r="S19" s="704">
        <f>F19</f>
        <v>100</v>
      </c>
      <c r="T19" s="703" t="s">
        <v>14</v>
      </c>
      <c r="U19" s="704">
        <f>H19</f>
        <v>100</v>
      </c>
      <c r="V19" s="703" t="s">
        <v>14</v>
      </c>
      <c r="W19" s="704">
        <f>J19</f>
        <v>100</v>
      </c>
      <c r="X19" s="3446"/>
      <c r="Y19" s="3801"/>
      <c r="Z19" s="3447" t="str">
        <f>Q19</f>
        <v>公共配套设施</v>
      </c>
      <c r="AA19" s="3450">
        <f t="shared" si="3"/>
        <v>1</v>
      </c>
      <c r="AB19" s="3450">
        <f t="shared" si="4"/>
        <v>1</v>
      </c>
      <c r="AC19" s="3450">
        <f t="shared" si="5"/>
        <v>1</v>
      </c>
    </row>
    <row r="20" spans="1:29" ht="15">
      <c r="A20" s="378"/>
      <c r="B20" s="406"/>
      <c r="C20" s="397" t="s">
        <v>3514</v>
      </c>
      <c r="D20" s="398"/>
      <c r="E20" s="397" t="s">
        <v>3514</v>
      </c>
      <c r="F20" s="399"/>
      <c r="G20" s="397" t="s">
        <v>3514</v>
      </c>
      <c r="H20" s="398"/>
      <c r="I20" s="397" t="s">
        <v>3514</v>
      </c>
      <c r="J20" s="398"/>
      <c r="K20" s="563"/>
      <c r="L20" s="2716"/>
      <c r="M20" s="2710"/>
      <c r="N20" s="2710"/>
      <c r="O20" s="2710"/>
      <c r="P20" s="3808"/>
      <c r="Q20" s="3449"/>
      <c r="R20" s="703"/>
      <c r="S20" s="704"/>
      <c r="T20" s="703"/>
      <c r="U20" s="704"/>
      <c r="V20" s="703"/>
      <c r="W20" s="704"/>
      <c r="X20" s="3446"/>
      <c r="Y20" s="3801"/>
      <c r="Z20" s="3447"/>
      <c r="AA20" s="3450">
        <v>1</v>
      </c>
      <c r="AB20" s="3450">
        <v>1</v>
      </c>
      <c r="AC20" s="3450">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08"/>
      <c r="Q21" s="3449" t="str">
        <f>B21</f>
        <v>基础设施水平</v>
      </c>
      <c r="R21" s="703" t="s">
        <v>14</v>
      </c>
      <c r="S21" s="704">
        <f>F21</f>
        <v>100</v>
      </c>
      <c r="T21" s="703" t="s">
        <v>14</v>
      </c>
      <c r="U21" s="704">
        <f>H21</f>
        <v>100</v>
      </c>
      <c r="V21" s="703" t="s">
        <v>14</v>
      </c>
      <c r="W21" s="704">
        <f>J21</f>
        <v>100</v>
      </c>
      <c r="X21" s="3446"/>
      <c r="Y21" s="3801"/>
      <c r="Z21" s="3447" t="str">
        <f>Q21</f>
        <v>基础设施水平</v>
      </c>
      <c r="AA21" s="3450">
        <f t="shared" ref="AA21" si="8">D21/F21</f>
        <v>1</v>
      </c>
      <c r="AB21" s="3450">
        <f t="shared" ref="AB21" si="9">D21/H21</f>
        <v>1</v>
      </c>
      <c r="AC21" s="3450">
        <f t="shared" ref="AC21" si="10">D21/J21</f>
        <v>1</v>
      </c>
    </row>
    <row r="22" spans="1:29" ht="15">
      <c r="A22" s="378"/>
      <c r="B22" s="1128"/>
      <c r="C22" s="1897" t="s">
        <v>3523</v>
      </c>
      <c r="D22" s="398"/>
      <c r="E22" s="1897" t="s">
        <v>3523</v>
      </c>
      <c r="F22" s="399"/>
      <c r="G22" s="1897" t="s">
        <v>3523</v>
      </c>
      <c r="H22" s="398"/>
      <c r="I22" s="1897" t="s">
        <v>3523</v>
      </c>
      <c r="J22" s="398"/>
      <c r="K22" s="1127"/>
      <c r="L22" s="2716"/>
      <c r="M22" s="2710"/>
      <c r="N22" s="2710"/>
      <c r="O22" s="2710"/>
      <c r="P22" s="3808"/>
      <c r="Q22" s="3449"/>
      <c r="R22" s="703"/>
      <c r="S22" s="704"/>
      <c r="T22" s="703"/>
      <c r="U22" s="704"/>
      <c r="V22" s="703"/>
      <c r="W22" s="704"/>
      <c r="X22" s="3446"/>
      <c r="Y22" s="3801"/>
      <c r="Z22" s="3447"/>
      <c r="AA22" s="3450">
        <v>1</v>
      </c>
      <c r="AB22" s="3450">
        <v>1</v>
      </c>
      <c r="AC22" s="3450">
        <v>1</v>
      </c>
    </row>
    <row r="23" spans="1:29" ht="31.5" customHeight="1">
      <c r="A23" s="378"/>
      <c r="B23" s="401" t="s">
        <v>1261</v>
      </c>
      <c r="C23" s="1951" t="str">
        <f>估价对象房地状况!C9</f>
        <v>估价对象周边有滨河世纪广场公园、永定河、黑山公园、门头沟体育馆等自然、人文场所，综合评价环境状况较好。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08"/>
      <c r="Q23" s="3449" t="str">
        <f>B23</f>
        <v>自然及人文环境</v>
      </c>
      <c r="R23" s="703" t="s">
        <v>14</v>
      </c>
      <c r="S23" s="704">
        <f>F23</f>
        <v>100</v>
      </c>
      <c r="T23" s="703" t="s">
        <v>14</v>
      </c>
      <c r="U23" s="704">
        <f>H23</f>
        <v>100</v>
      </c>
      <c r="V23" s="703" t="s">
        <v>14</v>
      </c>
      <c r="W23" s="704">
        <f>J23</f>
        <v>100</v>
      </c>
      <c r="X23" s="3446"/>
      <c r="Y23" s="3801"/>
      <c r="Z23" s="3447" t="str">
        <f>Q23</f>
        <v>自然及人文环境</v>
      </c>
      <c r="AA23" s="3450">
        <f t="shared" si="3"/>
        <v>1</v>
      </c>
      <c r="AB23" s="3450">
        <f t="shared" si="4"/>
        <v>1</v>
      </c>
      <c r="AC23" s="3450">
        <f t="shared" si="5"/>
        <v>1</v>
      </c>
    </row>
    <row r="24" spans="1:29" ht="15">
      <c r="A24" s="378"/>
      <c r="B24" s="406"/>
      <c r="C24" s="397" t="s">
        <v>3511</v>
      </c>
      <c r="D24" s="398"/>
      <c r="E24" s="397" t="s">
        <v>3511</v>
      </c>
      <c r="F24" s="399"/>
      <c r="G24" s="397" t="s">
        <v>3511</v>
      </c>
      <c r="H24" s="398"/>
      <c r="I24" s="397" t="s">
        <v>3511</v>
      </c>
      <c r="J24" s="398"/>
      <c r="K24" s="563"/>
      <c r="L24" s="2716"/>
      <c r="M24" s="2710"/>
      <c r="N24" s="2710"/>
      <c r="O24" s="2710"/>
      <c r="P24" s="3808"/>
      <c r="Q24" s="3449"/>
      <c r="R24" s="703"/>
      <c r="S24" s="704"/>
      <c r="T24" s="703"/>
      <c r="U24" s="704"/>
      <c r="V24" s="703"/>
      <c r="W24" s="704"/>
      <c r="X24" s="3446"/>
      <c r="Y24" s="3801"/>
      <c r="Z24" s="3447"/>
      <c r="AA24" s="3450">
        <v>1</v>
      </c>
      <c r="AB24" s="3450">
        <v>1</v>
      </c>
      <c r="AC24" s="3450">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c r="L25" s="2716"/>
      <c r="M25" s="2710"/>
      <c r="N25" s="2710"/>
      <c r="O25" s="2710"/>
      <c r="P25" s="3808"/>
      <c r="Q25" s="3449" t="str">
        <f t="shared" ref="Q25:Q46" si="11">B25</f>
        <v>临街状况</v>
      </c>
      <c r="R25" s="703" t="s">
        <v>14</v>
      </c>
      <c r="S25" s="704">
        <f>F25</f>
        <v>100</v>
      </c>
      <c r="T25" s="703" t="s">
        <v>14</v>
      </c>
      <c r="U25" s="704">
        <f>H25</f>
        <v>100</v>
      </c>
      <c r="V25" s="703" t="s">
        <v>14</v>
      </c>
      <c r="W25" s="704">
        <f>J25</f>
        <v>100</v>
      </c>
      <c r="X25" s="3446"/>
      <c r="Y25" s="3801"/>
      <c r="Z25" s="3447" t="str">
        <f>Q25</f>
        <v>临街状况</v>
      </c>
      <c r="AA25" s="3450">
        <f t="shared" si="3"/>
        <v>1</v>
      </c>
      <c r="AB25" s="3450">
        <f t="shared" si="4"/>
        <v>1</v>
      </c>
      <c r="AC25" s="3450">
        <f t="shared" si="5"/>
        <v>1</v>
      </c>
    </row>
    <row r="26" spans="1:29" ht="15">
      <c r="A26" s="378"/>
      <c r="B26" s="1130" t="s">
        <v>1781</v>
      </c>
      <c r="C26" s="3528" t="s">
        <v>3551</v>
      </c>
      <c r="D26" s="385">
        <v>100</v>
      </c>
      <c r="E26" s="3528" t="s">
        <v>3552</v>
      </c>
      <c r="F26" s="411">
        <f>SUMIF(88:88,E26,89:89)-SUMIF(88:88,C26,89:89)+100</f>
        <v>105</v>
      </c>
      <c r="G26" s="3528" t="s">
        <v>3552</v>
      </c>
      <c r="H26" s="385">
        <f>SUMIF(88:88,G26,89:89)-SUMIF(88:88,C26,89:89)+100</f>
        <v>105</v>
      </c>
      <c r="I26" s="3528" t="s">
        <v>3552</v>
      </c>
      <c r="J26" s="385">
        <f>SUMIF(88:88,I26,89:89)-SUMIF(88:88,C26,89:89)+100</f>
        <v>105</v>
      </c>
      <c r="K26" s="561"/>
      <c r="L26" s="2716"/>
      <c r="M26" s="2710"/>
      <c r="N26" s="2710"/>
      <c r="O26" s="2710"/>
      <c r="P26" s="3808"/>
      <c r="Q26" s="3449" t="str">
        <f t="shared" si="11"/>
        <v>平面位置/可视性</v>
      </c>
      <c r="R26" s="703" t="s">
        <v>14</v>
      </c>
      <c r="S26" s="704">
        <f>F26</f>
        <v>105</v>
      </c>
      <c r="T26" s="703" t="s">
        <v>14</v>
      </c>
      <c r="U26" s="704">
        <f>H26</f>
        <v>105</v>
      </c>
      <c r="V26" s="703" t="s">
        <v>14</v>
      </c>
      <c r="W26" s="704">
        <f>J26</f>
        <v>105</v>
      </c>
      <c r="X26" s="3446"/>
      <c r="Y26" s="3801"/>
      <c r="Z26" s="3447" t="str">
        <f>Q26</f>
        <v>平面位置/可视性</v>
      </c>
      <c r="AA26" s="3450">
        <f t="shared" si="3"/>
        <v>0.95238095238095233</v>
      </c>
      <c r="AB26" s="3450">
        <f t="shared" si="4"/>
        <v>0.95238095238095233</v>
      </c>
      <c r="AC26" s="3450">
        <f t="shared" si="5"/>
        <v>0.95238095238095233</v>
      </c>
    </row>
    <row r="27" spans="1:29" s="107" customFormat="1" ht="15">
      <c r="A27" s="381"/>
      <c r="B27" s="401" t="s">
        <v>1782</v>
      </c>
      <c r="C27" s="1952" t="s">
        <v>3510</v>
      </c>
      <c r="D27" s="412">
        <v>100</v>
      </c>
      <c r="E27" s="1952" t="s">
        <v>3526</v>
      </c>
      <c r="F27" s="414">
        <f>SUMIF(90:90,E27,91:91)-SUMIF(90:90,C27,91:91)+100</f>
        <v>103</v>
      </c>
      <c r="G27" s="1952" t="s">
        <v>3526</v>
      </c>
      <c r="H27" s="412">
        <f>SUMIF(90:90,G27,91:91)-SUMIF(90:90,C27,91:91)+100</f>
        <v>103</v>
      </c>
      <c r="I27" s="1952" t="s">
        <v>3526</v>
      </c>
      <c r="J27" s="412">
        <f>SUMIF(90:90,I27,91:91)-SUMIF(90:90,C27,91:91)+100</f>
        <v>103</v>
      </c>
      <c r="K27" s="560">
        <v>3</v>
      </c>
      <c r="L27" s="2711"/>
      <c r="M27" s="2712"/>
      <c r="N27" s="2712"/>
      <c r="O27" s="2712"/>
      <c r="P27" s="3808"/>
      <c r="Q27" s="3445" t="str">
        <f t="shared" si="11"/>
        <v>人流量</v>
      </c>
      <c r="R27" s="699" t="s">
        <v>14</v>
      </c>
      <c r="S27" s="700">
        <f>F27</f>
        <v>103</v>
      </c>
      <c r="T27" s="699" t="s">
        <v>14</v>
      </c>
      <c r="U27" s="700">
        <f>H27</f>
        <v>103</v>
      </c>
      <c r="V27" s="699" t="s">
        <v>14</v>
      </c>
      <c r="W27" s="700">
        <f>J27</f>
        <v>103</v>
      </c>
      <c r="X27" s="701"/>
      <c r="Y27" s="3801"/>
      <c r="Z27" s="3444" t="str">
        <f>Q27</f>
        <v>人流量</v>
      </c>
      <c r="AA27" s="3450">
        <f>D27/F27</f>
        <v>0.970873786407767</v>
      </c>
      <c r="AB27" s="3450">
        <f>D27/H27</f>
        <v>0.970873786407767</v>
      </c>
      <c r="AC27" s="3450">
        <f>D27/J27</f>
        <v>0.970873786407767</v>
      </c>
    </row>
    <row r="28" spans="1:29" ht="15.75" thickBot="1">
      <c r="A28" s="378"/>
      <c r="B28" s="374" t="s">
        <v>1783</v>
      </c>
      <c r="C28" s="564" t="s">
        <v>3371</v>
      </c>
      <c r="D28" s="385">
        <v>100</v>
      </c>
      <c r="E28" s="564" t="s">
        <v>3371</v>
      </c>
      <c r="F28" s="411">
        <f>SUMIF(92:92,E28,93:93)-SUMIF(92:92,C28,93:93)+100</f>
        <v>100</v>
      </c>
      <c r="G28" s="564" t="s">
        <v>3371</v>
      </c>
      <c r="H28" s="385">
        <f>SUMIF(92:92,G28,93:93)-SUMIF(92:92,C28,93:93)+100</f>
        <v>100</v>
      </c>
      <c r="I28" s="564" t="s">
        <v>3371</v>
      </c>
      <c r="J28" s="385">
        <f>SUMIF(92:92,I28,93:93)-SUMIF(92:92,C28,93:93)+100</f>
        <v>100</v>
      </c>
      <c r="K28" s="561"/>
      <c r="L28" s="2716"/>
      <c r="M28" s="2710"/>
      <c r="N28" s="2710"/>
      <c r="O28" s="2710"/>
      <c r="P28" s="3808"/>
      <c r="Q28" s="3449" t="str">
        <f t="shared" si="11"/>
        <v>楼层</v>
      </c>
      <c r="R28" s="703" t="s">
        <v>14</v>
      </c>
      <c r="S28" s="704">
        <f t="shared" ref="S28:S46" si="12">F28</f>
        <v>100</v>
      </c>
      <c r="T28" s="703" t="s">
        <v>14</v>
      </c>
      <c r="U28" s="704">
        <f t="shared" ref="U28:U46" si="13">H28</f>
        <v>100</v>
      </c>
      <c r="V28" s="703" t="s">
        <v>14</v>
      </c>
      <c r="W28" s="704">
        <f t="shared" ref="W28:W46" si="14">J28</f>
        <v>100</v>
      </c>
      <c r="X28" s="3446"/>
      <c r="Y28" s="3801"/>
      <c r="Z28" s="3447" t="str">
        <f t="shared" ref="Z28:Z46" si="15">Q28</f>
        <v>楼层</v>
      </c>
      <c r="AA28" s="3450">
        <f t="shared" si="3"/>
        <v>1</v>
      </c>
      <c r="AB28" s="3450">
        <f t="shared" si="4"/>
        <v>1</v>
      </c>
      <c r="AC28" s="3450">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08"/>
      <c r="Q29" s="3449">
        <f t="shared" si="11"/>
        <v>111</v>
      </c>
      <c r="R29" s="703" t="s">
        <v>14</v>
      </c>
      <c r="S29" s="704">
        <f t="shared" si="12"/>
        <v>100</v>
      </c>
      <c r="T29" s="703" t="s">
        <v>14</v>
      </c>
      <c r="U29" s="704">
        <f t="shared" si="13"/>
        <v>100</v>
      </c>
      <c r="V29" s="703" t="s">
        <v>14</v>
      </c>
      <c r="W29" s="704">
        <f t="shared" si="14"/>
        <v>100</v>
      </c>
      <c r="X29" s="3446"/>
      <c r="Y29" s="3801"/>
      <c r="Z29" s="3447">
        <f t="shared" si="15"/>
        <v>111</v>
      </c>
      <c r="AA29" s="3450">
        <f t="shared" si="3"/>
        <v>1</v>
      </c>
      <c r="AB29" s="3450">
        <f t="shared" si="4"/>
        <v>1</v>
      </c>
      <c r="AC29" s="3450">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08"/>
      <c r="Q30" s="3449">
        <f t="shared" si="11"/>
        <v>111</v>
      </c>
      <c r="R30" s="703" t="s">
        <v>14</v>
      </c>
      <c r="S30" s="704">
        <f t="shared" si="12"/>
        <v>100</v>
      </c>
      <c r="T30" s="703" t="s">
        <v>14</v>
      </c>
      <c r="U30" s="704">
        <f t="shared" si="13"/>
        <v>100</v>
      </c>
      <c r="V30" s="703" t="s">
        <v>14</v>
      </c>
      <c r="W30" s="704">
        <f t="shared" si="14"/>
        <v>100</v>
      </c>
      <c r="X30" s="3446"/>
      <c r="Y30" s="3801"/>
      <c r="Z30" s="3447">
        <f t="shared" si="15"/>
        <v>111</v>
      </c>
      <c r="AA30" s="3450">
        <f t="shared" si="3"/>
        <v>1</v>
      </c>
      <c r="AB30" s="3450">
        <f t="shared" si="4"/>
        <v>1</v>
      </c>
      <c r="AC30" s="3450">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08"/>
      <c r="Q31" s="3449">
        <f t="shared" si="11"/>
        <v>111</v>
      </c>
      <c r="R31" s="703" t="s">
        <v>14</v>
      </c>
      <c r="S31" s="704">
        <f t="shared" si="12"/>
        <v>100</v>
      </c>
      <c r="T31" s="703" t="s">
        <v>14</v>
      </c>
      <c r="U31" s="704">
        <f t="shared" si="13"/>
        <v>100</v>
      </c>
      <c r="V31" s="703" t="s">
        <v>14</v>
      </c>
      <c r="W31" s="704">
        <f t="shared" si="14"/>
        <v>100</v>
      </c>
      <c r="X31" s="3446"/>
      <c r="Y31" s="3801"/>
      <c r="Z31" s="3447">
        <f t="shared" si="15"/>
        <v>111</v>
      </c>
      <c r="AA31" s="3450">
        <f t="shared" si="3"/>
        <v>1</v>
      </c>
      <c r="AB31" s="3450">
        <f t="shared" si="4"/>
        <v>1</v>
      </c>
      <c r="AC31" s="3450">
        <f t="shared" si="5"/>
        <v>1</v>
      </c>
    </row>
    <row r="32" spans="1:29" ht="15">
      <c r="A32" s="390" t="s">
        <v>1694</v>
      </c>
      <c r="B32" s="62" t="s">
        <v>1784</v>
      </c>
      <c r="C32" s="1906" t="s">
        <v>3501</v>
      </c>
      <c r="D32" s="417">
        <v>100</v>
      </c>
      <c r="E32" s="1906" t="s">
        <v>3531</v>
      </c>
      <c r="F32" s="411">
        <f>SUMIF(100:100,E32,101:101)-SUMIF(100:100,C32,101:101)+100</f>
        <v>105</v>
      </c>
      <c r="G32" s="1906" t="s">
        <v>3531</v>
      </c>
      <c r="H32" s="385">
        <f>SUMIF(100:100,G32,101:101)-SUMIF(100:100,C32,101:101)+100</f>
        <v>105</v>
      </c>
      <c r="I32" s="1906" t="s">
        <v>3531</v>
      </c>
      <c r="J32" s="417">
        <f>SUMIF(100:100,I32,101:101)-SUMIF(100:100,C32,101:101)+100</f>
        <v>105</v>
      </c>
      <c r="K32" s="560">
        <v>5</v>
      </c>
      <c r="L32" s="2716"/>
      <c r="M32" s="2710"/>
      <c r="N32" s="2710"/>
      <c r="O32" s="2710"/>
      <c r="P32" s="3802" t="s">
        <v>1696</v>
      </c>
      <c r="Q32" s="3449" t="str">
        <f t="shared" si="11"/>
        <v>商业类型</v>
      </c>
      <c r="R32" s="703" t="s">
        <v>14</v>
      </c>
      <c r="S32" s="704">
        <f t="shared" si="12"/>
        <v>105</v>
      </c>
      <c r="T32" s="703" t="s">
        <v>14</v>
      </c>
      <c r="U32" s="704">
        <f t="shared" si="13"/>
        <v>105</v>
      </c>
      <c r="V32" s="703" t="s">
        <v>14</v>
      </c>
      <c r="W32" s="704">
        <f t="shared" si="14"/>
        <v>105</v>
      </c>
      <c r="X32" s="3446"/>
      <c r="Y32" s="3805" t="s">
        <v>1696</v>
      </c>
      <c r="Z32" s="3447" t="str">
        <f t="shared" si="15"/>
        <v>商业类型</v>
      </c>
      <c r="AA32" s="3450">
        <f t="shared" si="3"/>
        <v>0.95238095238095233</v>
      </c>
      <c r="AB32" s="3450">
        <f t="shared" si="4"/>
        <v>0.95238095238095233</v>
      </c>
      <c r="AC32" s="3450">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5"/>
      <c r="M33" s="2717"/>
      <c r="N33" s="2717"/>
      <c r="O33" s="2717"/>
      <c r="P33" s="3803"/>
      <c r="Q33" s="705" t="str">
        <f t="shared" si="11"/>
        <v>项目建筑规模</v>
      </c>
      <c r="R33" s="706" t="s">
        <v>14</v>
      </c>
      <c r="S33" s="707" t="e">
        <f t="shared" si="12"/>
        <v>#REF!</v>
      </c>
      <c r="T33" s="706" t="s">
        <v>14</v>
      </c>
      <c r="U33" s="707" t="e">
        <f t="shared" si="13"/>
        <v>#REF!</v>
      </c>
      <c r="V33" s="706" t="s">
        <v>14</v>
      </c>
      <c r="W33" s="707" t="e">
        <f t="shared" si="14"/>
        <v>#REF!</v>
      </c>
      <c r="X33" s="708"/>
      <c r="Y33" s="3805"/>
      <c r="Z33" s="709" t="str">
        <f t="shared" si="15"/>
        <v>项目建筑规模</v>
      </c>
      <c r="AA33" s="3450" t="e">
        <f t="shared" si="3"/>
        <v>#REF!</v>
      </c>
      <c r="AB33" s="3450" t="e">
        <f t="shared" si="4"/>
        <v>#REF!</v>
      </c>
      <c r="AC33" s="3450" t="e">
        <f t="shared" si="5"/>
        <v>#REF!</v>
      </c>
    </row>
    <row r="34" spans="1:29" ht="15">
      <c r="A34" s="422"/>
      <c r="B34" s="374" t="s">
        <v>1698</v>
      </c>
      <c r="C34" s="1908" t="s">
        <v>3536</v>
      </c>
      <c r="D34" s="385">
        <v>100</v>
      </c>
      <c r="E34" s="1908" t="s">
        <v>3536</v>
      </c>
      <c r="F34" s="411">
        <f>SUMIF(105:105,E34,106:106)-SUMIF(105:105,C34,106:106)+100</f>
        <v>100</v>
      </c>
      <c r="G34" s="1908" t="s">
        <v>3536</v>
      </c>
      <c r="H34" s="385">
        <f>SUMIF(105:105,G34,106:106)-SUMIF(105:105,C34,106:106)+100</f>
        <v>100</v>
      </c>
      <c r="I34" s="1908" t="s">
        <v>3536</v>
      </c>
      <c r="J34" s="385">
        <f>SUMIF(105:105,I34,106:106)-SUMIF(105:105,C34,106:106)+100</f>
        <v>100</v>
      </c>
      <c r="K34" s="560"/>
      <c r="L34" s="2716"/>
      <c r="M34" s="2710"/>
      <c r="N34" s="2710"/>
      <c r="O34" s="2710"/>
      <c r="P34" s="3803"/>
      <c r="Q34" s="3449" t="str">
        <f t="shared" si="11"/>
        <v>建筑结构</v>
      </c>
      <c r="R34" s="703" t="s">
        <v>14</v>
      </c>
      <c r="S34" s="704">
        <f t="shared" si="12"/>
        <v>100</v>
      </c>
      <c r="T34" s="703" t="s">
        <v>14</v>
      </c>
      <c r="U34" s="704">
        <f t="shared" si="13"/>
        <v>100</v>
      </c>
      <c r="V34" s="703" t="s">
        <v>14</v>
      </c>
      <c r="W34" s="704">
        <f t="shared" si="14"/>
        <v>100</v>
      </c>
      <c r="X34" s="3446"/>
      <c r="Y34" s="3805"/>
      <c r="Z34" s="3447" t="str">
        <f t="shared" si="15"/>
        <v>建筑结构</v>
      </c>
      <c r="AA34" s="3450">
        <f t="shared" si="3"/>
        <v>1</v>
      </c>
      <c r="AB34" s="3450">
        <f t="shared" si="4"/>
        <v>1</v>
      </c>
      <c r="AC34" s="3450">
        <f t="shared" si="5"/>
        <v>1</v>
      </c>
    </row>
    <row r="35" spans="1:29" ht="15">
      <c r="A35" s="422"/>
      <c r="B35" s="374" t="s">
        <v>1785</v>
      </c>
      <c r="C35" s="1902" t="s">
        <v>3559</v>
      </c>
      <c r="D35" s="385">
        <v>100</v>
      </c>
      <c r="E35" s="1902" t="s">
        <v>3559</v>
      </c>
      <c r="F35" s="411">
        <f>SUMIF(107:107,E35,108:108)-SUMIF(107:107,C35,108:108)+100</f>
        <v>100</v>
      </c>
      <c r="G35" s="1902" t="s">
        <v>3559</v>
      </c>
      <c r="H35" s="385">
        <f>SUMIF(107:107,G35,108:108)-SUMIF(107:107,C35,108:108)+100</f>
        <v>100</v>
      </c>
      <c r="I35" s="1902" t="s">
        <v>3559</v>
      </c>
      <c r="J35" s="385">
        <f>SUMIF(107:107,I35,108:108)-SUMIF(107:107,C35,108:108)+100</f>
        <v>100</v>
      </c>
      <c r="K35" s="560"/>
      <c r="L35" s="2716"/>
      <c r="M35" s="2710"/>
      <c r="N35" s="2710"/>
      <c r="O35" s="2710"/>
      <c r="P35" s="3803"/>
      <c r="Q35" s="3449" t="str">
        <f t="shared" si="11"/>
        <v>公共部分装修</v>
      </c>
      <c r="R35" s="703" t="s">
        <v>14</v>
      </c>
      <c r="S35" s="704">
        <f t="shared" si="12"/>
        <v>100</v>
      </c>
      <c r="T35" s="703" t="s">
        <v>14</v>
      </c>
      <c r="U35" s="704">
        <f t="shared" si="13"/>
        <v>100</v>
      </c>
      <c r="V35" s="703" t="s">
        <v>14</v>
      </c>
      <c r="W35" s="704">
        <f t="shared" si="14"/>
        <v>100</v>
      </c>
      <c r="X35" s="3446"/>
      <c r="Y35" s="3805"/>
      <c r="Z35" s="3447" t="str">
        <f t="shared" si="15"/>
        <v>公共部分装修</v>
      </c>
      <c r="AA35" s="3450">
        <f t="shared" si="3"/>
        <v>1</v>
      </c>
      <c r="AB35" s="3450">
        <f t="shared" si="4"/>
        <v>1</v>
      </c>
      <c r="AC35" s="34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03"/>
      <c r="Q36" s="3449" t="str">
        <f t="shared" si="11"/>
        <v>成新度</v>
      </c>
      <c r="R36" s="703" t="s">
        <v>14</v>
      </c>
      <c r="S36" s="704">
        <f t="shared" si="12"/>
        <v>100</v>
      </c>
      <c r="T36" s="703" t="s">
        <v>14</v>
      </c>
      <c r="U36" s="704">
        <f t="shared" si="13"/>
        <v>100</v>
      </c>
      <c r="V36" s="703" t="s">
        <v>14</v>
      </c>
      <c r="W36" s="704">
        <f t="shared" si="14"/>
        <v>100</v>
      </c>
      <c r="X36" s="3446"/>
      <c r="Y36" s="3805"/>
      <c r="Z36" s="3447" t="str">
        <f t="shared" si="15"/>
        <v>成新度</v>
      </c>
      <c r="AA36" s="3450">
        <f t="shared" si="3"/>
        <v>1</v>
      </c>
      <c r="AB36" s="3450">
        <f t="shared" si="4"/>
        <v>1</v>
      </c>
      <c r="AC36" s="3450">
        <f t="shared" si="5"/>
        <v>1</v>
      </c>
    </row>
    <row r="37" spans="1:29" s="107" customFormat="1" ht="15">
      <c r="A37" s="423"/>
      <c r="B37" s="374" t="s">
        <v>1787</v>
      </c>
      <c r="C37" s="1902" t="s">
        <v>3557</v>
      </c>
      <c r="D37" s="126">
        <v>100</v>
      </c>
      <c r="E37" s="1902" t="s">
        <v>3557</v>
      </c>
      <c r="F37" s="411">
        <f>SUMIF(112:112,E37,113:113)-SUMIF(112:112,C37,113:113)+100</f>
        <v>100</v>
      </c>
      <c r="G37" s="1902" t="s">
        <v>3557</v>
      </c>
      <c r="H37" s="385">
        <f>SUMIF(112:112,G37,113:113)-SUMIF(112:112,C37,113:113)+100</f>
        <v>100</v>
      </c>
      <c r="I37" s="1902" t="s">
        <v>3557</v>
      </c>
      <c r="J37" s="385">
        <f>SUMIF(112:112,I37,113:113)-SUMIF(112:112,C37,113:113)+100</f>
        <v>100</v>
      </c>
      <c r="K37" s="560"/>
      <c r="L37" s="2711"/>
      <c r="M37" s="2712"/>
      <c r="N37" s="2712"/>
      <c r="O37" s="2712"/>
      <c r="P37" s="3803"/>
      <c r="Q37" s="3445" t="str">
        <f t="shared" si="11"/>
        <v>市政基础设施</v>
      </c>
      <c r="R37" s="699" t="s">
        <v>14</v>
      </c>
      <c r="S37" s="700">
        <f t="shared" si="12"/>
        <v>100</v>
      </c>
      <c r="T37" s="699" t="s">
        <v>14</v>
      </c>
      <c r="U37" s="700">
        <f t="shared" si="13"/>
        <v>100</v>
      </c>
      <c r="V37" s="699" t="s">
        <v>14</v>
      </c>
      <c r="W37" s="700">
        <f t="shared" si="14"/>
        <v>100</v>
      </c>
      <c r="X37" s="701"/>
      <c r="Y37" s="3805"/>
      <c r="Z37" s="3444" t="str">
        <f t="shared" si="15"/>
        <v>市政基础设施</v>
      </c>
      <c r="AA37" s="702">
        <f t="shared" si="3"/>
        <v>1</v>
      </c>
      <c r="AB37" s="702">
        <f t="shared" si="4"/>
        <v>1</v>
      </c>
      <c r="AC37" s="702">
        <f t="shared" si="5"/>
        <v>1</v>
      </c>
    </row>
    <row r="38" spans="1:29" ht="15" hidden="1">
      <c r="A38" s="422"/>
      <c r="B38" s="374" t="s">
        <v>1788</v>
      </c>
      <c r="C38" s="1902" t="s">
        <v>3553</v>
      </c>
      <c r="D38" s="385">
        <v>100</v>
      </c>
      <c r="E38" s="1902" t="s">
        <v>3555</v>
      </c>
      <c r="F38" s="411">
        <f>SUMIF(114:114,E38,115:115)-SUMIF(114:114,C38,115:115)+100</f>
        <v>100</v>
      </c>
      <c r="G38" s="1902" t="s">
        <v>3553</v>
      </c>
      <c r="H38" s="385">
        <f>SUMIF(114:114,G38,115:115)-SUMIF(114:114,C38,115:115)+100</f>
        <v>100</v>
      </c>
      <c r="I38" s="1902" t="s">
        <v>3555</v>
      </c>
      <c r="J38" s="385">
        <f>SUMIF(114:114,I38,115:115)-SUMIF(114:114,C38,115:115)+100</f>
        <v>100</v>
      </c>
      <c r="K38" s="560">
        <v>0</v>
      </c>
      <c r="L38" s="2716"/>
      <c r="M38" s="2710"/>
      <c r="N38" s="2710"/>
      <c r="O38" s="2710"/>
      <c r="P38" s="3803" t="s">
        <v>1696</v>
      </c>
      <c r="Q38" s="3449" t="str">
        <f t="shared" si="11"/>
        <v>业态</v>
      </c>
      <c r="R38" s="703" t="s">
        <v>14</v>
      </c>
      <c r="S38" s="704">
        <f t="shared" si="12"/>
        <v>100</v>
      </c>
      <c r="T38" s="703" t="s">
        <v>14</v>
      </c>
      <c r="U38" s="704">
        <f t="shared" si="13"/>
        <v>100</v>
      </c>
      <c r="V38" s="703" t="s">
        <v>14</v>
      </c>
      <c r="W38" s="704">
        <f t="shared" si="14"/>
        <v>100</v>
      </c>
      <c r="X38" s="3446"/>
      <c r="Y38" s="3805" t="s">
        <v>1696</v>
      </c>
      <c r="Z38" s="3447" t="str">
        <f t="shared" si="15"/>
        <v>业态</v>
      </c>
      <c r="AA38" s="3450">
        <f t="shared" si="3"/>
        <v>1</v>
      </c>
      <c r="AB38" s="3450">
        <f t="shared" si="4"/>
        <v>1</v>
      </c>
      <c r="AC38" s="3450">
        <f t="shared" si="5"/>
        <v>1</v>
      </c>
    </row>
    <row r="39" spans="1:29" ht="15">
      <c r="A39" s="422"/>
      <c r="B39" s="374" t="s">
        <v>1789</v>
      </c>
      <c r="C39" s="1902" t="s">
        <v>3561</v>
      </c>
      <c r="D39" s="385">
        <v>100</v>
      </c>
      <c r="E39" s="1902" t="s">
        <v>3561</v>
      </c>
      <c r="F39" s="411">
        <f>SUMIF(116:116,E39,117:117)-SUMIF(116:116,C39,117:117)+100</f>
        <v>100</v>
      </c>
      <c r="G39" s="1902" t="s">
        <v>3561</v>
      </c>
      <c r="H39" s="385">
        <f>SUMIF(116:116,G39,117:117)-SUMIF(116:116,C39,117:117)+100</f>
        <v>100</v>
      </c>
      <c r="I39" s="1902" t="s">
        <v>3561</v>
      </c>
      <c r="J39" s="385">
        <f>SUMIF(116:116,I39,117:117)-SUMIF(116:116,C39,117:117)+100</f>
        <v>100</v>
      </c>
      <c r="K39" s="560"/>
      <c r="L39" s="2716"/>
      <c r="M39" s="2710"/>
      <c r="N39" s="2710"/>
      <c r="O39" s="2710"/>
      <c r="P39" s="3803"/>
      <c r="Q39" s="3449" t="str">
        <f t="shared" si="11"/>
        <v>层高</v>
      </c>
      <c r="R39" s="703" t="s">
        <v>14</v>
      </c>
      <c r="S39" s="704">
        <f t="shared" si="12"/>
        <v>100</v>
      </c>
      <c r="T39" s="703" t="s">
        <v>14</v>
      </c>
      <c r="U39" s="704">
        <f t="shared" si="13"/>
        <v>100</v>
      </c>
      <c r="V39" s="703" t="s">
        <v>14</v>
      </c>
      <c r="W39" s="704">
        <f t="shared" si="14"/>
        <v>100</v>
      </c>
      <c r="X39" s="3446"/>
      <c r="Y39" s="3805"/>
      <c r="Z39" s="3447" t="str">
        <f t="shared" si="15"/>
        <v>层高</v>
      </c>
      <c r="AA39" s="3450">
        <f t="shared" si="3"/>
        <v>1</v>
      </c>
      <c r="AB39" s="3450">
        <f t="shared" si="4"/>
        <v>1</v>
      </c>
      <c r="AC39" s="3450">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03"/>
      <c r="Q40" s="3449" t="str">
        <f t="shared" si="11"/>
        <v>单套建筑面积</v>
      </c>
      <c r="R40" s="703" t="s">
        <v>14</v>
      </c>
      <c r="S40" s="704">
        <f t="shared" si="12"/>
        <v>100</v>
      </c>
      <c r="T40" s="703" t="s">
        <v>14</v>
      </c>
      <c r="U40" s="704">
        <f t="shared" si="13"/>
        <v>100</v>
      </c>
      <c r="V40" s="703" t="s">
        <v>14</v>
      </c>
      <c r="W40" s="704">
        <f t="shared" si="14"/>
        <v>100</v>
      </c>
      <c r="X40" s="3446"/>
      <c r="Y40" s="3805"/>
      <c r="Z40" s="3447" t="str">
        <f t="shared" si="15"/>
        <v>单套建筑面积</v>
      </c>
      <c r="AA40" s="3450">
        <f t="shared" si="3"/>
        <v>1</v>
      </c>
      <c r="AB40" s="3450">
        <f t="shared" si="4"/>
        <v>1</v>
      </c>
      <c r="AC40" s="3450">
        <f t="shared" si="5"/>
        <v>1</v>
      </c>
    </row>
    <row r="41" spans="1:29" s="421" customFormat="1" ht="15" hidden="1">
      <c r="A41" s="418"/>
      <c r="B41" s="3448"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03"/>
      <c r="Q41" s="705" t="str">
        <f t="shared" si="11"/>
        <v>进深比</v>
      </c>
      <c r="R41" s="706" t="s">
        <v>14</v>
      </c>
      <c r="S41" s="707">
        <f t="shared" si="12"/>
        <v>100</v>
      </c>
      <c r="T41" s="706" t="s">
        <v>14</v>
      </c>
      <c r="U41" s="707">
        <f t="shared" si="13"/>
        <v>100</v>
      </c>
      <c r="V41" s="706" t="s">
        <v>14</v>
      </c>
      <c r="W41" s="707">
        <f t="shared" si="14"/>
        <v>100</v>
      </c>
      <c r="X41" s="708"/>
      <c r="Y41" s="3805"/>
      <c r="Z41" s="709" t="str">
        <f t="shared" si="15"/>
        <v>进深比</v>
      </c>
      <c r="AA41" s="3450">
        <f t="shared" si="3"/>
        <v>1</v>
      </c>
      <c r="AB41" s="3450">
        <f t="shared" si="4"/>
        <v>1</v>
      </c>
      <c r="AC41" s="3450">
        <f t="shared" si="5"/>
        <v>1</v>
      </c>
    </row>
    <row r="42" spans="1:29" ht="15">
      <c r="A42" s="422"/>
      <c r="B42" s="374" t="s">
        <v>1792</v>
      </c>
      <c r="C42" s="1902" t="s">
        <v>3563</v>
      </c>
      <c r="D42" s="385">
        <v>100</v>
      </c>
      <c r="E42" s="1902" t="s">
        <v>3563</v>
      </c>
      <c r="F42" s="411">
        <f>SUMIF(122:122,E42,123:123)-SUMIF(122:122,C42,123:123)+100</f>
        <v>100</v>
      </c>
      <c r="G42" s="1902" t="s">
        <v>3563</v>
      </c>
      <c r="H42" s="385">
        <f>SUMIF(122:122,G42,123:123)-SUMIF(122:122,C42,123:123)+100</f>
        <v>100</v>
      </c>
      <c r="I42" s="1902" t="s">
        <v>3563</v>
      </c>
      <c r="J42" s="385">
        <f>SUMIF(122:122,I42,123:123)-SUMIF(122:122,C42,123:123)+100</f>
        <v>100</v>
      </c>
      <c r="K42" s="560"/>
      <c r="L42" s="2716"/>
      <c r="M42" s="2710"/>
      <c r="N42" s="2710"/>
      <c r="O42" s="2710"/>
      <c r="P42" s="3803"/>
      <c r="Q42" s="3449" t="str">
        <f t="shared" si="11"/>
        <v>内部装修</v>
      </c>
      <c r="R42" s="703" t="s">
        <v>14</v>
      </c>
      <c r="S42" s="704">
        <f t="shared" si="12"/>
        <v>100</v>
      </c>
      <c r="T42" s="703" t="s">
        <v>14</v>
      </c>
      <c r="U42" s="704">
        <f t="shared" si="13"/>
        <v>100</v>
      </c>
      <c r="V42" s="703" t="s">
        <v>14</v>
      </c>
      <c r="W42" s="704">
        <f t="shared" si="14"/>
        <v>100</v>
      </c>
      <c r="X42" s="3446"/>
      <c r="Y42" s="3805"/>
      <c r="Z42" s="3447" t="str">
        <f t="shared" si="15"/>
        <v>内部装修</v>
      </c>
      <c r="AA42" s="3450">
        <f t="shared" si="3"/>
        <v>1</v>
      </c>
      <c r="AB42" s="3450">
        <f t="shared" si="4"/>
        <v>1</v>
      </c>
      <c r="AC42" s="34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03"/>
      <c r="Q43" s="3449" t="str">
        <f t="shared" si="11"/>
        <v>内部装修维护情况</v>
      </c>
      <c r="R43" s="703" t="s">
        <v>14</v>
      </c>
      <c r="S43" s="704">
        <f t="shared" si="12"/>
        <v>100</v>
      </c>
      <c r="T43" s="703" t="s">
        <v>14</v>
      </c>
      <c r="U43" s="704">
        <f t="shared" si="13"/>
        <v>100</v>
      </c>
      <c r="V43" s="703" t="s">
        <v>14</v>
      </c>
      <c r="W43" s="704">
        <f t="shared" si="14"/>
        <v>100</v>
      </c>
      <c r="X43" s="3446"/>
      <c r="Y43" s="3805"/>
      <c r="Z43" s="3447" t="str">
        <f t="shared" si="15"/>
        <v>内部装修维护情况</v>
      </c>
      <c r="AA43" s="3450">
        <f t="shared" si="3"/>
        <v>1</v>
      </c>
      <c r="AB43" s="3450">
        <f t="shared" si="4"/>
        <v>1</v>
      </c>
      <c r="AC43" s="34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03"/>
      <c r="Q44" s="3445">
        <f t="shared" si="11"/>
        <v>111</v>
      </c>
      <c r="R44" s="699" t="s">
        <v>14</v>
      </c>
      <c r="S44" s="700">
        <f t="shared" si="12"/>
        <v>100</v>
      </c>
      <c r="T44" s="699" t="s">
        <v>14</v>
      </c>
      <c r="U44" s="700">
        <f t="shared" si="13"/>
        <v>100</v>
      </c>
      <c r="V44" s="699" t="s">
        <v>14</v>
      </c>
      <c r="W44" s="700">
        <f t="shared" si="14"/>
        <v>100</v>
      </c>
      <c r="X44" s="701"/>
      <c r="Y44" s="3805"/>
      <c r="Z44" s="3444">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03"/>
      <c r="Q45" s="3449">
        <f t="shared" si="11"/>
        <v>111</v>
      </c>
      <c r="R45" s="703" t="s">
        <v>14</v>
      </c>
      <c r="S45" s="704">
        <f t="shared" si="12"/>
        <v>100</v>
      </c>
      <c r="T45" s="703" t="s">
        <v>14</v>
      </c>
      <c r="U45" s="704">
        <f t="shared" si="13"/>
        <v>100</v>
      </c>
      <c r="V45" s="703" t="s">
        <v>14</v>
      </c>
      <c r="W45" s="704">
        <f t="shared" si="14"/>
        <v>100</v>
      </c>
      <c r="X45" s="3446"/>
      <c r="Y45" s="3805"/>
      <c r="Z45" s="3447">
        <f t="shared" si="15"/>
        <v>111</v>
      </c>
      <c r="AA45" s="3450">
        <f t="shared" si="3"/>
        <v>1</v>
      </c>
      <c r="AB45" s="3450">
        <f t="shared" si="4"/>
        <v>1</v>
      </c>
      <c r="AC45" s="34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04"/>
      <c r="Q46" s="3449">
        <f t="shared" si="11"/>
        <v>111</v>
      </c>
      <c r="R46" s="703" t="s">
        <v>14</v>
      </c>
      <c r="S46" s="704">
        <f t="shared" si="12"/>
        <v>100</v>
      </c>
      <c r="T46" s="703" t="s">
        <v>14</v>
      </c>
      <c r="U46" s="704">
        <f t="shared" si="13"/>
        <v>100</v>
      </c>
      <c r="V46" s="703" t="s">
        <v>14</v>
      </c>
      <c r="W46" s="704">
        <f t="shared" si="14"/>
        <v>100</v>
      </c>
      <c r="X46" s="3446"/>
      <c r="Y46" s="3806"/>
      <c r="Z46" s="3447">
        <f t="shared" si="15"/>
        <v>111</v>
      </c>
      <c r="AA46" s="3450">
        <f t="shared" si="3"/>
        <v>1</v>
      </c>
      <c r="AB46" s="3450">
        <f t="shared" si="4"/>
        <v>1</v>
      </c>
      <c r="AC46" s="3450">
        <f t="shared" si="5"/>
        <v>1</v>
      </c>
    </row>
    <row r="47" spans="1:29" ht="15">
      <c r="A47" s="429" t="s">
        <v>1708</v>
      </c>
      <c r="B47" s="430"/>
      <c r="C47" s="1151" t="s">
        <v>0</v>
      </c>
      <c r="D47" s="1152"/>
      <c r="E47" s="1153">
        <v>10</v>
      </c>
      <c r="F47" s="1154"/>
      <c r="G47" s="1155">
        <v>11</v>
      </c>
      <c r="H47" s="1156"/>
      <c r="I47" s="1153">
        <v>10.14</v>
      </c>
      <c r="J47" s="1156"/>
      <c r="K47" s="712"/>
      <c r="L47" s="2718"/>
      <c r="M47" s="2719"/>
      <c r="N47" s="2710"/>
      <c r="O47" s="2719"/>
      <c r="P47" s="3798" t="str">
        <f>A47</f>
        <v>成交单价（元/平方米）</v>
      </c>
      <c r="Q47" s="3798"/>
      <c r="R47" s="3829">
        <f>E47</f>
        <v>10</v>
      </c>
      <c r="S47" s="3829"/>
      <c r="T47" s="3829">
        <f>G47</f>
        <v>11</v>
      </c>
      <c r="U47" s="3829"/>
      <c r="V47" s="3829">
        <f>I47</f>
        <v>10.14</v>
      </c>
      <c r="W47" s="3829"/>
      <c r="X47" s="688"/>
      <c r="Y47" s="710"/>
      <c r="Z47" s="688"/>
      <c r="AA47" s="688"/>
      <c r="AB47" s="688"/>
      <c r="AC47" s="688"/>
    </row>
    <row r="48" spans="1:29" ht="15.75" thickBot="1">
      <c r="A48" s="436" t="s">
        <v>1709</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798" t="str">
        <f>A48</f>
        <v>比较价值（元/平方米）</v>
      </c>
      <c r="Q48" s="3798"/>
      <c r="R48" s="3799" t="e">
        <f>IF(F1="售价",ROUND(PRODUCT(R47,AA7:AA46),0),ROUND(PRODUCT(R47,AA7:AA46),1))</f>
        <v>#REF!</v>
      </c>
      <c r="S48" s="3799"/>
      <c r="T48" s="3799" t="e">
        <f>IF(F1="售价",ROUND(PRODUCT(T47,AB7:AB46),0),ROUND(PRODUCT(T47,AB7:AB46),1))</f>
        <v>#REF!</v>
      </c>
      <c r="U48" s="3799"/>
      <c r="V48" s="3799" t="e">
        <f>IF(F1="售价",ROUND(PRODUCT(V47,AC7:AC46),0),ROUND(PRODUCT(V47,AC7:AC46),1))</f>
        <v>#REF!</v>
      </c>
      <c r="W48" s="3799"/>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8"/>
      <c r="M49" s="2719"/>
      <c r="N49" s="2710"/>
      <c r="O49" s="2719"/>
      <c r="P49" s="3795" t="str">
        <f>A49</f>
        <v>估价对象XX用房的比较价值（楼面单价，元/平方米）</v>
      </c>
      <c r="Q49" s="3796"/>
      <c r="R49" s="3797" t="e">
        <f>IF(F1="售价",ROUND(IF(D48="简单平均",AVERAGE(R48:V48),R48*F48+T48*H48+V48*J48),0),ROUND(IF(D48="简单平均",AVERAGE(R48:V48),R48*F48+T48*H48+V48*J48),1))</f>
        <v>#REF!</v>
      </c>
      <c r="S49" s="3797"/>
      <c r="T49" s="3797"/>
      <c r="U49" s="3797"/>
      <c r="V49" s="3797"/>
      <c r="W49" s="3797"/>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1718</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3" t="s">
        <v>3543</v>
      </c>
      <c r="D86" s="3523" t="s">
        <v>3544</v>
      </c>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3523" t="s">
        <v>3552</v>
      </c>
      <c r="D88" s="3523" t="s">
        <v>3551</v>
      </c>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v>100</v>
      </c>
      <c r="D89" s="484">
        <v>95</v>
      </c>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3" t="s">
        <v>3545</v>
      </c>
      <c r="D90" s="3523" t="s">
        <v>3546</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3547</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4" t="s">
        <v>3540</v>
      </c>
      <c r="D100" s="3524" t="s">
        <v>3541</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100</v>
      </c>
      <c r="E103" s="543">
        <v>200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3" t="s">
        <v>3542</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3" t="s">
        <v>3560</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3" t="s">
        <v>3558</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3" t="s">
        <v>3556</v>
      </c>
      <c r="D114" s="3523" t="s">
        <v>3554</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3" t="s">
        <v>3562</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3" t="s">
        <v>3564</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3502</v>
      </c>
      <c r="E1" s="3420"/>
      <c r="F1" s="1875" t="s">
        <v>3533</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23" t="s">
        <v>1771</v>
      </c>
      <c r="S4" s="3824"/>
      <c r="T4" s="3823" t="s">
        <v>1772</v>
      </c>
      <c r="U4" s="3824"/>
      <c r="V4" s="3829" t="s">
        <v>1773</v>
      </c>
      <c r="W4" s="3829"/>
      <c r="X4" s="1352"/>
      <c r="Y4" s="3823" t="s">
        <v>1775</v>
      </c>
      <c r="Z4" s="3824"/>
      <c r="AA4" s="3810" t="s">
        <v>1771</v>
      </c>
      <c r="AB4" s="3829" t="s">
        <v>1772</v>
      </c>
      <c r="AC4" s="3810" t="s">
        <v>1773</v>
      </c>
    </row>
    <row r="5" spans="1:29" ht="15">
      <c r="A5" s="357"/>
      <c r="B5" s="358"/>
      <c r="C5" s="3832" t="s">
        <v>1673</v>
      </c>
      <c r="D5" s="3833"/>
      <c r="E5" s="3841" t="s">
        <v>3522</v>
      </c>
      <c r="F5" s="3840"/>
      <c r="G5" s="3841" t="s">
        <v>3522</v>
      </c>
      <c r="H5" s="3840"/>
      <c r="I5" s="3841" t="s">
        <v>3522</v>
      </c>
      <c r="J5" s="3840"/>
      <c r="K5" s="558"/>
      <c r="L5" s="2709"/>
      <c r="M5" s="2710"/>
      <c r="N5" s="2710"/>
      <c r="O5" s="2710"/>
      <c r="P5" s="3819"/>
      <c r="Q5" s="3820"/>
      <c r="R5" s="3825"/>
      <c r="S5" s="3826"/>
      <c r="T5" s="3825"/>
      <c r="U5" s="3826"/>
      <c r="V5" s="3829"/>
      <c r="W5" s="3829"/>
      <c r="X5" s="1352"/>
      <c r="Y5" s="3825"/>
      <c r="Z5" s="3826"/>
      <c r="AA5" s="3811"/>
      <c r="AB5" s="3829"/>
      <c r="AC5" s="3811"/>
    </row>
    <row r="6" spans="1:29" ht="15.75" thickBot="1">
      <c r="A6" s="359"/>
      <c r="B6" s="360"/>
      <c r="C6" s="3830" t="s">
        <v>1677</v>
      </c>
      <c r="D6" s="3831"/>
      <c r="E6" s="3837" t="s">
        <v>1677</v>
      </c>
      <c r="F6" s="3838"/>
      <c r="G6" s="3830" t="s">
        <v>1677</v>
      </c>
      <c r="H6" s="3831"/>
      <c r="I6" s="3830" t="s">
        <v>1677</v>
      </c>
      <c r="J6" s="3831"/>
      <c r="K6" s="558" t="s">
        <v>1678</v>
      </c>
      <c r="L6" s="2709"/>
      <c r="M6" s="2710"/>
      <c r="N6" s="2710"/>
      <c r="O6" s="2710"/>
      <c r="P6" s="3821"/>
      <c r="Q6" s="3822"/>
      <c r="R6" s="3825"/>
      <c r="S6" s="3826"/>
      <c r="T6" s="3827"/>
      <c r="U6" s="3828"/>
      <c r="V6" s="3829"/>
      <c r="W6" s="3829"/>
      <c r="X6" s="1352"/>
      <c r="Y6" s="3827"/>
      <c r="Z6" s="3828"/>
      <c r="AA6" s="3812"/>
      <c r="AB6" s="3829"/>
      <c r="AC6" s="3812"/>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1"/>
      <c r="M7" s="2712"/>
      <c r="N7" s="2712"/>
      <c r="O7" s="2712"/>
      <c r="P7" s="3834" t="s">
        <v>1680</v>
      </c>
      <c r="Q7" s="3836"/>
      <c r="R7" s="699" t="s">
        <v>14</v>
      </c>
      <c r="S7" s="700">
        <f t="shared" ref="S7:S15" si="0">F7</f>
        <v>100</v>
      </c>
      <c r="T7" s="699" t="s">
        <v>14</v>
      </c>
      <c r="U7" s="700">
        <f t="shared" ref="U7:U15" si="1">H7</f>
        <v>100</v>
      </c>
      <c r="V7" s="699" t="s">
        <v>14</v>
      </c>
      <c r="W7" s="700">
        <f t="shared" ref="W7:W15" si="2">J7</f>
        <v>100</v>
      </c>
      <c r="X7" s="701"/>
      <c r="Y7" s="3834" t="s">
        <v>1680</v>
      </c>
      <c r="Z7" s="3835"/>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834" t="s">
        <v>1683</v>
      </c>
      <c r="Q8" s="3835"/>
      <c r="R8" s="699" t="s">
        <v>14</v>
      </c>
      <c r="S8" s="700">
        <f t="shared" si="0"/>
        <v>100</v>
      </c>
      <c r="T8" s="699" t="s">
        <v>14</v>
      </c>
      <c r="U8" s="700">
        <f t="shared" si="1"/>
        <v>100</v>
      </c>
      <c r="V8" s="699" t="s">
        <v>14</v>
      </c>
      <c r="W8" s="700">
        <f t="shared" si="2"/>
        <v>100</v>
      </c>
      <c r="X8" s="701"/>
      <c r="Y8" s="3834" t="s">
        <v>1683</v>
      </c>
      <c r="Z8" s="3835"/>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09" t="s">
        <v>1686</v>
      </c>
      <c r="Q9" s="1340"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809"/>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09"/>
      <c r="Q11" s="1340" t="str">
        <f t="shared" si="6"/>
        <v>容积率</v>
      </c>
      <c r="R11" s="699" t="s">
        <v>14</v>
      </c>
      <c r="S11" s="700">
        <f t="shared" si="0"/>
        <v>100</v>
      </c>
      <c r="T11" s="699" t="s">
        <v>14</v>
      </c>
      <c r="U11" s="700">
        <f t="shared" si="1"/>
        <v>100</v>
      </c>
      <c r="V11" s="699" t="s">
        <v>14</v>
      </c>
      <c r="W11" s="700">
        <f t="shared" si="2"/>
        <v>100</v>
      </c>
      <c r="X11" s="701"/>
      <c r="Y11" s="3673"/>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09"/>
      <c r="Q12" s="1340">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09"/>
      <c r="Q13" s="1340">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09"/>
      <c r="Q14" s="1340">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07" t="s">
        <v>1691</v>
      </c>
      <c r="Q15" s="1349" t="str">
        <f t="shared" si="6"/>
        <v>商业繁华度</v>
      </c>
      <c r="R15" s="703" t="s">
        <v>14</v>
      </c>
      <c r="S15" s="704">
        <f t="shared" si="0"/>
        <v>105</v>
      </c>
      <c r="T15" s="703" t="s">
        <v>14</v>
      </c>
      <c r="U15" s="704">
        <f t="shared" si="1"/>
        <v>105</v>
      </c>
      <c r="V15" s="703" t="s">
        <v>14</v>
      </c>
      <c r="W15" s="704">
        <f t="shared" si="2"/>
        <v>105</v>
      </c>
      <c r="X15" s="1352"/>
      <c r="Y15" s="3800"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3511</v>
      </c>
      <c r="D16" s="398"/>
      <c r="E16" s="397" t="s">
        <v>3514</v>
      </c>
      <c r="F16" s="399"/>
      <c r="G16" s="397" t="s">
        <v>3514</v>
      </c>
      <c r="H16" s="400"/>
      <c r="I16" s="397" t="s">
        <v>3514</v>
      </c>
      <c r="J16" s="398"/>
      <c r="K16" s="563"/>
      <c r="L16" s="2716"/>
      <c r="M16" s="2710"/>
      <c r="N16" s="2710"/>
      <c r="O16" s="2710"/>
      <c r="P16" s="3808"/>
      <c r="Q16" s="1349"/>
      <c r="R16" s="703"/>
      <c r="S16" s="704"/>
      <c r="T16" s="703"/>
      <c r="U16" s="704"/>
      <c r="V16" s="703"/>
      <c r="W16" s="704"/>
      <c r="X16" s="1352"/>
      <c r="Y16" s="3801"/>
      <c r="Z16" s="1353"/>
      <c r="AA16" s="1350">
        <v>1</v>
      </c>
      <c r="AB16" s="1350">
        <v>1</v>
      </c>
      <c r="AC16" s="1350">
        <v>1</v>
      </c>
    </row>
    <row r="17" spans="1:29" ht="36" customHeight="1">
      <c r="A17" s="378"/>
      <c r="B17" s="401" t="s">
        <v>1259</v>
      </c>
      <c r="C17" s="1896" t="str">
        <f>估价对象房地状况!C6</f>
        <v>估价对象周边有M1、M25、M27、336、370、383、快速公交4线等多条公交线路，周边道路网线较密集，通达度较好。综合评价交通便捷度较好。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08"/>
      <c r="Q17" s="1349" t="str">
        <f>B17</f>
        <v>交通便捷度</v>
      </c>
      <c r="R17" s="703" t="s">
        <v>14</v>
      </c>
      <c r="S17" s="704">
        <f>F17</f>
        <v>102</v>
      </c>
      <c r="T17" s="703" t="s">
        <v>14</v>
      </c>
      <c r="U17" s="704">
        <f>H17</f>
        <v>102</v>
      </c>
      <c r="V17" s="703" t="s">
        <v>14</v>
      </c>
      <c r="W17" s="704">
        <f>J17</f>
        <v>102</v>
      </c>
      <c r="X17" s="1352"/>
      <c r="Y17" s="3801"/>
      <c r="Z17" s="1353" t="str">
        <f>Q17</f>
        <v>交通便捷度</v>
      </c>
      <c r="AA17" s="1350">
        <f t="shared" si="3"/>
        <v>0.98039215686274506</v>
      </c>
      <c r="AB17" s="1350">
        <f t="shared" si="4"/>
        <v>0.98039215686274506</v>
      </c>
      <c r="AC17" s="1350">
        <f t="shared" si="5"/>
        <v>0.98039215686274506</v>
      </c>
    </row>
    <row r="18" spans="1:29" ht="15">
      <c r="A18" s="378"/>
      <c r="B18" s="406"/>
      <c r="C18" s="1897" t="s">
        <v>3511</v>
      </c>
      <c r="D18" s="400"/>
      <c r="E18" s="1897" t="s">
        <v>3514</v>
      </c>
      <c r="F18" s="403"/>
      <c r="G18" s="1897" t="s">
        <v>3514</v>
      </c>
      <c r="H18" s="398"/>
      <c r="I18" s="1897" t="s">
        <v>3514</v>
      </c>
      <c r="J18" s="398"/>
      <c r="K18" s="563"/>
      <c r="L18" s="2716"/>
      <c r="M18" s="2710"/>
      <c r="N18" s="2710"/>
      <c r="O18" s="2710"/>
      <c r="P18" s="3808"/>
      <c r="Q18" s="1349"/>
      <c r="R18" s="703"/>
      <c r="S18" s="704"/>
      <c r="T18" s="703"/>
      <c r="U18" s="704"/>
      <c r="V18" s="703"/>
      <c r="W18" s="704"/>
      <c r="X18" s="1352"/>
      <c r="Y18" s="3801"/>
      <c r="Z18" s="1353"/>
      <c r="AA18" s="1350">
        <v>1</v>
      </c>
      <c r="AB18" s="1350">
        <v>1</v>
      </c>
      <c r="AC18" s="1350">
        <v>1</v>
      </c>
    </row>
    <row r="19" spans="1:29" ht="62.25" customHeight="1">
      <c r="A19" s="378"/>
      <c r="B19" s="401" t="s">
        <v>1778</v>
      </c>
      <c r="C19" s="1896"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08"/>
      <c r="Q19" s="1349" t="str">
        <f>B19</f>
        <v>公共配套设施</v>
      </c>
      <c r="R19" s="703" t="s">
        <v>14</v>
      </c>
      <c r="S19" s="704">
        <f>F19</f>
        <v>100</v>
      </c>
      <c r="T19" s="703" t="s">
        <v>14</v>
      </c>
      <c r="U19" s="704">
        <f>H19</f>
        <v>100</v>
      </c>
      <c r="V19" s="703" t="s">
        <v>14</v>
      </c>
      <c r="W19" s="704">
        <f>J19</f>
        <v>100</v>
      </c>
      <c r="X19" s="1352"/>
      <c r="Y19" s="3801"/>
      <c r="Z19" s="1353" t="str">
        <f>Q19</f>
        <v>公共配套设施</v>
      </c>
      <c r="AA19" s="1350">
        <f t="shared" si="3"/>
        <v>1</v>
      </c>
      <c r="AB19" s="1350">
        <f t="shared" si="4"/>
        <v>1</v>
      </c>
      <c r="AC19" s="1350">
        <f t="shared" si="5"/>
        <v>1</v>
      </c>
    </row>
    <row r="20" spans="1:29" ht="15">
      <c r="A20" s="378"/>
      <c r="B20" s="406"/>
      <c r="C20" s="397" t="s">
        <v>3514</v>
      </c>
      <c r="D20" s="398"/>
      <c r="E20" s="397" t="s">
        <v>3514</v>
      </c>
      <c r="F20" s="399"/>
      <c r="G20" s="397" t="s">
        <v>3514</v>
      </c>
      <c r="H20" s="398"/>
      <c r="I20" s="397" t="s">
        <v>3514</v>
      </c>
      <c r="J20" s="398"/>
      <c r="K20" s="563"/>
      <c r="L20" s="2716"/>
      <c r="M20" s="2710"/>
      <c r="N20" s="2710"/>
      <c r="O20" s="2710"/>
      <c r="P20" s="3808"/>
      <c r="Q20" s="1349"/>
      <c r="R20" s="703"/>
      <c r="S20" s="704"/>
      <c r="T20" s="703"/>
      <c r="U20" s="704"/>
      <c r="V20" s="703"/>
      <c r="W20" s="704"/>
      <c r="X20" s="1352"/>
      <c r="Y20" s="3801"/>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08"/>
      <c r="Q21" s="1349" t="str">
        <f>B21</f>
        <v>基础设施水平</v>
      </c>
      <c r="R21" s="703" t="s">
        <v>14</v>
      </c>
      <c r="S21" s="704">
        <f>F21</f>
        <v>100</v>
      </c>
      <c r="T21" s="703" t="s">
        <v>14</v>
      </c>
      <c r="U21" s="704">
        <f>H21</f>
        <v>100</v>
      </c>
      <c r="V21" s="703" t="s">
        <v>14</v>
      </c>
      <c r="W21" s="704">
        <f>J21</f>
        <v>100</v>
      </c>
      <c r="X21" s="1352"/>
      <c r="Y21" s="3801"/>
      <c r="Z21" s="1353" t="str">
        <f>Q21</f>
        <v>基础设施水平</v>
      </c>
      <c r="AA21" s="1350">
        <f t="shared" ref="AA21" si="8">D21/F21</f>
        <v>1</v>
      </c>
      <c r="AB21" s="1350">
        <f t="shared" ref="AB21" si="9">D21/H21</f>
        <v>1</v>
      </c>
      <c r="AC21" s="1350">
        <f t="shared" ref="AC21" si="10">D21/J21</f>
        <v>1</v>
      </c>
    </row>
    <row r="22" spans="1:29" ht="15">
      <c r="A22" s="378"/>
      <c r="B22" s="1128"/>
      <c r="C22" s="1897" t="s">
        <v>3523</v>
      </c>
      <c r="D22" s="398"/>
      <c r="E22" s="1897" t="s">
        <v>3523</v>
      </c>
      <c r="F22" s="399"/>
      <c r="G22" s="1897" t="s">
        <v>3523</v>
      </c>
      <c r="H22" s="398"/>
      <c r="I22" s="1897" t="s">
        <v>3523</v>
      </c>
      <c r="J22" s="398"/>
      <c r="K22" s="1127"/>
      <c r="L22" s="2716"/>
      <c r="M22" s="2710"/>
      <c r="N22" s="2710"/>
      <c r="O22" s="2710"/>
      <c r="P22" s="3808"/>
      <c r="Q22" s="1349"/>
      <c r="R22" s="703"/>
      <c r="S22" s="704"/>
      <c r="T22" s="703"/>
      <c r="U22" s="704"/>
      <c r="V22" s="703"/>
      <c r="W22" s="704"/>
      <c r="X22" s="1352"/>
      <c r="Y22" s="3801"/>
      <c r="Z22" s="1353"/>
      <c r="AA22" s="1350">
        <v>1</v>
      </c>
      <c r="AB22" s="1350">
        <v>1</v>
      </c>
      <c r="AC22" s="1350">
        <v>1</v>
      </c>
    </row>
    <row r="23" spans="1:29" ht="32.25" customHeight="1">
      <c r="A23" s="378"/>
      <c r="B23" s="401" t="s">
        <v>1261</v>
      </c>
      <c r="C23" s="1951" t="str">
        <f>估价对象房地状况!C9</f>
        <v>估价对象周边有滨河世纪广场公园、永定河、黑山公园、门头沟体育馆等自然、人文场所，综合评价环境状况较好。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08"/>
      <c r="Q23" s="1349" t="str">
        <f>B23</f>
        <v>自然及人文环境</v>
      </c>
      <c r="R23" s="703" t="s">
        <v>14</v>
      </c>
      <c r="S23" s="704">
        <f>F23</f>
        <v>100</v>
      </c>
      <c r="T23" s="703" t="s">
        <v>14</v>
      </c>
      <c r="U23" s="704">
        <f>H23</f>
        <v>100</v>
      </c>
      <c r="V23" s="703" t="s">
        <v>14</v>
      </c>
      <c r="W23" s="704">
        <f>J23</f>
        <v>100</v>
      </c>
      <c r="X23" s="1352"/>
      <c r="Y23" s="3801"/>
      <c r="Z23" s="1353" t="str">
        <f>Q23</f>
        <v>自然及人文环境</v>
      </c>
      <c r="AA23" s="1350">
        <f t="shared" si="3"/>
        <v>1</v>
      </c>
      <c r="AB23" s="1350">
        <f t="shared" si="4"/>
        <v>1</v>
      </c>
      <c r="AC23" s="1350">
        <f t="shared" si="5"/>
        <v>1</v>
      </c>
    </row>
    <row r="24" spans="1:29" ht="15">
      <c r="A24" s="378"/>
      <c r="B24" s="406"/>
      <c r="C24" s="397" t="s">
        <v>3511</v>
      </c>
      <c r="D24" s="398"/>
      <c r="E24" s="397" t="s">
        <v>3511</v>
      </c>
      <c r="F24" s="399"/>
      <c r="G24" s="397" t="s">
        <v>3511</v>
      </c>
      <c r="H24" s="398"/>
      <c r="I24" s="397" t="s">
        <v>3511</v>
      </c>
      <c r="J24" s="398"/>
      <c r="K24" s="563"/>
      <c r="L24" s="2716"/>
      <c r="M24" s="2710"/>
      <c r="N24" s="2710"/>
      <c r="O24" s="2710"/>
      <c r="P24" s="3808"/>
      <c r="Q24" s="1349"/>
      <c r="R24" s="703"/>
      <c r="S24" s="704"/>
      <c r="T24" s="703"/>
      <c r="U24" s="704"/>
      <c r="V24" s="703"/>
      <c r="W24" s="704"/>
      <c r="X24" s="1352"/>
      <c r="Y24" s="3801"/>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808"/>
      <c r="Q25" s="1349" t="str">
        <f t="shared" ref="Q25:Q46" si="11">B25</f>
        <v>临街状况</v>
      </c>
      <c r="R25" s="703" t="s">
        <v>14</v>
      </c>
      <c r="S25" s="704">
        <f>F25</f>
        <v>100</v>
      </c>
      <c r="T25" s="703" t="s">
        <v>14</v>
      </c>
      <c r="U25" s="704">
        <f>H25</f>
        <v>100</v>
      </c>
      <c r="V25" s="703" t="s">
        <v>14</v>
      </c>
      <c r="W25" s="704">
        <f>J25</f>
        <v>100</v>
      </c>
      <c r="X25" s="1352"/>
      <c r="Y25" s="3801"/>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808"/>
      <c r="Q26" s="1349" t="str">
        <f t="shared" si="11"/>
        <v>平面位置/可视性</v>
      </c>
      <c r="R26" s="703" t="s">
        <v>14</v>
      </c>
      <c r="S26" s="704">
        <f>F26</f>
        <v>100</v>
      </c>
      <c r="T26" s="703" t="s">
        <v>14</v>
      </c>
      <c r="U26" s="704">
        <f>H26</f>
        <v>100</v>
      </c>
      <c r="V26" s="703" t="s">
        <v>14</v>
      </c>
      <c r="W26" s="704">
        <f>J26</f>
        <v>100</v>
      </c>
      <c r="X26" s="1352"/>
      <c r="Y26" s="3801"/>
      <c r="Z26" s="1353" t="str">
        <f>Q26</f>
        <v>平面位置/可视性</v>
      </c>
      <c r="AA26" s="1350">
        <f t="shared" si="3"/>
        <v>1</v>
      </c>
      <c r="AB26" s="1350">
        <f t="shared" si="4"/>
        <v>1</v>
      </c>
      <c r="AC26" s="1350">
        <f t="shared" si="5"/>
        <v>1</v>
      </c>
    </row>
    <row r="27" spans="1:29" s="107" customFormat="1" ht="15">
      <c r="A27" s="381"/>
      <c r="B27" s="401" t="s">
        <v>1782</v>
      </c>
      <c r="C27" s="1952" t="s">
        <v>3510</v>
      </c>
      <c r="D27" s="412">
        <v>100</v>
      </c>
      <c r="E27" s="1952" t="s">
        <v>3526</v>
      </c>
      <c r="F27" s="414">
        <f>SUMIF(90:90,E27,91:91)-SUMIF(90:90,C27,91:91)+100</f>
        <v>105</v>
      </c>
      <c r="G27" s="1952" t="s">
        <v>3526</v>
      </c>
      <c r="H27" s="412">
        <f>SUMIF(90:90,G27,91:91)-SUMIF(90:90,C27,91:91)+100</f>
        <v>105</v>
      </c>
      <c r="I27" s="1952" t="s">
        <v>3526</v>
      </c>
      <c r="J27" s="412">
        <f>SUMIF(90:90,I27,91:91)-SUMIF(90:90,C27,91:91)+100</f>
        <v>105</v>
      </c>
      <c r="K27" s="560">
        <v>5</v>
      </c>
      <c r="L27" s="2711"/>
      <c r="M27" s="2712"/>
      <c r="N27" s="2712"/>
      <c r="O27" s="2712"/>
      <c r="P27" s="3808"/>
      <c r="Q27" s="1340" t="str">
        <f t="shared" si="11"/>
        <v>人流量</v>
      </c>
      <c r="R27" s="699" t="s">
        <v>14</v>
      </c>
      <c r="S27" s="700">
        <f>F27</f>
        <v>105</v>
      </c>
      <c r="T27" s="699" t="s">
        <v>14</v>
      </c>
      <c r="U27" s="700">
        <f>H27</f>
        <v>105</v>
      </c>
      <c r="V27" s="699" t="s">
        <v>14</v>
      </c>
      <c r="W27" s="700">
        <f>J27</f>
        <v>105</v>
      </c>
      <c r="X27" s="701"/>
      <c r="Y27" s="3801"/>
      <c r="Z27" s="52" t="str">
        <f>Q27</f>
        <v>人流量</v>
      </c>
      <c r="AA27" s="1350">
        <f>D27/F27</f>
        <v>0.95238095238095233</v>
      </c>
      <c r="AB27" s="1350">
        <f>D27/H27</f>
        <v>0.95238095238095233</v>
      </c>
      <c r="AC27" s="1350">
        <f>D27/J27</f>
        <v>0.95238095238095233</v>
      </c>
    </row>
    <row r="28" spans="1:29" ht="15">
      <c r="A28" s="378"/>
      <c r="B28" s="374" t="s">
        <v>1783</v>
      </c>
      <c r="C28" s="564" t="s">
        <v>3371</v>
      </c>
      <c r="D28" s="385">
        <v>100</v>
      </c>
      <c r="E28" s="564" t="s">
        <v>3371</v>
      </c>
      <c r="F28" s="411">
        <f>SUMIF(92:92,E28,93:93)-SUMIF(92:92,C28,93:93)+100</f>
        <v>100</v>
      </c>
      <c r="G28" s="564" t="s">
        <v>3371</v>
      </c>
      <c r="H28" s="385">
        <f>SUMIF(92:92,G28,93:93)-SUMIF(92:92,C28,93:93)+100</f>
        <v>100</v>
      </c>
      <c r="I28" s="564" t="s">
        <v>3371</v>
      </c>
      <c r="J28" s="385">
        <f>SUMIF(92:92,I28,93:93)-SUMIF(92:92,C28,93:93)+100</f>
        <v>100</v>
      </c>
      <c r="K28" s="561"/>
      <c r="L28" s="2716"/>
      <c r="M28" s="2710"/>
      <c r="N28" s="2710"/>
      <c r="O28" s="2710"/>
      <c r="P28" s="3808"/>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01"/>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08"/>
      <c r="Q29" s="1349">
        <f t="shared" si="11"/>
        <v>111</v>
      </c>
      <c r="R29" s="703" t="s">
        <v>14</v>
      </c>
      <c r="S29" s="704">
        <f t="shared" si="12"/>
        <v>100</v>
      </c>
      <c r="T29" s="703" t="s">
        <v>14</v>
      </c>
      <c r="U29" s="704">
        <f t="shared" si="13"/>
        <v>100</v>
      </c>
      <c r="V29" s="703" t="s">
        <v>14</v>
      </c>
      <c r="W29" s="704">
        <f t="shared" si="14"/>
        <v>100</v>
      </c>
      <c r="X29" s="1352"/>
      <c r="Y29" s="3801"/>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08"/>
      <c r="Q30" s="1349">
        <f t="shared" si="11"/>
        <v>111</v>
      </c>
      <c r="R30" s="703" t="s">
        <v>14</v>
      </c>
      <c r="S30" s="704">
        <f t="shared" si="12"/>
        <v>100</v>
      </c>
      <c r="T30" s="703" t="s">
        <v>14</v>
      </c>
      <c r="U30" s="704">
        <f t="shared" si="13"/>
        <v>100</v>
      </c>
      <c r="V30" s="703" t="s">
        <v>14</v>
      </c>
      <c r="W30" s="704">
        <f t="shared" si="14"/>
        <v>100</v>
      </c>
      <c r="X30" s="1352"/>
      <c r="Y30" s="3801"/>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08"/>
      <c r="Q31" s="1349">
        <f t="shared" si="11"/>
        <v>111</v>
      </c>
      <c r="R31" s="703" t="s">
        <v>14</v>
      </c>
      <c r="S31" s="704">
        <f t="shared" si="12"/>
        <v>100</v>
      </c>
      <c r="T31" s="703" t="s">
        <v>14</v>
      </c>
      <c r="U31" s="704">
        <f t="shared" si="13"/>
        <v>100</v>
      </c>
      <c r="V31" s="703" t="s">
        <v>14</v>
      </c>
      <c r="W31" s="704">
        <f t="shared" si="14"/>
        <v>100</v>
      </c>
      <c r="X31" s="1352"/>
      <c r="Y31" s="3801"/>
      <c r="Z31" s="1353">
        <f t="shared" si="15"/>
        <v>111</v>
      </c>
      <c r="AA31" s="1350">
        <f t="shared" si="3"/>
        <v>1</v>
      </c>
      <c r="AB31" s="1350">
        <f t="shared" si="4"/>
        <v>1</v>
      </c>
      <c r="AC31" s="1350">
        <f t="shared" si="5"/>
        <v>1</v>
      </c>
    </row>
    <row r="32" spans="1:29" ht="15">
      <c r="A32" s="390" t="s">
        <v>1694</v>
      </c>
      <c r="B32" s="62" t="s">
        <v>1784</v>
      </c>
      <c r="C32" s="1906" t="s">
        <v>3501</v>
      </c>
      <c r="D32" s="417">
        <v>100</v>
      </c>
      <c r="E32" s="1906" t="s">
        <v>3531</v>
      </c>
      <c r="F32" s="411">
        <f>SUMIF(100:100,E32,101:101)-SUMIF(100:100,C32,101:101)+100</f>
        <v>102</v>
      </c>
      <c r="G32" s="1906" t="s">
        <v>3531</v>
      </c>
      <c r="H32" s="385">
        <f>SUMIF(100:100,G32,101:101)-SUMIF(100:100,C32,101:101)+100</f>
        <v>102</v>
      </c>
      <c r="I32" s="1906" t="s">
        <v>3531</v>
      </c>
      <c r="J32" s="417">
        <f>SUMIF(100:100,I32,101:101)-SUMIF(100:100,C32,101:101)+100</f>
        <v>102</v>
      </c>
      <c r="K32" s="560">
        <v>2</v>
      </c>
      <c r="L32" s="2716"/>
      <c r="M32" s="2710"/>
      <c r="N32" s="2710"/>
      <c r="O32" s="2710"/>
      <c r="P32" s="3802" t="s">
        <v>1696</v>
      </c>
      <c r="Q32" s="1349" t="str">
        <f t="shared" si="11"/>
        <v>商业类型</v>
      </c>
      <c r="R32" s="703" t="s">
        <v>14</v>
      </c>
      <c r="S32" s="704">
        <f t="shared" si="12"/>
        <v>102</v>
      </c>
      <c r="T32" s="703" t="s">
        <v>14</v>
      </c>
      <c r="U32" s="704">
        <f t="shared" si="13"/>
        <v>102</v>
      </c>
      <c r="V32" s="703" t="s">
        <v>14</v>
      </c>
      <c r="W32" s="704">
        <f t="shared" si="14"/>
        <v>102</v>
      </c>
      <c r="X32" s="1352"/>
      <c r="Y32" s="3805"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5"/>
      <c r="M33" s="2717"/>
      <c r="N33" s="2717"/>
      <c r="O33" s="2717"/>
      <c r="P33" s="3803"/>
      <c r="Q33" s="705" t="str">
        <f t="shared" si="11"/>
        <v>项目建筑规模</v>
      </c>
      <c r="R33" s="706" t="s">
        <v>14</v>
      </c>
      <c r="S33" s="707" t="e">
        <f t="shared" si="12"/>
        <v>#REF!</v>
      </c>
      <c r="T33" s="706" t="s">
        <v>14</v>
      </c>
      <c r="U33" s="707" t="e">
        <f t="shared" si="13"/>
        <v>#REF!</v>
      </c>
      <c r="V33" s="706" t="s">
        <v>14</v>
      </c>
      <c r="W33" s="707" t="e">
        <f t="shared" si="14"/>
        <v>#REF!</v>
      </c>
      <c r="X33" s="708"/>
      <c r="Y33" s="3805"/>
      <c r="Z33" s="709" t="str">
        <f t="shared" si="15"/>
        <v>项目建筑规模</v>
      </c>
      <c r="AA33" s="1350" t="e">
        <f t="shared" si="3"/>
        <v>#REF!</v>
      </c>
      <c r="AB33" s="1350" t="e">
        <f t="shared" si="4"/>
        <v>#REF!</v>
      </c>
      <c r="AC33" s="1350" t="e">
        <f t="shared" si="5"/>
        <v>#REF!</v>
      </c>
    </row>
    <row r="34" spans="1:29" ht="15">
      <c r="A34" s="422"/>
      <c r="B34" s="374" t="s">
        <v>1698</v>
      </c>
      <c r="C34" s="1908" t="s">
        <v>3536</v>
      </c>
      <c r="D34" s="385">
        <v>100</v>
      </c>
      <c r="E34" s="1908" t="s">
        <v>3536</v>
      </c>
      <c r="F34" s="411">
        <f>SUMIF(105:105,E34,106:106)-SUMIF(105:105,C34,106:106)+100</f>
        <v>100</v>
      </c>
      <c r="G34" s="1908" t="s">
        <v>3536</v>
      </c>
      <c r="H34" s="385">
        <f>SUMIF(105:105,G34,106:106)-SUMIF(105:105,C34,106:106)+100</f>
        <v>100</v>
      </c>
      <c r="I34" s="1908" t="s">
        <v>3536</v>
      </c>
      <c r="J34" s="385">
        <f>SUMIF(105:105,I34,106:106)-SUMIF(105:105,C34,106:106)+100</f>
        <v>100</v>
      </c>
      <c r="K34" s="560"/>
      <c r="L34" s="2716"/>
      <c r="M34" s="2710"/>
      <c r="N34" s="2710"/>
      <c r="O34" s="2710"/>
      <c r="P34" s="3803"/>
      <c r="Q34" s="1349" t="str">
        <f t="shared" si="11"/>
        <v>建筑结构</v>
      </c>
      <c r="R34" s="703" t="s">
        <v>14</v>
      </c>
      <c r="S34" s="704">
        <f t="shared" si="12"/>
        <v>100</v>
      </c>
      <c r="T34" s="703" t="s">
        <v>14</v>
      </c>
      <c r="U34" s="704">
        <f t="shared" si="13"/>
        <v>100</v>
      </c>
      <c r="V34" s="703" t="s">
        <v>14</v>
      </c>
      <c r="W34" s="704">
        <f t="shared" si="14"/>
        <v>100</v>
      </c>
      <c r="X34" s="1352"/>
      <c r="Y34" s="3805"/>
      <c r="Z34" s="1353" t="str">
        <f t="shared" si="15"/>
        <v>建筑结构</v>
      </c>
      <c r="AA34" s="1350">
        <f t="shared" si="3"/>
        <v>1</v>
      </c>
      <c r="AB34" s="1350">
        <f t="shared" si="4"/>
        <v>1</v>
      </c>
      <c r="AC34" s="1350">
        <f t="shared" si="5"/>
        <v>1</v>
      </c>
    </row>
    <row r="35" spans="1:29" ht="15">
      <c r="A35" s="422"/>
      <c r="B35" s="374" t="s">
        <v>1785</v>
      </c>
      <c r="C35" s="1902" t="s">
        <v>3559</v>
      </c>
      <c r="D35" s="385">
        <v>100</v>
      </c>
      <c r="E35" s="1902" t="s">
        <v>3559</v>
      </c>
      <c r="F35" s="411">
        <f>SUMIF(107:107,E35,108:108)-SUMIF(107:107,C35,108:108)+100</f>
        <v>100</v>
      </c>
      <c r="G35" s="1902" t="s">
        <v>3559</v>
      </c>
      <c r="H35" s="385">
        <f>SUMIF(107:107,G35,108:108)-SUMIF(107:107,C35,108:108)+100</f>
        <v>100</v>
      </c>
      <c r="I35" s="1902" t="s">
        <v>3559</v>
      </c>
      <c r="J35" s="385">
        <f>SUMIF(107:107,I35,108:108)-SUMIF(107:107,C35,108:108)+100</f>
        <v>100</v>
      </c>
      <c r="K35" s="560"/>
      <c r="L35" s="2716"/>
      <c r="M35" s="2710"/>
      <c r="N35" s="2710"/>
      <c r="O35" s="2710"/>
      <c r="P35" s="3803"/>
      <c r="Q35" s="1349" t="str">
        <f t="shared" si="11"/>
        <v>公共部分装修</v>
      </c>
      <c r="R35" s="703" t="s">
        <v>14</v>
      </c>
      <c r="S35" s="704">
        <f t="shared" si="12"/>
        <v>100</v>
      </c>
      <c r="T35" s="703" t="s">
        <v>14</v>
      </c>
      <c r="U35" s="704">
        <f t="shared" si="13"/>
        <v>100</v>
      </c>
      <c r="V35" s="703" t="s">
        <v>14</v>
      </c>
      <c r="W35" s="704">
        <f t="shared" si="14"/>
        <v>100</v>
      </c>
      <c r="X35" s="1352"/>
      <c r="Y35" s="3805"/>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03"/>
      <c r="Q36" s="1349" t="str">
        <f t="shared" si="11"/>
        <v>成新度</v>
      </c>
      <c r="R36" s="703" t="s">
        <v>14</v>
      </c>
      <c r="S36" s="704">
        <f t="shared" si="12"/>
        <v>100</v>
      </c>
      <c r="T36" s="703" t="s">
        <v>14</v>
      </c>
      <c r="U36" s="704">
        <f t="shared" si="13"/>
        <v>100</v>
      </c>
      <c r="V36" s="703" t="s">
        <v>14</v>
      </c>
      <c r="W36" s="704">
        <f t="shared" si="14"/>
        <v>100</v>
      </c>
      <c r="X36" s="1352"/>
      <c r="Y36" s="3805"/>
      <c r="Z36" s="1353" t="str">
        <f t="shared" si="15"/>
        <v>成新度</v>
      </c>
      <c r="AA36" s="1350">
        <f t="shared" si="3"/>
        <v>1</v>
      </c>
      <c r="AB36" s="1350">
        <f t="shared" si="4"/>
        <v>1</v>
      </c>
      <c r="AC36" s="1350">
        <f t="shared" si="5"/>
        <v>1</v>
      </c>
    </row>
    <row r="37" spans="1:29" s="107" customFormat="1" ht="15">
      <c r="A37" s="423"/>
      <c r="B37" s="374" t="s">
        <v>1787</v>
      </c>
      <c r="C37" s="1902" t="s">
        <v>3557</v>
      </c>
      <c r="D37" s="126">
        <v>100</v>
      </c>
      <c r="E37" s="1902" t="s">
        <v>3557</v>
      </c>
      <c r="F37" s="411">
        <f>SUMIF(112:112,E37,113:113)-SUMIF(112:112,C37,113:113)+100</f>
        <v>100</v>
      </c>
      <c r="G37" s="1902" t="s">
        <v>3557</v>
      </c>
      <c r="H37" s="385">
        <f>SUMIF(112:112,G37,113:113)-SUMIF(112:112,C37,113:113)+100</f>
        <v>100</v>
      </c>
      <c r="I37" s="1902" t="s">
        <v>3557</v>
      </c>
      <c r="J37" s="385">
        <f>SUMIF(112:112,I37,113:113)-SUMIF(112:112,C37,113:113)+100</f>
        <v>100</v>
      </c>
      <c r="K37" s="560"/>
      <c r="L37" s="2711"/>
      <c r="M37" s="2712"/>
      <c r="N37" s="2712"/>
      <c r="O37" s="2712"/>
      <c r="P37" s="3803"/>
      <c r="Q37" s="1340" t="str">
        <f t="shared" si="11"/>
        <v>市政基础设施</v>
      </c>
      <c r="R37" s="699" t="s">
        <v>14</v>
      </c>
      <c r="S37" s="700">
        <f t="shared" si="12"/>
        <v>100</v>
      </c>
      <c r="T37" s="699" t="s">
        <v>14</v>
      </c>
      <c r="U37" s="700">
        <f t="shared" si="13"/>
        <v>100</v>
      </c>
      <c r="V37" s="699" t="s">
        <v>14</v>
      </c>
      <c r="W37" s="700">
        <f t="shared" si="14"/>
        <v>100</v>
      </c>
      <c r="X37" s="701"/>
      <c r="Y37" s="3805"/>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6"/>
      <c r="M38" s="2710"/>
      <c r="N38" s="2710"/>
      <c r="O38" s="2710"/>
      <c r="P38" s="3803" t="s">
        <v>1696</v>
      </c>
      <c r="Q38" s="1349" t="str">
        <f t="shared" si="11"/>
        <v>业态</v>
      </c>
      <c r="R38" s="703" t="s">
        <v>14</v>
      </c>
      <c r="S38" s="704">
        <f t="shared" si="12"/>
        <v>100</v>
      </c>
      <c r="T38" s="703" t="s">
        <v>14</v>
      </c>
      <c r="U38" s="704">
        <f t="shared" si="13"/>
        <v>100</v>
      </c>
      <c r="V38" s="703" t="s">
        <v>14</v>
      </c>
      <c r="W38" s="704">
        <f t="shared" si="14"/>
        <v>100</v>
      </c>
      <c r="X38" s="1352"/>
      <c r="Y38" s="3805" t="s">
        <v>1696</v>
      </c>
      <c r="Z38" s="1353" t="str">
        <f t="shared" si="15"/>
        <v>业态</v>
      </c>
      <c r="AA38" s="1350">
        <f t="shared" si="3"/>
        <v>1</v>
      </c>
      <c r="AB38" s="1350">
        <f t="shared" si="4"/>
        <v>1</v>
      </c>
      <c r="AC38" s="1350">
        <f t="shared" si="5"/>
        <v>1</v>
      </c>
    </row>
    <row r="39" spans="1:29" ht="15">
      <c r="A39" s="422"/>
      <c r="B39" s="374" t="s">
        <v>1789</v>
      </c>
      <c r="C39" s="1902" t="s">
        <v>3561</v>
      </c>
      <c r="D39" s="385">
        <v>100</v>
      </c>
      <c r="E39" s="1902" t="s">
        <v>3561</v>
      </c>
      <c r="F39" s="411">
        <f>SUMIF(116:116,E39,117:117)-SUMIF(116:116,C39,117:117)+100</f>
        <v>100</v>
      </c>
      <c r="G39" s="1902" t="s">
        <v>3561</v>
      </c>
      <c r="H39" s="385">
        <f>SUMIF(116:116,G39,117:117)-SUMIF(116:116,C39,117:117)+100</f>
        <v>100</v>
      </c>
      <c r="I39" s="1902" t="s">
        <v>3561</v>
      </c>
      <c r="J39" s="385">
        <f>SUMIF(116:116,I39,117:117)-SUMIF(116:116,C39,117:117)+100</f>
        <v>100</v>
      </c>
      <c r="K39" s="560"/>
      <c r="L39" s="2716"/>
      <c r="M39" s="2710"/>
      <c r="N39" s="2710"/>
      <c r="O39" s="2710"/>
      <c r="P39" s="3803"/>
      <c r="Q39" s="1349" t="str">
        <f t="shared" si="11"/>
        <v>层高</v>
      </c>
      <c r="R39" s="703" t="s">
        <v>14</v>
      </c>
      <c r="S39" s="704">
        <f t="shared" si="12"/>
        <v>100</v>
      </c>
      <c r="T39" s="703" t="s">
        <v>14</v>
      </c>
      <c r="U39" s="704">
        <f t="shared" si="13"/>
        <v>100</v>
      </c>
      <c r="V39" s="703" t="s">
        <v>14</v>
      </c>
      <c r="W39" s="704">
        <f t="shared" si="14"/>
        <v>100</v>
      </c>
      <c r="X39" s="1352"/>
      <c r="Y39" s="3805"/>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03"/>
      <c r="Q40" s="1349" t="str">
        <f t="shared" si="11"/>
        <v>单套建筑面积</v>
      </c>
      <c r="R40" s="703" t="s">
        <v>14</v>
      </c>
      <c r="S40" s="704">
        <f t="shared" si="12"/>
        <v>100</v>
      </c>
      <c r="T40" s="703" t="s">
        <v>14</v>
      </c>
      <c r="U40" s="704">
        <f t="shared" si="13"/>
        <v>100</v>
      </c>
      <c r="V40" s="703" t="s">
        <v>14</v>
      </c>
      <c r="W40" s="704">
        <f t="shared" si="14"/>
        <v>100</v>
      </c>
      <c r="X40" s="1352"/>
      <c r="Y40" s="3805"/>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03"/>
      <c r="Q41" s="705" t="str">
        <f t="shared" si="11"/>
        <v>进深比</v>
      </c>
      <c r="R41" s="706" t="s">
        <v>14</v>
      </c>
      <c r="S41" s="707">
        <f t="shared" si="12"/>
        <v>100</v>
      </c>
      <c r="T41" s="706" t="s">
        <v>14</v>
      </c>
      <c r="U41" s="707">
        <f t="shared" si="13"/>
        <v>100</v>
      </c>
      <c r="V41" s="706" t="s">
        <v>14</v>
      </c>
      <c r="W41" s="707">
        <f t="shared" si="14"/>
        <v>100</v>
      </c>
      <c r="X41" s="708"/>
      <c r="Y41" s="3805"/>
      <c r="Z41" s="709" t="str">
        <f t="shared" si="15"/>
        <v>进深比</v>
      </c>
      <c r="AA41" s="1350">
        <f t="shared" si="3"/>
        <v>1</v>
      </c>
      <c r="AB41" s="1350">
        <f t="shared" si="4"/>
        <v>1</v>
      </c>
      <c r="AC41" s="1350">
        <f t="shared" si="5"/>
        <v>1</v>
      </c>
    </row>
    <row r="42" spans="1:29" ht="15">
      <c r="A42" s="422"/>
      <c r="B42" s="374" t="s">
        <v>1792</v>
      </c>
      <c r="C42" s="1902" t="s">
        <v>3563</v>
      </c>
      <c r="D42" s="385">
        <v>100</v>
      </c>
      <c r="E42" s="1902" t="s">
        <v>3563</v>
      </c>
      <c r="F42" s="411">
        <f>SUMIF(122:122,E42,123:123)-SUMIF(122:122,C42,123:123)+100</f>
        <v>100</v>
      </c>
      <c r="G42" s="1902" t="s">
        <v>3563</v>
      </c>
      <c r="H42" s="385">
        <f>SUMIF(122:122,G42,123:123)-SUMIF(122:122,C42,123:123)+100</f>
        <v>100</v>
      </c>
      <c r="I42" s="1902" t="s">
        <v>3563</v>
      </c>
      <c r="J42" s="385">
        <f>SUMIF(122:122,I42,123:123)-SUMIF(122:122,C42,123:123)+100</f>
        <v>100</v>
      </c>
      <c r="K42" s="560"/>
      <c r="L42" s="2716"/>
      <c r="M42" s="2710"/>
      <c r="N42" s="2710"/>
      <c r="O42" s="2710"/>
      <c r="P42" s="3803"/>
      <c r="Q42" s="1349" t="str">
        <f t="shared" si="11"/>
        <v>内部装修</v>
      </c>
      <c r="R42" s="703" t="s">
        <v>14</v>
      </c>
      <c r="S42" s="704">
        <f t="shared" si="12"/>
        <v>100</v>
      </c>
      <c r="T42" s="703" t="s">
        <v>14</v>
      </c>
      <c r="U42" s="704">
        <f t="shared" si="13"/>
        <v>100</v>
      </c>
      <c r="V42" s="703" t="s">
        <v>14</v>
      </c>
      <c r="W42" s="704">
        <f t="shared" si="14"/>
        <v>100</v>
      </c>
      <c r="X42" s="1352"/>
      <c r="Y42" s="3805"/>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03"/>
      <c r="Q43" s="1349" t="str">
        <f t="shared" si="11"/>
        <v>内部装修维护情况</v>
      </c>
      <c r="R43" s="703" t="s">
        <v>14</v>
      </c>
      <c r="S43" s="704">
        <f t="shared" si="12"/>
        <v>100</v>
      </c>
      <c r="T43" s="703" t="s">
        <v>14</v>
      </c>
      <c r="U43" s="704">
        <f t="shared" si="13"/>
        <v>100</v>
      </c>
      <c r="V43" s="703" t="s">
        <v>14</v>
      </c>
      <c r="W43" s="704">
        <f t="shared" si="14"/>
        <v>100</v>
      </c>
      <c r="X43" s="1352"/>
      <c r="Y43" s="3805"/>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03"/>
      <c r="Q44" s="1340">
        <f t="shared" si="11"/>
        <v>111</v>
      </c>
      <c r="R44" s="699" t="s">
        <v>14</v>
      </c>
      <c r="S44" s="700">
        <f t="shared" si="12"/>
        <v>100</v>
      </c>
      <c r="T44" s="699" t="s">
        <v>14</v>
      </c>
      <c r="U44" s="700">
        <f t="shared" si="13"/>
        <v>100</v>
      </c>
      <c r="V44" s="699" t="s">
        <v>14</v>
      </c>
      <c r="W44" s="700">
        <f t="shared" si="14"/>
        <v>100</v>
      </c>
      <c r="X44" s="701"/>
      <c r="Y44" s="3805"/>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03"/>
      <c r="Q45" s="1349">
        <f t="shared" si="11"/>
        <v>111</v>
      </c>
      <c r="R45" s="703" t="s">
        <v>14</v>
      </c>
      <c r="S45" s="704">
        <f t="shared" si="12"/>
        <v>100</v>
      </c>
      <c r="T45" s="703" t="s">
        <v>14</v>
      </c>
      <c r="U45" s="704">
        <f t="shared" si="13"/>
        <v>100</v>
      </c>
      <c r="V45" s="703" t="s">
        <v>14</v>
      </c>
      <c r="W45" s="704">
        <f t="shared" si="14"/>
        <v>100</v>
      </c>
      <c r="X45" s="1352"/>
      <c r="Y45" s="3805"/>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04"/>
      <c r="Q46" s="1349">
        <f t="shared" si="11"/>
        <v>111</v>
      </c>
      <c r="R46" s="703" t="s">
        <v>14</v>
      </c>
      <c r="S46" s="704">
        <f t="shared" si="12"/>
        <v>100</v>
      </c>
      <c r="T46" s="703" t="s">
        <v>14</v>
      </c>
      <c r="U46" s="704">
        <f t="shared" si="13"/>
        <v>100</v>
      </c>
      <c r="V46" s="703" t="s">
        <v>14</v>
      </c>
      <c r="W46" s="704">
        <f t="shared" si="14"/>
        <v>100</v>
      </c>
      <c r="X46" s="1352"/>
      <c r="Y46" s="3806"/>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8"/>
      <c r="M47" s="2719"/>
      <c r="N47" s="2710"/>
      <c r="O47" s="2719"/>
      <c r="P47" s="3798" t="str">
        <f>A47</f>
        <v>成交单价（元/平方米）</v>
      </c>
      <c r="Q47" s="3798"/>
      <c r="R47" s="3829">
        <f>E47</f>
        <v>50000</v>
      </c>
      <c r="S47" s="3829"/>
      <c r="T47" s="3829">
        <f>G47</f>
        <v>48296</v>
      </c>
      <c r="U47" s="3829"/>
      <c r="V47" s="3829">
        <f>I47</f>
        <v>50000</v>
      </c>
      <c r="W47" s="3829"/>
      <c r="X47" s="688"/>
      <c r="Y47" s="710"/>
      <c r="Z47" s="688"/>
      <c r="AA47" s="688"/>
      <c r="AB47" s="688"/>
      <c r="AC47" s="688"/>
    </row>
    <row r="48" spans="1:29" ht="15.75" thickBot="1">
      <c r="A48" s="436" t="s">
        <v>1793</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798" t="str">
        <f>A48</f>
        <v>比较价值（元/平方米）</v>
      </c>
      <c r="Q48" s="3798"/>
      <c r="R48" s="3799" t="e">
        <f>IF(F1="售价",ROUND(PRODUCT(R47,AA7:AA46),0),ROUND(PRODUCT(R47,AA7:AA46),1))</f>
        <v>#REF!</v>
      </c>
      <c r="S48" s="3799"/>
      <c r="T48" s="3799" t="e">
        <f>IF(F1="售价",ROUND(PRODUCT(T47,AB7:AB46),0),ROUND(PRODUCT(T47,AB7:AB46),1))</f>
        <v>#REF!</v>
      </c>
      <c r="U48" s="3799"/>
      <c r="V48" s="3799" t="e">
        <f>IF(F1="售价",ROUND(PRODUCT(V47,AC7:AC46),0),ROUND(PRODUCT(V47,AC7:AC46),1))</f>
        <v>#REF!</v>
      </c>
      <c r="W48" s="3799"/>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8"/>
      <c r="M49" s="2719"/>
      <c r="N49" s="2710"/>
      <c r="O49" s="2719"/>
      <c r="P49" s="3795" t="str">
        <f>A49</f>
        <v>估价对象XX用房的比较价值（楼面单价，元/平方米）</v>
      </c>
      <c r="Q49" s="3796"/>
      <c r="R49" s="3797" t="e">
        <f>IF(F1="售价",ROUND(IF(D48="简单平均",AVERAGE(R48:V48),R48*F48+T48*H48+V48*J48),0),ROUND(IF(D48="简单平均",AVERAGE(R48:V48),R48*F48+T48*H48+V48*J48),1))</f>
        <v>#REF!</v>
      </c>
      <c r="S49" s="3797"/>
      <c r="T49" s="3797"/>
      <c r="U49" s="3797"/>
      <c r="V49" s="3797"/>
      <c r="W49" s="3797"/>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3" t="s">
        <v>3525</v>
      </c>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3" t="s">
        <v>3527</v>
      </c>
      <c r="D90" s="3523" t="s">
        <v>3528</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3529</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4" t="s">
        <v>3532</v>
      </c>
      <c r="D100" s="3524" t="s">
        <v>3530</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50</v>
      </c>
      <c r="E103" s="543">
        <v>100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3" t="s">
        <v>3537</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3" t="s">
        <v>3565</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3" t="s">
        <v>3566</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3" t="s">
        <v>3534</v>
      </c>
      <c r="D114" s="3523" t="s">
        <v>3535</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3" t="s">
        <v>3567</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3" t="s">
        <v>3568</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估价对象为北京市房地产，为所有。根据《国有土地使用证》[]，估价对象（分摊）出让国有建设用地使用权面积为0平方米，建筑面积为135.71平方米。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估价对象为北京市房地产,属开发建设的，该项目尚在开发建设中。根据《国有土地使用证》[]，估价对象（分摊）出让国有建设用地使用权面积为0平方米，规划建筑面积为135.71平方米。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1" zoomScale="80" zoomScaleNormal="70" zoomScaleSheetLayoutView="80" workbookViewId="0">
      <selection activeCell="F52" sqref="F5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7"/>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135.71</v>
      </c>
      <c r="E3" s="1950"/>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49" t="s">
        <v>1775</v>
      </c>
      <c r="Q4" s="3850"/>
      <c r="R4" s="3853" t="s">
        <v>1771</v>
      </c>
      <c r="S4" s="3854"/>
      <c r="T4" s="3853" t="s">
        <v>1772</v>
      </c>
      <c r="U4" s="3854"/>
      <c r="V4" s="3855" t="s">
        <v>1773</v>
      </c>
      <c r="W4" s="3855"/>
      <c r="X4" s="1954"/>
      <c r="Y4" s="3853" t="s">
        <v>1775</v>
      </c>
      <c r="Z4" s="3854"/>
      <c r="AA4" s="3857" t="s">
        <v>1771</v>
      </c>
      <c r="AB4" s="3857" t="s">
        <v>1772</v>
      </c>
      <c r="AC4" s="3846" t="s">
        <v>1773</v>
      </c>
    </row>
    <row r="5" spans="1:29" ht="15">
      <c r="A5" s="357"/>
      <c r="B5" s="358"/>
      <c r="C5" s="3832" t="s">
        <v>1673</v>
      </c>
      <c r="D5" s="3833"/>
      <c r="E5" s="3839" t="str">
        <f>Sheet1!E9</f>
        <v>熙旺中心</v>
      </c>
      <c r="F5" s="3840"/>
      <c r="G5" s="3832" t="str">
        <f>Sheet1!E10</f>
        <v>鸿坤七星长安</v>
      </c>
      <c r="H5" s="3833"/>
      <c r="I5" s="3832" t="str">
        <f>Sheet1!E11</f>
        <v>远洋新天地</v>
      </c>
      <c r="J5" s="3833"/>
      <c r="K5" s="558"/>
      <c r="L5" s="2709"/>
      <c r="M5" s="2710"/>
      <c r="N5" s="2710"/>
      <c r="O5" s="2710"/>
      <c r="P5" s="3851"/>
      <c r="Q5" s="3820"/>
      <c r="R5" s="3825"/>
      <c r="S5" s="3826"/>
      <c r="T5" s="3825"/>
      <c r="U5" s="3826"/>
      <c r="V5" s="3829"/>
      <c r="W5" s="3829"/>
      <c r="X5" s="1352"/>
      <c r="Y5" s="3825"/>
      <c r="Z5" s="3826"/>
      <c r="AA5" s="3811"/>
      <c r="AB5" s="3811"/>
      <c r="AC5" s="3847"/>
    </row>
    <row r="6" spans="1:29" ht="15.75" thickBot="1">
      <c r="A6" s="359"/>
      <c r="B6" s="360"/>
      <c r="C6" s="3830" t="s">
        <v>1677</v>
      </c>
      <c r="D6" s="3831"/>
      <c r="E6" s="3837" t="s">
        <v>1677</v>
      </c>
      <c r="F6" s="3838"/>
      <c r="G6" s="3830" t="s">
        <v>1677</v>
      </c>
      <c r="H6" s="3831"/>
      <c r="I6" s="3830" t="s">
        <v>1677</v>
      </c>
      <c r="J6" s="3831"/>
      <c r="K6" s="558" t="s">
        <v>1678</v>
      </c>
      <c r="L6" s="2709"/>
      <c r="M6" s="2710"/>
      <c r="N6" s="2710"/>
      <c r="O6" s="2710"/>
      <c r="P6" s="3852"/>
      <c r="Q6" s="3822"/>
      <c r="R6" s="3825"/>
      <c r="S6" s="3826"/>
      <c r="T6" s="3827"/>
      <c r="U6" s="3828"/>
      <c r="V6" s="3829"/>
      <c r="W6" s="3829"/>
      <c r="X6" s="1352"/>
      <c r="Y6" s="3827"/>
      <c r="Z6" s="3828"/>
      <c r="AA6" s="3812"/>
      <c r="AB6" s="3812"/>
      <c r="AC6" s="3848"/>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1"/>
      <c r="M7" s="2712"/>
      <c r="N7" s="2712"/>
      <c r="O7" s="2712"/>
      <c r="P7" s="3856" t="s">
        <v>1680</v>
      </c>
      <c r="Q7" s="3836"/>
      <c r="R7" s="699" t="s">
        <v>14</v>
      </c>
      <c r="S7" s="700">
        <f t="shared" ref="S7:S15" si="0">F7</f>
        <v>100</v>
      </c>
      <c r="T7" s="699" t="s">
        <v>14</v>
      </c>
      <c r="U7" s="700">
        <f t="shared" ref="U7:U15" si="1">H7</f>
        <v>100</v>
      </c>
      <c r="V7" s="699" t="s">
        <v>14</v>
      </c>
      <c r="W7" s="700">
        <f t="shared" ref="W7:W15" si="2">J7</f>
        <v>100</v>
      </c>
      <c r="X7" s="701"/>
      <c r="Y7" s="3834" t="s">
        <v>1680</v>
      </c>
      <c r="Z7" s="3835"/>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856" t="s">
        <v>1683</v>
      </c>
      <c r="Q8" s="3835"/>
      <c r="R8" s="699" t="s">
        <v>14</v>
      </c>
      <c r="S8" s="700">
        <f t="shared" si="0"/>
        <v>100</v>
      </c>
      <c r="T8" s="699" t="s">
        <v>14</v>
      </c>
      <c r="U8" s="700">
        <f t="shared" si="1"/>
        <v>100</v>
      </c>
      <c r="V8" s="699" t="s">
        <v>14</v>
      </c>
      <c r="W8" s="700">
        <f t="shared" si="2"/>
        <v>100</v>
      </c>
      <c r="X8" s="701"/>
      <c r="Y8" s="3834" t="s">
        <v>1683</v>
      </c>
      <c r="Z8" s="3835"/>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809" t="s">
        <v>1686</v>
      </c>
      <c r="Q9" s="1340"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1955">
        <f t="shared" si="5"/>
        <v>1</v>
      </c>
    </row>
    <row r="10" spans="1:29" s="377" customFormat="1" ht="27">
      <c r="A10" s="373"/>
      <c r="B10" s="374" t="s">
        <v>1688</v>
      </c>
      <c r="C10" s="3428"/>
      <c r="D10" s="126">
        <v>100</v>
      </c>
      <c r="E10" s="3428"/>
      <c r="F10" s="126">
        <f>SUMIF(66:66,E10,67:67)-SUMIF(66:66,C10,67:67)+100</f>
        <v>100</v>
      </c>
      <c r="G10" s="3429"/>
      <c r="H10" s="126">
        <f>SUMIF(66:66,G10,67:67)-SUMIF(66:66,C10,67:67)+100</f>
        <v>100</v>
      </c>
      <c r="I10" s="3428"/>
      <c r="J10" s="126">
        <f>SUMIF(66:66,I10,67:67)-SUMIF(66:66,C10,67:67)+100</f>
        <v>100</v>
      </c>
      <c r="K10" s="559"/>
      <c r="L10" s="2713"/>
      <c r="M10" s="2714"/>
      <c r="N10" s="2714"/>
      <c r="O10" s="2714"/>
      <c r="P10" s="3809"/>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809"/>
      <c r="Q11" s="1340" t="str">
        <f t="shared" si="6"/>
        <v>容积率</v>
      </c>
      <c r="R11" s="699" t="s">
        <v>14</v>
      </c>
      <c r="S11" s="700">
        <f t="shared" si="0"/>
        <v>100</v>
      </c>
      <c r="T11" s="699" t="s">
        <v>14</v>
      </c>
      <c r="U11" s="700">
        <f t="shared" si="1"/>
        <v>100</v>
      </c>
      <c r="V11" s="699" t="s">
        <v>14</v>
      </c>
      <c r="W11" s="700">
        <f t="shared" si="2"/>
        <v>100</v>
      </c>
      <c r="X11" s="701"/>
      <c r="Y11" s="3673"/>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1"/>
      <c r="M12" s="2712"/>
      <c r="N12" s="2712"/>
      <c r="O12" s="2712"/>
      <c r="P12" s="3809"/>
      <c r="Q12" s="1340">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6"/>
      <c r="M13" s="2710"/>
      <c r="N13" s="2710"/>
      <c r="O13" s="2710"/>
      <c r="P13" s="3809"/>
      <c r="Q13" s="1340">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6"/>
      <c r="M14" s="2710"/>
      <c r="N14" s="2710"/>
      <c r="O14" s="2710"/>
      <c r="P14" s="3809"/>
      <c r="Q14" s="1340">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1955">
        <f t="shared" si="5"/>
        <v>1</v>
      </c>
    </row>
    <row r="15" spans="1:29" ht="42.75">
      <c r="A15" s="390" t="s">
        <v>1690</v>
      </c>
      <c r="B15" s="575" t="s">
        <v>1811</v>
      </c>
      <c r="C15" s="1957" t="str">
        <f>估价对象房地状况!C5</f>
        <v>周边有少量相似物业，综合物业集聚程度一般。</v>
      </c>
      <c r="D15" s="391">
        <v>100</v>
      </c>
      <c r="E15" s="394"/>
      <c r="F15" s="391">
        <f>SUMIF(77:77,E16,78:78)-SUMIF(77:77,C16,78:78)+100</f>
        <v>102</v>
      </c>
      <c r="G15" s="392"/>
      <c r="H15" s="391">
        <f>SUMIF(77:77,G16,78:78)-SUMIF(77:77,C16,78:78)+100</f>
        <v>102</v>
      </c>
      <c r="I15" s="392"/>
      <c r="J15" s="391">
        <f>SUMIF(77:77,I16,78:78)-SUMIF(77:77,C16,78:78)+100</f>
        <v>102</v>
      </c>
      <c r="K15" s="562">
        <v>2</v>
      </c>
      <c r="L15" s="2716"/>
      <c r="M15" s="2710"/>
      <c r="N15" s="2710"/>
      <c r="O15" s="2710"/>
      <c r="P15" s="3807" t="s">
        <v>1691</v>
      </c>
      <c r="Q15" s="1349" t="str">
        <f t="shared" si="6"/>
        <v>办公集聚程度</v>
      </c>
      <c r="R15" s="703" t="s">
        <v>14</v>
      </c>
      <c r="S15" s="704">
        <f t="shared" si="0"/>
        <v>102</v>
      </c>
      <c r="T15" s="703" t="s">
        <v>14</v>
      </c>
      <c r="U15" s="704">
        <f t="shared" si="1"/>
        <v>102</v>
      </c>
      <c r="V15" s="703" t="s">
        <v>14</v>
      </c>
      <c r="W15" s="704">
        <f t="shared" si="2"/>
        <v>102</v>
      </c>
      <c r="X15" s="1352"/>
      <c r="Y15" s="3800" t="s">
        <v>1691</v>
      </c>
      <c r="Z15" s="1353" t="str">
        <f t="shared" si="7"/>
        <v>办公集聚程度</v>
      </c>
      <c r="AA15" s="1350">
        <f t="shared" si="3"/>
        <v>0.98039215686274506</v>
      </c>
      <c r="AB15" s="1350">
        <f t="shared" si="4"/>
        <v>0.98039215686274506</v>
      </c>
      <c r="AC15" s="1958">
        <f t="shared" si="5"/>
        <v>0.98039215686274506</v>
      </c>
    </row>
    <row r="16" spans="1:29" ht="15">
      <c r="A16" s="378"/>
      <c r="B16" s="576"/>
      <c r="C16" s="1900" t="s">
        <v>3510</v>
      </c>
      <c r="D16" s="398"/>
      <c r="E16" s="397" t="s">
        <v>3511</v>
      </c>
      <c r="F16" s="398"/>
      <c r="G16" s="1900" t="s">
        <v>3511</v>
      </c>
      <c r="H16" s="400"/>
      <c r="I16" s="397" t="s">
        <v>3511</v>
      </c>
      <c r="J16" s="398"/>
      <c r="K16" s="563"/>
      <c r="L16" s="2716"/>
      <c r="M16" s="2710"/>
      <c r="N16" s="2710"/>
      <c r="O16" s="2710"/>
      <c r="P16" s="3808"/>
      <c r="Q16" s="1349"/>
      <c r="R16" s="703"/>
      <c r="S16" s="704"/>
      <c r="T16" s="703"/>
      <c r="U16" s="704"/>
      <c r="V16" s="703"/>
      <c r="W16" s="704"/>
      <c r="X16" s="1352"/>
      <c r="Y16" s="3801"/>
      <c r="Z16" s="1353"/>
      <c r="AA16" s="1350">
        <v>1</v>
      </c>
      <c r="AB16" s="1350">
        <v>1</v>
      </c>
      <c r="AC16" s="1958">
        <v>1</v>
      </c>
    </row>
    <row r="17" spans="1:29" ht="99.75">
      <c r="A17" s="378"/>
      <c r="B17" s="577" t="s">
        <v>1259</v>
      </c>
      <c r="C17" s="1959" t="str">
        <f>估价对象房地状况!C6</f>
        <v>估价对象周边有M1、M25、M27、336、370、383、快速公交4线等多条公交线路，周边道路网线较密集，通达度较好。综合评价交通便捷度较好。</v>
      </c>
      <c r="D17" s="400">
        <v>100</v>
      </c>
      <c r="E17" s="404"/>
      <c r="F17" s="400">
        <f>SUMIF(79:79,E18,80:80)-SUMIF(79:79,C18,80:80)+100</f>
        <v>98</v>
      </c>
      <c r="G17" s="402"/>
      <c r="H17" s="405">
        <f>SUMIF(79:79,G18,80:80)-SUMIF(79:79,C18,80:80)+100</f>
        <v>98</v>
      </c>
      <c r="I17" s="402"/>
      <c r="J17" s="405">
        <f>SUMIF(79:79,I18,80:80)-SUMIF(79:79,C18,80:80)+100</f>
        <v>100</v>
      </c>
      <c r="K17" s="562">
        <v>2</v>
      </c>
      <c r="L17" s="2716"/>
      <c r="M17" s="2710"/>
      <c r="N17" s="2710"/>
      <c r="O17" s="2710"/>
      <c r="P17" s="3808"/>
      <c r="Q17" s="1349" t="str">
        <f>B17</f>
        <v>交通便捷度</v>
      </c>
      <c r="R17" s="703" t="s">
        <v>14</v>
      </c>
      <c r="S17" s="704">
        <f>F17</f>
        <v>98</v>
      </c>
      <c r="T17" s="703" t="s">
        <v>14</v>
      </c>
      <c r="U17" s="704">
        <f>H17</f>
        <v>98</v>
      </c>
      <c r="V17" s="703" t="s">
        <v>14</v>
      </c>
      <c r="W17" s="704">
        <f>J17</f>
        <v>100</v>
      </c>
      <c r="X17" s="1352"/>
      <c r="Y17" s="3801"/>
      <c r="Z17" s="1353" t="str">
        <f>Q17</f>
        <v>交通便捷度</v>
      </c>
      <c r="AA17" s="1350">
        <f t="shared" si="3"/>
        <v>1.0204081632653061</v>
      </c>
      <c r="AB17" s="1350">
        <f t="shared" si="4"/>
        <v>1.0204081632653061</v>
      </c>
      <c r="AC17" s="1958">
        <f t="shared" si="5"/>
        <v>1</v>
      </c>
    </row>
    <row r="18" spans="1:29" ht="15">
      <c r="A18" s="378"/>
      <c r="B18" s="578"/>
      <c r="C18" s="1960" t="s">
        <v>3511</v>
      </c>
      <c r="D18" s="400"/>
      <c r="E18" s="1960" t="s">
        <v>3510</v>
      </c>
      <c r="F18" s="400"/>
      <c r="G18" s="1960" t="s">
        <v>3510</v>
      </c>
      <c r="H18" s="398"/>
      <c r="I18" s="1960" t="s">
        <v>3511</v>
      </c>
      <c r="J18" s="398"/>
      <c r="K18" s="563"/>
      <c r="L18" s="2716"/>
      <c r="M18" s="2710"/>
      <c r="N18" s="2710"/>
      <c r="O18" s="2710"/>
      <c r="P18" s="3808"/>
      <c r="Q18" s="1349"/>
      <c r="R18" s="703"/>
      <c r="S18" s="704"/>
      <c r="T18" s="703"/>
      <c r="U18" s="704"/>
      <c r="V18" s="703"/>
      <c r="W18" s="704"/>
      <c r="X18" s="1352"/>
      <c r="Y18" s="3801"/>
      <c r="Z18" s="1353"/>
      <c r="AA18" s="1350">
        <v>1</v>
      </c>
      <c r="AB18" s="1350">
        <v>1</v>
      </c>
      <c r="AC18" s="1958">
        <v>1</v>
      </c>
    </row>
    <row r="19" spans="1:29" ht="64.5" customHeight="1">
      <c r="A19" s="378"/>
      <c r="B19" s="577" t="s">
        <v>1812</v>
      </c>
      <c r="C19" s="3534"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808"/>
      <c r="Q19" s="1349" t="str">
        <f>B19</f>
        <v>公共配套设施</v>
      </c>
      <c r="R19" s="703" t="s">
        <v>14</v>
      </c>
      <c r="S19" s="704">
        <f>F19</f>
        <v>100</v>
      </c>
      <c r="T19" s="703" t="s">
        <v>14</v>
      </c>
      <c r="U19" s="704">
        <f>H19</f>
        <v>100</v>
      </c>
      <c r="V19" s="703" t="s">
        <v>14</v>
      </c>
      <c r="W19" s="704">
        <f>J19</f>
        <v>100</v>
      </c>
      <c r="X19" s="1352"/>
      <c r="Y19" s="3801"/>
      <c r="Z19" s="1353" t="str">
        <f>Q19</f>
        <v>公共配套设施</v>
      </c>
      <c r="AA19" s="1350">
        <f t="shared" si="3"/>
        <v>1</v>
      </c>
      <c r="AB19" s="1350">
        <f t="shared" si="4"/>
        <v>1</v>
      </c>
      <c r="AC19" s="1958">
        <f t="shared" si="5"/>
        <v>1</v>
      </c>
    </row>
    <row r="20" spans="1:29" ht="15">
      <c r="A20" s="378"/>
      <c r="B20" s="578"/>
      <c r="C20" s="1900" t="s">
        <v>3511</v>
      </c>
      <c r="D20" s="398"/>
      <c r="E20" s="1893" t="s">
        <v>3511</v>
      </c>
      <c r="F20" s="398"/>
      <c r="G20" s="1894" t="s">
        <v>3511</v>
      </c>
      <c r="H20" s="398"/>
      <c r="I20" s="1894" t="s">
        <v>3511</v>
      </c>
      <c r="J20" s="398"/>
      <c r="K20" s="563"/>
      <c r="L20" s="2716"/>
      <c r="M20" s="2710"/>
      <c r="N20" s="2710"/>
      <c r="O20" s="2710"/>
      <c r="P20" s="3808"/>
      <c r="Q20" s="1349"/>
      <c r="R20" s="703"/>
      <c r="S20" s="704"/>
      <c r="T20" s="703"/>
      <c r="U20" s="704"/>
      <c r="V20" s="703"/>
      <c r="W20" s="704"/>
      <c r="X20" s="1352"/>
      <c r="Y20" s="3801"/>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808"/>
      <c r="Q21" s="1349" t="str">
        <f>B21</f>
        <v>基础设施水平</v>
      </c>
      <c r="R21" s="703" t="s">
        <v>14</v>
      </c>
      <c r="S21" s="704">
        <f>F21</f>
        <v>100</v>
      </c>
      <c r="T21" s="703" t="s">
        <v>14</v>
      </c>
      <c r="U21" s="704">
        <f>H21</f>
        <v>100</v>
      </c>
      <c r="V21" s="703" t="s">
        <v>14</v>
      </c>
      <c r="W21" s="704">
        <f>J21</f>
        <v>100</v>
      </c>
      <c r="X21" s="1352"/>
      <c r="Y21" s="3801"/>
      <c r="Z21" s="1353" t="str">
        <f>Q21</f>
        <v>基础设施水平</v>
      </c>
      <c r="AA21" s="1350">
        <f t="shared" ref="AA21" si="8">D21/F21</f>
        <v>1</v>
      </c>
      <c r="AB21" s="1350">
        <f t="shared" ref="AB21" si="9">D21/H21</f>
        <v>1</v>
      </c>
      <c r="AC21" s="1958">
        <f t="shared" ref="AC21" si="10">D21/J21</f>
        <v>1</v>
      </c>
    </row>
    <row r="22" spans="1:29" ht="15">
      <c r="A22" s="378"/>
      <c r="B22" s="579"/>
      <c r="C22" s="1960" t="s">
        <v>3523</v>
      </c>
      <c r="D22" s="398"/>
      <c r="E22" s="1960" t="s">
        <v>3523</v>
      </c>
      <c r="F22" s="398"/>
      <c r="G22" s="1960" t="s">
        <v>3523</v>
      </c>
      <c r="H22" s="398"/>
      <c r="I22" s="1960" t="s">
        <v>3523</v>
      </c>
      <c r="J22" s="398"/>
      <c r="K22" s="1127"/>
      <c r="L22" s="2716"/>
      <c r="M22" s="2710"/>
      <c r="N22" s="2710"/>
      <c r="O22" s="2710"/>
      <c r="P22" s="3808"/>
      <c r="Q22" s="1349"/>
      <c r="R22" s="703"/>
      <c r="S22" s="704"/>
      <c r="T22" s="703"/>
      <c r="U22" s="704"/>
      <c r="V22" s="703"/>
      <c r="W22" s="704"/>
      <c r="X22" s="1352"/>
      <c r="Y22" s="3801"/>
      <c r="Z22" s="1353"/>
      <c r="AA22" s="1350">
        <v>1</v>
      </c>
      <c r="AB22" s="1350">
        <v>1</v>
      </c>
      <c r="AC22" s="1958">
        <v>1</v>
      </c>
    </row>
    <row r="23" spans="1:29" ht="71.25">
      <c r="A23" s="378"/>
      <c r="B23" s="577" t="s">
        <v>1814</v>
      </c>
      <c r="C23" s="1959" t="str">
        <f>估价对象房地状况!C9</f>
        <v>估价对象周边有滨河世纪广场公园、永定河、黑山公园、门头沟体育馆等自然、人文场所，综合评价环境状况较好。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v>2</v>
      </c>
      <c r="L23" s="2716"/>
      <c r="M23" s="2710"/>
      <c r="N23" s="2710"/>
      <c r="O23" s="2710"/>
      <c r="P23" s="3808"/>
      <c r="Q23" s="1349" t="str">
        <f>B23</f>
        <v>环境质量</v>
      </c>
      <c r="R23" s="703" t="s">
        <v>14</v>
      </c>
      <c r="S23" s="704">
        <f>F23</f>
        <v>100</v>
      </c>
      <c r="T23" s="703" t="s">
        <v>14</v>
      </c>
      <c r="U23" s="704">
        <f>H23</f>
        <v>100</v>
      </c>
      <c r="V23" s="703" t="s">
        <v>14</v>
      </c>
      <c r="W23" s="704">
        <f>J23</f>
        <v>100</v>
      </c>
      <c r="X23" s="1352"/>
      <c r="Y23" s="3801"/>
      <c r="Z23" s="1353" t="str">
        <f>Q23</f>
        <v>环境质量</v>
      </c>
      <c r="AA23" s="1350">
        <f t="shared" si="3"/>
        <v>1</v>
      </c>
      <c r="AB23" s="1350">
        <f t="shared" si="4"/>
        <v>1</v>
      </c>
      <c r="AC23" s="1958">
        <f t="shared" si="5"/>
        <v>1</v>
      </c>
    </row>
    <row r="24" spans="1:29" ht="15">
      <c r="A24" s="378"/>
      <c r="B24" s="579"/>
      <c r="C24" s="1900" t="s">
        <v>3511</v>
      </c>
      <c r="D24" s="398"/>
      <c r="E24" s="1893" t="s">
        <v>3511</v>
      </c>
      <c r="F24" s="398"/>
      <c r="G24" s="1893" t="s">
        <v>3511</v>
      </c>
      <c r="H24" s="398"/>
      <c r="I24" s="1893" t="s">
        <v>3511</v>
      </c>
      <c r="J24" s="398"/>
      <c r="K24" s="563"/>
      <c r="L24" s="2716"/>
      <c r="M24" s="2710"/>
      <c r="N24" s="2710"/>
      <c r="O24" s="2710"/>
      <c r="P24" s="3808"/>
      <c r="Q24" s="1349"/>
      <c r="R24" s="703"/>
      <c r="S24" s="704"/>
      <c r="T24" s="703"/>
      <c r="U24" s="704"/>
      <c r="V24" s="703"/>
      <c r="W24" s="704"/>
      <c r="X24" s="1352"/>
      <c r="Y24" s="3801"/>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6"/>
      <c r="M25" s="2710"/>
      <c r="N25" s="2710"/>
      <c r="O25" s="2710"/>
      <c r="P25" s="3808"/>
      <c r="Q25" s="1349" t="str">
        <f>B25</f>
        <v>毗邻道路的类型与等级</v>
      </c>
      <c r="R25" s="703" t="s">
        <v>14</v>
      </c>
      <c r="S25" s="704">
        <f>F25</f>
        <v>100</v>
      </c>
      <c r="T25" s="703" t="s">
        <v>14</v>
      </c>
      <c r="U25" s="704">
        <f>H25</f>
        <v>100</v>
      </c>
      <c r="V25" s="703" t="s">
        <v>14</v>
      </c>
      <c r="W25" s="704">
        <f>J25</f>
        <v>100</v>
      </c>
      <c r="X25" s="1352"/>
      <c r="Y25" s="3801"/>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6"/>
      <c r="M26" s="2710"/>
      <c r="N26" s="2710"/>
      <c r="O26" s="2710"/>
      <c r="P26" s="3808"/>
      <c r="Q26" s="1349"/>
      <c r="R26" s="703"/>
      <c r="S26" s="704"/>
      <c r="T26" s="703"/>
      <c r="U26" s="704"/>
      <c r="V26" s="703"/>
      <c r="W26" s="704"/>
      <c r="X26" s="1352"/>
      <c r="Y26" s="3801"/>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6"/>
      <c r="M27" s="2710"/>
      <c r="N27" s="2710"/>
      <c r="O27" s="2710"/>
      <c r="P27" s="3808"/>
      <c r="Q27" s="1349" t="str">
        <f t="shared" ref="Q27:Q47" si="11">B27</f>
        <v>楼层</v>
      </c>
      <c r="R27" s="703" t="s">
        <v>14</v>
      </c>
      <c r="S27" s="704">
        <f>F27</f>
        <v>100</v>
      </c>
      <c r="T27" s="703" t="s">
        <v>14</v>
      </c>
      <c r="U27" s="704">
        <f>H27</f>
        <v>100</v>
      </c>
      <c r="V27" s="703" t="s">
        <v>14</v>
      </c>
      <c r="W27" s="704">
        <f>J27</f>
        <v>100</v>
      </c>
      <c r="X27" s="1352"/>
      <c r="Y27" s="3801"/>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1"/>
      <c r="M28" s="2712"/>
      <c r="N28" s="2712"/>
      <c r="O28" s="2712"/>
      <c r="P28" s="3808"/>
      <c r="Q28" s="1340" t="str">
        <f t="shared" si="11"/>
        <v>朝向</v>
      </c>
      <c r="R28" s="699" t="s">
        <v>14</v>
      </c>
      <c r="S28" s="700">
        <f>F28</f>
        <v>100</v>
      </c>
      <c r="T28" s="699" t="s">
        <v>14</v>
      </c>
      <c r="U28" s="700">
        <f>H28</f>
        <v>100</v>
      </c>
      <c r="V28" s="699" t="s">
        <v>14</v>
      </c>
      <c r="W28" s="700">
        <f>J28</f>
        <v>100</v>
      </c>
      <c r="X28" s="701"/>
      <c r="Y28" s="3801"/>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6"/>
      <c r="M29" s="2710"/>
      <c r="N29" s="2710"/>
      <c r="O29" s="2710"/>
      <c r="P29" s="3808"/>
      <c r="Q29" s="1349">
        <f t="shared" si="11"/>
        <v>111</v>
      </c>
      <c r="R29" s="703" t="s">
        <v>14</v>
      </c>
      <c r="S29" s="704">
        <f t="shared" ref="S29:S47" si="12">F29</f>
        <v>100</v>
      </c>
      <c r="T29" s="703" t="s">
        <v>14</v>
      </c>
      <c r="U29" s="704">
        <f t="shared" ref="U29:U47" si="13">H29</f>
        <v>100</v>
      </c>
      <c r="V29" s="703" t="s">
        <v>14</v>
      </c>
      <c r="W29" s="704">
        <f t="shared" ref="W29:W47" si="14">J29</f>
        <v>100</v>
      </c>
      <c r="X29" s="1352"/>
      <c r="Y29" s="3801"/>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6"/>
      <c r="M30" s="2710"/>
      <c r="N30" s="2710"/>
      <c r="O30" s="2710"/>
      <c r="P30" s="3808"/>
      <c r="Q30" s="1349">
        <f t="shared" si="11"/>
        <v>111</v>
      </c>
      <c r="R30" s="703" t="s">
        <v>14</v>
      </c>
      <c r="S30" s="704">
        <f t="shared" si="12"/>
        <v>100</v>
      </c>
      <c r="T30" s="703" t="s">
        <v>14</v>
      </c>
      <c r="U30" s="704">
        <f t="shared" si="13"/>
        <v>100</v>
      </c>
      <c r="V30" s="703" t="s">
        <v>14</v>
      </c>
      <c r="W30" s="704">
        <f t="shared" si="14"/>
        <v>100</v>
      </c>
      <c r="X30" s="1352"/>
      <c r="Y30" s="3801"/>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6"/>
      <c r="M31" s="2710"/>
      <c r="N31" s="2710"/>
      <c r="O31" s="2710"/>
      <c r="P31" s="3808"/>
      <c r="Q31" s="1349">
        <f t="shared" si="11"/>
        <v>111</v>
      </c>
      <c r="R31" s="703" t="s">
        <v>14</v>
      </c>
      <c r="S31" s="704">
        <f t="shared" si="12"/>
        <v>100</v>
      </c>
      <c r="T31" s="703" t="s">
        <v>14</v>
      </c>
      <c r="U31" s="704">
        <f t="shared" si="13"/>
        <v>100</v>
      </c>
      <c r="V31" s="703" t="s">
        <v>14</v>
      </c>
      <c r="W31" s="704">
        <f t="shared" si="14"/>
        <v>100</v>
      </c>
      <c r="X31" s="1352"/>
      <c r="Y31" s="3801"/>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6"/>
      <c r="M32" s="2710"/>
      <c r="N32" s="2710"/>
      <c r="O32" s="2710"/>
      <c r="P32" s="3808"/>
      <c r="Q32" s="1349">
        <f t="shared" si="11"/>
        <v>111</v>
      </c>
      <c r="R32" s="703" t="s">
        <v>14</v>
      </c>
      <c r="S32" s="704">
        <f t="shared" si="12"/>
        <v>100</v>
      </c>
      <c r="T32" s="703" t="s">
        <v>14</v>
      </c>
      <c r="U32" s="704">
        <f t="shared" si="13"/>
        <v>100</v>
      </c>
      <c r="V32" s="703" t="s">
        <v>14</v>
      </c>
      <c r="W32" s="704">
        <f t="shared" si="14"/>
        <v>100</v>
      </c>
      <c r="X32" s="1352"/>
      <c r="Y32" s="3801"/>
      <c r="Z32" s="1353">
        <f t="shared" si="15"/>
        <v>111</v>
      </c>
      <c r="AA32" s="1350">
        <f t="shared" si="3"/>
        <v>1</v>
      </c>
      <c r="AB32" s="1350">
        <f t="shared" si="4"/>
        <v>1</v>
      </c>
      <c r="AC32" s="1958">
        <f t="shared" si="5"/>
        <v>1</v>
      </c>
    </row>
    <row r="33" spans="1:29" ht="15">
      <c r="A33" s="390" t="s">
        <v>1694</v>
      </c>
      <c r="B33" s="62" t="s">
        <v>1817</v>
      </c>
      <c r="C33" s="1963" t="s">
        <v>3616</v>
      </c>
      <c r="D33" s="417">
        <v>100</v>
      </c>
      <c r="E33" s="1963" t="s">
        <v>3614</v>
      </c>
      <c r="F33" s="411">
        <f>SUMIF(101:101,E33,102:102)-SUMIF(101:101,C33,102:102)+100</f>
        <v>105</v>
      </c>
      <c r="G33" s="1963" t="s">
        <v>3614</v>
      </c>
      <c r="H33" s="385">
        <f>SUMIF(101:101,G33,102:102)-SUMIF(101:101,C33,102:102)+100</f>
        <v>105</v>
      </c>
      <c r="I33" s="1963" t="s">
        <v>3614</v>
      </c>
      <c r="J33" s="417">
        <f>SUMIF(101:101,I33,102:102)-SUMIF(101:101,C33,102:102)+100</f>
        <v>105</v>
      </c>
      <c r="K33" s="560">
        <v>5</v>
      </c>
      <c r="L33" s="2716"/>
      <c r="M33" s="2710"/>
      <c r="N33" s="2710"/>
      <c r="O33" s="2710"/>
      <c r="P33" s="3802" t="s">
        <v>1696</v>
      </c>
      <c r="Q33" s="1349" t="str">
        <f t="shared" si="11"/>
        <v>建筑类型</v>
      </c>
      <c r="R33" s="703" t="s">
        <v>14</v>
      </c>
      <c r="S33" s="704">
        <f t="shared" si="12"/>
        <v>105</v>
      </c>
      <c r="T33" s="703" t="s">
        <v>14</v>
      </c>
      <c r="U33" s="704">
        <f t="shared" si="13"/>
        <v>105</v>
      </c>
      <c r="V33" s="703" t="s">
        <v>14</v>
      </c>
      <c r="W33" s="704">
        <f t="shared" si="14"/>
        <v>105</v>
      </c>
      <c r="X33" s="1352"/>
      <c r="Y33" s="3805"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135.71</v>
      </c>
      <c r="D34" s="126">
        <v>100</v>
      </c>
      <c r="E34" s="380">
        <f>Sheet1!F9</f>
        <v>74</v>
      </c>
      <c r="F34" s="375">
        <f>LOOKUP(E34,104:104,105:105)-LOOKUP(C34,104:104,105:105)+100</f>
        <v>100</v>
      </c>
      <c r="G34" s="379">
        <f>Sheet1!F10</f>
        <v>69</v>
      </c>
      <c r="H34" s="126">
        <f>LOOKUP(G34,104:104,105:105)-LOOKUP(C34,104:104,105:105)+100</f>
        <v>100</v>
      </c>
      <c r="I34" s="379">
        <f>Sheet1!F11</f>
        <v>550</v>
      </c>
      <c r="J34" s="126">
        <f>LOOKUP(I34,104:104,105:105)-LOOKUP(C34,104:104,105:105)+100</f>
        <v>98</v>
      </c>
      <c r="K34" s="561"/>
      <c r="L34" s="2715"/>
      <c r="M34" s="2717"/>
      <c r="N34" s="2717"/>
      <c r="O34" s="2717"/>
      <c r="P34" s="3803"/>
      <c r="Q34" s="705" t="str">
        <f t="shared" si="11"/>
        <v>项目建筑规模</v>
      </c>
      <c r="R34" s="706" t="s">
        <v>14</v>
      </c>
      <c r="S34" s="707">
        <f t="shared" si="12"/>
        <v>100</v>
      </c>
      <c r="T34" s="706" t="s">
        <v>14</v>
      </c>
      <c r="U34" s="707">
        <f t="shared" si="13"/>
        <v>100</v>
      </c>
      <c r="V34" s="706" t="s">
        <v>14</v>
      </c>
      <c r="W34" s="707">
        <f t="shared" si="14"/>
        <v>98</v>
      </c>
      <c r="X34" s="708"/>
      <c r="Y34" s="3805"/>
      <c r="Z34" s="709" t="str">
        <f t="shared" si="15"/>
        <v>项目建筑规模</v>
      </c>
      <c r="AA34" s="1350">
        <f t="shared" si="3"/>
        <v>1</v>
      </c>
      <c r="AB34" s="1350">
        <f t="shared" si="4"/>
        <v>1</v>
      </c>
      <c r="AC34" s="1958">
        <f t="shared" si="5"/>
        <v>1.0204081632653061</v>
      </c>
    </row>
    <row r="35" spans="1:29" ht="15">
      <c r="A35" s="422"/>
      <c r="B35" s="374" t="s">
        <v>1698</v>
      </c>
      <c r="C35" s="410" t="s">
        <v>3627</v>
      </c>
      <c r="D35" s="385">
        <v>100</v>
      </c>
      <c r="E35" s="410" t="s">
        <v>3536</v>
      </c>
      <c r="F35" s="411">
        <f>SUMIF(106:106,E35,107:107)-SUMIF(106:106,C35,107:107)+100</f>
        <v>102</v>
      </c>
      <c r="G35" s="410" t="s">
        <v>3536</v>
      </c>
      <c r="H35" s="385">
        <f>SUMIF(106:106,G35,107:107)-SUMIF(106:106,C35,107:107)+100</f>
        <v>102</v>
      </c>
      <c r="I35" s="410" t="s">
        <v>3536</v>
      </c>
      <c r="J35" s="385">
        <f>SUMIF(106:106,I35,107:107)-SUMIF(106:106,C35,107:107)+100</f>
        <v>102</v>
      </c>
      <c r="K35" s="560">
        <v>2</v>
      </c>
      <c r="L35" s="2716"/>
      <c r="M35" s="2710"/>
      <c r="N35" s="2710"/>
      <c r="O35" s="2710"/>
      <c r="P35" s="3803"/>
      <c r="Q35" s="1349" t="str">
        <f t="shared" si="11"/>
        <v>建筑结构</v>
      </c>
      <c r="R35" s="703" t="s">
        <v>14</v>
      </c>
      <c r="S35" s="704">
        <f t="shared" si="12"/>
        <v>102</v>
      </c>
      <c r="T35" s="703" t="s">
        <v>14</v>
      </c>
      <c r="U35" s="704">
        <f t="shared" si="13"/>
        <v>102</v>
      </c>
      <c r="V35" s="703" t="s">
        <v>14</v>
      </c>
      <c r="W35" s="704">
        <f t="shared" si="14"/>
        <v>102</v>
      </c>
      <c r="X35" s="1352"/>
      <c r="Y35" s="3805"/>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803"/>
      <c r="Q36" s="1349" t="str">
        <f t="shared" si="11"/>
        <v>公共部分装修</v>
      </c>
      <c r="R36" s="703" t="s">
        <v>14</v>
      </c>
      <c r="S36" s="704">
        <f t="shared" si="12"/>
        <v>100</v>
      </c>
      <c r="T36" s="703" t="s">
        <v>14</v>
      </c>
      <c r="U36" s="704">
        <f t="shared" si="13"/>
        <v>100</v>
      </c>
      <c r="V36" s="703" t="s">
        <v>14</v>
      </c>
      <c r="W36" s="704">
        <f t="shared" si="14"/>
        <v>100</v>
      </c>
      <c r="X36" s="1352"/>
      <c r="Y36" s="3805"/>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6"/>
      <c r="M37" s="2710"/>
      <c r="N37" s="2710"/>
      <c r="O37" s="2710"/>
      <c r="P37" s="3803"/>
      <c r="Q37" s="1349" t="str">
        <f t="shared" si="11"/>
        <v>成新度</v>
      </c>
      <c r="R37" s="703" t="s">
        <v>14</v>
      </c>
      <c r="S37" s="704">
        <f t="shared" si="12"/>
        <v>104</v>
      </c>
      <c r="T37" s="703" t="s">
        <v>14</v>
      </c>
      <c r="U37" s="704">
        <f t="shared" si="13"/>
        <v>104</v>
      </c>
      <c r="V37" s="703" t="s">
        <v>14</v>
      </c>
      <c r="W37" s="704">
        <f t="shared" si="14"/>
        <v>104</v>
      </c>
      <c r="X37" s="1352"/>
      <c r="Y37" s="3805"/>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803"/>
      <c r="Q38" s="1340" t="str">
        <f t="shared" si="11"/>
        <v>写字楼等级</v>
      </c>
      <c r="R38" s="699" t="s">
        <v>14</v>
      </c>
      <c r="S38" s="700">
        <f t="shared" si="12"/>
        <v>100</v>
      </c>
      <c r="T38" s="699" t="s">
        <v>14</v>
      </c>
      <c r="U38" s="700">
        <f t="shared" si="13"/>
        <v>100</v>
      </c>
      <c r="V38" s="699" t="s">
        <v>14</v>
      </c>
      <c r="W38" s="700">
        <f t="shared" si="14"/>
        <v>100</v>
      </c>
      <c r="X38" s="701"/>
      <c r="Y38" s="3805"/>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803" t="s">
        <v>1696</v>
      </c>
      <c r="Q39" s="1349" t="str">
        <f t="shared" si="11"/>
        <v>物业管理</v>
      </c>
      <c r="R39" s="703" t="s">
        <v>14</v>
      </c>
      <c r="S39" s="704">
        <f t="shared" si="12"/>
        <v>100</v>
      </c>
      <c r="T39" s="703" t="s">
        <v>14</v>
      </c>
      <c r="U39" s="704">
        <f t="shared" si="13"/>
        <v>100</v>
      </c>
      <c r="V39" s="703" t="s">
        <v>14</v>
      </c>
      <c r="W39" s="704">
        <f t="shared" si="14"/>
        <v>100</v>
      </c>
      <c r="X39" s="1352"/>
      <c r="Y39" s="3805"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803"/>
      <c r="Q40" s="1349" t="str">
        <f t="shared" si="11"/>
        <v>市政基础设施</v>
      </c>
      <c r="R40" s="703" t="s">
        <v>14</v>
      </c>
      <c r="S40" s="704">
        <f t="shared" si="12"/>
        <v>100</v>
      </c>
      <c r="T40" s="703" t="s">
        <v>14</v>
      </c>
      <c r="U40" s="704">
        <f t="shared" si="13"/>
        <v>100</v>
      </c>
      <c r="V40" s="703" t="s">
        <v>14</v>
      </c>
      <c r="W40" s="704">
        <f t="shared" si="14"/>
        <v>100</v>
      </c>
      <c r="X40" s="1352"/>
      <c r="Y40" s="3805"/>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803"/>
      <c r="Q41" s="1349" t="str">
        <f t="shared" si="11"/>
        <v>层高</v>
      </c>
      <c r="R41" s="703" t="s">
        <v>14</v>
      </c>
      <c r="S41" s="704">
        <f t="shared" si="12"/>
        <v>100</v>
      </c>
      <c r="T41" s="703" t="s">
        <v>14</v>
      </c>
      <c r="U41" s="704">
        <f t="shared" si="13"/>
        <v>100</v>
      </c>
      <c r="V41" s="703" t="s">
        <v>14</v>
      </c>
      <c r="W41" s="704">
        <f t="shared" si="14"/>
        <v>100</v>
      </c>
      <c r="X41" s="1352"/>
      <c r="Y41" s="3805"/>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803"/>
      <c r="Q42" s="705" t="str">
        <f t="shared" si="11"/>
        <v>单套建筑面积</v>
      </c>
      <c r="R42" s="706" t="s">
        <v>14</v>
      </c>
      <c r="S42" s="707">
        <f t="shared" si="12"/>
        <v>100</v>
      </c>
      <c r="T42" s="706" t="s">
        <v>14</v>
      </c>
      <c r="U42" s="707">
        <f t="shared" si="13"/>
        <v>100</v>
      </c>
      <c r="V42" s="706" t="s">
        <v>14</v>
      </c>
      <c r="W42" s="707">
        <f t="shared" si="14"/>
        <v>100</v>
      </c>
      <c r="X42" s="708"/>
      <c r="Y42" s="3805"/>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803"/>
      <c r="Q43" s="1349" t="str">
        <f t="shared" si="11"/>
        <v>内部装修</v>
      </c>
      <c r="R43" s="703" t="s">
        <v>14</v>
      </c>
      <c r="S43" s="704">
        <f t="shared" si="12"/>
        <v>100</v>
      </c>
      <c r="T43" s="703" t="s">
        <v>14</v>
      </c>
      <c r="U43" s="704">
        <f t="shared" si="13"/>
        <v>100</v>
      </c>
      <c r="V43" s="703" t="s">
        <v>14</v>
      </c>
      <c r="W43" s="704">
        <f t="shared" si="14"/>
        <v>100</v>
      </c>
      <c r="X43" s="1352"/>
      <c r="Y43" s="3805"/>
      <c r="Z43" s="1353" t="str">
        <f t="shared" si="15"/>
        <v>内部装修</v>
      </c>
      <c r="AA43" s="1350">
        <f t="shared" si="3"/>
        <v>1</v>
      </c>
      <c r="AB43" s="1350">
        <f t="shared" si="4"/>
        <v>1</v>
      </c>
      <c r="AC43" s="1958">
        <f t="shared" si="5"/>
        <v>1</v>
      </c>
    </row>
    <row r="44" spans="1:29" ht="15">
      <c r="A44" s="422"/>
      <c r="B44" s="374" t="s">
        <v>1707</v>
      </c>
      <c r="C44" s="410" t="s">
        <v>3510</v>
      </c>
      <c r="D44" s="385">
        <v>100</v>
      </c>
      <c r="E44" s="1902" t="s">
        <v>3511</v>
      </c>
      <c r="F44" s="411">
        <f>SUMIF(125:125,E44,126:126)-SUMIF(125:125,C44,126:126)+100</f>
        <v>102</v>
      </c>
      <c r="G44" s="1902" t="s">
        <v>3511</v>
      </c>
      <c r="H44" s="385">
        <f>SUMIF(125:125,G44,126:126)-SUMIF(125:125,C44,126:126)+100</f>
        <v>102</v>
      </c>
      <c r="I44" s="1902" t="s">
        <v>3511</v>
      </c>
      <c r="J44" s="385">
        <f>SUMIF(125:125,I44,126:126)-SUMIF(125:125,C44,126:126)+100</f>
        <v>102</v>
      </c>
      <c r="K44" s="560">
        <v>2</v>
      </c>
      <c r="L44" s="2716"/>
      <c r="M44" s="2710"/>
      <c r="N44" s="2710"/>
      <c r="O44" s="2710"/>
      <c r="P44" s="3803"/>
      <c r="Q44" s="1349" t="str">
        <f t="shared" si="11"/>
        <v>内部装修维护情况</v>
      </c>
      <c r="R44" s="703" t="s">
        <v>14</v>
      </c>
      <c r="S44" s="704">
        <f t="shared" si="12"/>
        <v>102</v>
      </c>
      <c r="T44" s="703" t="s">
        <v>14</v>
      </c>
      <c r="U44" s="704">
        <f t="shared" si="13"/>
        <v>102</v>
      </c>
      <c r="V44" s="703" t="s">
        <v>14</v>
      </c>
      <c r="W44" s="704">
        <f t="shared" si="14"/>
        <v>102</v>
      </c>
      <c r="X44" s="1352"/>
      <c r="Y44" s="3805"/>
      <c r="Z44" s="1353" t="str">
        <f t="shared" si="15"/>
        <v>内部装修维护情况</v>
      </c>
      <c r="AA44" s="1350">
        <f t="shared" si="3"/>
        <v>0.98039215686274506</v>
      </c>
      <c r="AB44" s="1350">
        <f t="shared" si="4"/>
        <v>0.98039215686274506</v>
      </c>
      <c r="AC44" s="1958">
        <f t="shared" si="5"/>
        <v>0.98039215686274506</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803"/>
      <c r="Q45" s="1340">
        <f t="shared" si="11"/>
        <v>111</v>
      </c>
      <c r="R45" s="699" t="s">
        <v>14</v>
      </c>
      <c r="S45" s="700">
        <f t="shared" si="12"/>
        <v>100</v>
      </c>
      <c r="T45" s="699" t="s">
        <v>14</v>
      </c>
      <c r="U45" s="700">
        <f t="shared" si="13"/>
        <v>100</v>
      </c>
      <c r="V45" s="699" t="s">
        <v>14</v>
      </c>
      <c r="W45" s="700">
        <f t="shared" si="14"/>
        <v>100</v>
      </c>
      <c r="X45" s="701"/>
      <c r="Y45" s="3805"/>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803"/>
      <c r="Q46" s="1349">
        <f t="shared" si="11"/>
        <v>111</v>
      </c>
      <c r="R46" s="703" t="s">
        <v>14</v>
      </c>
      <c r="S46" s="704">
        <f t="shared" si="12"/>
        <v>100</v>
      </c>
      <c r="T46" s="703" t="s">
        <v>14</v>
      </c>
      <c r="U46" s="704">
        <f t="shared" si="13"/>
        <v>100</v>
      </c>
      <c r="V46" s="703" t="s">
        <v>14</v>
      </c>
      <c r="W46" s="704">
        <f t="shared" si="14"/>
        <v>100</v>
      </c>
      <c r="X46" s="1352"/>
      <c r="Y46" s="3805"/>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804"/>
      <c r="Q47" s="1349">
        <f t="shared" si="11"/>
        <v>111</v>
      </c>
      <c r="R47" s="703" t="s">
        <v>14</v>
      </c>
      <c r="S47" s="704">
        <f t="shared" si="12"/>
        <v>100</v>
      </c>
      <c r="T47" s="703" t="s">
        <v>14</v>
      </c>
      <c r="U47" s="704">
        <f t="shared" si="13"/>
        <v>100</v>
      </c>
      <c r="V47" s="703" t="s">
        <v>14</v>
      </c>
      <c r="W47" s="704">
        <f t="shared" si="14"/>
        <v>100</v>
      </c>
      <c r="X47" s="1352"/>
      <c r="Y47" s="3806"/>
      <c r="Z47" s="1353">
        <f t="shared" si="15"/>
        <v>111</v>
      </c>
      <c r="AA47" s="1350">
        <f t="shared" si="3"/>
        <v>1</v>
      </c>
      <c r="AB47" s="1350">
        <f t="shared" si="4"/>
        <v>1</v>
      </c>
      <c r="AC47" s="1958">
        <f t="shared" si="5"/>
        <v>1</v>
      </c>
    </row>
    <row r="48" spans="1:29" ht="15">
      <c r="A48" s="429" t="s">
        <v>1708</v>
      </c>
      <c r="B48" s="430"/>
      <c r="C48" s="1151" t="s">
        <v>0</v>
      </c>
      <c r="D48" s="1152"/>
      <c r="E48" s="1153">
        <f>Sheet1!G9</f>
        <v>1.85</v>
      </c>
      <c r="F48" s="1154"/>
      <c r="G48" s="1155">
        <f>Sheet1!G10</f>
        <v>1.84</v>
      </c>
      <c r="H48" s="1156"/>
      <c r="I48" s="1153">
        <f>Sheet1!G11</f>
        <v>1.7</v>
      </c>
      <c r="J48" s="435"/>
      <c r="K48" s="712"/>
      <c r="L48" s="2718"/>
      <c r="M48" s="2710"/>
      <c r="N48" s="2710"/>
      <c r="O48" s="2710"/>
      <c r="P48" s="3809" t="str">
        <f>A48</f>
        <v>成交单价（元/平方米）</v>
      </c>
      <c r="Q48" s="3798"/>
      <c r="R48" s="3799">
        <f>E48</f>
        <v>1.85</v>
      </c>
      <c r="S48" s="3799"/>
      <c r="T48" s="3799">
        <f>G48</f>
        <v>1.84</v>
      </c>
      <c r="U48" s="3799"/>
      <c r="V48" s="3799">
        <f>I48</f>
        <v>1.7</v>
      </c>
      <c r="W48" s="3799"/>
      <c r="X48" s="396"/>
      <c r="Y48" s="710"/>
      <c r="Z48" s="396"/>
      <c r="AA48" s="396"/>
      <c r="AB48" s="396"/>
      <c r="AC48" s="576"/>
    </row>
    <row r="49" spans="1:29" ht="15.75" thickBot="1">
      <c r="A49" s="436" t="s">
        <v>1793</v>
      </c>
      <c r="B49" s="437"/>
      <c r="C49" s="1157">
        <f>R50</f>
        <v>1.6</v>
      </c>
      <c r="D49" s="2313" t="s">
        <v>2135</v>
      </c>
      <c r="E49" s="1158">
        <f>R49</f>
        <v>1.6</v>
      </c>
      <c r="F49" s="2314"/>
      <c r="G49" s="1157">
        <f>T49</f>
        <v>1.6</v>
      </c>
      <c r="H49" s="2314"/>
      <c r="I49" s="1158">
        <f>V49</f>
        <v>1.5</v>
      </c>
      <c r="J49" s="2314"/>
      <c r="K49" s="2316">
        <f>F49+H49+J49</f>
        <v>0</v>
      </c>
      <c r="L49" s="2718"/>
      <c r="M49" s="2710"/>
      <c r="N49" s="2710"/>
      <c r="O49" s="2710"/>
      <c r="P49" s="3809" t="str">
        <f>A49</f>
        <v>比较价值（元/平方米）</v>
      </c>
      <c r="Q49" s="3798"/>
      <c r="R49" s="3799">
        <f>IF(F1="售价",ROUND(PRODUCT(R48,AA7:AA47),0),ROUND(PRODUCT(R48,AA7:AA47),1))</f>
        <v>1.6</v>
      </c>
      <c r="S49" s="3799"/>
      <c r="T49" s="3799">
        <f>IF(F1="售价",ROUND(PRODUCT(T48,AB7:AB47),0),ROUND(PRODUCT(T48,AB7:AB47),1))</f>
        <v>1.6</v>
      </c>
      <c r="U49" s="3799"/>
      <c r="V49" s="3799">
        <f>IF(F1="售价",ROUND(PRODUCT(V48,AC7:AC47),0),ROUND(PRODUCT(V48,AC7:AC47),1))</f>
        <v>1.5</v>
      </c>
      <c r="W49" s="3799"/>
      <c r="X49" s="396"/>
      <c r="Y49" s="396"/>
      <c r="Z49" s="396"/>
      <c r="AA49" s="396"/>
      <c r="AB49" s="396"/>
      <c r="AC49" s="576"/>
    </row>
    <row r="50" spans="1:29" ht="15.75" thickBot="1">
      <c r="A50" s="440" t="s">
        <v>1794</v>
      </c>
      <c r="B50" s="441"/>
      <c r="C50" s="1160">
        <f>R50</f>
        <v>1.6</v>
      </c>
      <c r="D50" s="1160"/>
      <c r="E50" s="1160"/>
      <c r="F50" s="1160"/>
      <c r="G50" s="1160"/>
      <c r="H50" s="1160"/>
      <c r="I50" s="1160"/>
      <c r="J50" s="442"/>
      <c r="K50" s="713"/>
      <c r="L50" s="2718"/>
      <c r="M50" s="2710"/>
      <c r="N50" s="2710"/>
      <c r="O50" s="2710"/>
      <c r="P50" s="3843" t="str">
        <f>A50</f>
        <v>估价对象XX用房的比较价值（楼面单价，元/平方米）</v>
      </c>
      <c r="Q50" s="3844"/>
      <c r="R50" s="3845">
        <f>IF(F1="售价",ROUND(IF(D49="简单平均",AVERAGE(R49:V49),R49*F49+T49*H49+V49*J49),0),ROUND(IF(D49="简单平均",AVERAGE(R49:V49),R49*F49+T49*H49+V49*J49),1))</f>
        <v>1.6</v>
      </c>
      <c r="S50" s="3845"/>
      <c r="T50" s="3845"/>
      <c r="U50" s="3845"/>
      <c r="V50" s="3845"/>
      <c r="W50" s="384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0.15625</v>
      </c>
      <c r="F53" s="448" t="str">
        <f>IF(OR(E53&gt;=0.3,E53&lt;=-0.3),"超过30%","")</f>
        <v/>
      </c>
      <c r="G53" s="447">
        <f>IF(G48&lt;G49,G49/G48-1,G48/G49-1)</f>
        <v>0.14999999999999991</v>
      </c>
      <c r="H53" s="448" t="str">
        <f>IF(OR(G53&gt;=0.3,G53&lt;=-0.3),"超过30%","")</f>
        <v/>
      </c>
      <c r="I53" s="447">
        <f>IF(I48&lt;I49,I49/I48-1,I48/I49-1)</f>
        <v>0.1333333333333333</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6.6666666666666652E-2</v>
      </c>
      <c r="H54" s="448" t="str">
        <f>IF(OR(G54&gt;=0.2,G54&lt;=-0.2),"超过20%","")</f>
        <v/>
      </c>
      <c r="I54" s="447">
        <f>IF(I49&lt;E49,E49/I49-1,I49/E49-1)</f>
        <v>6.6666666666666652E-2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5.4347826086955653E-3</v>
      </c>
      <c r="F55" s="448" t="str">
        <f>IF(OR(E55&gt;=0.3,E55&lt;=-0.3),"超过30%","")</f>
        <v/>
      </c>
      <c r="G55" s="447">
        <f>IF(G48&lt;I48,I48/G48-1,G48/I48-1)</f>
        <v>8.235294117647074E-2</v>
      </c>
      <c r="H55" s="448" t="str">
        <f>IF(OR(G55&gt;=0.3,G55&lt;=-0.3),"超过30%","")</f>
        <v/>
      </c>
      <c r="I55" s="447">
        <f>IF(I48&lt;E48,E48/I48-1,I48/E48-1)</f>
        <v>8.8235294117647189E-2</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3"/>
      <c r="Q59" s="2735"/>
      <c r="R59" s="2735"/>
      <c r="S59" s="2735"/>
      <c r="T59" s="2735"/>
      <c r="U59" s="2735"/>
      <c r="V59" s="2735"/>
      <c r="W59" s="2735"/>
      <c r="X59" s="2735"/>
      <c r="Y59" s="2735"/>
      <c r="Z59" s="2735"/>
      <c r="AA59" s="2735"/>
      <c r="AB59" s="2735"/>
      <c r="AC59" s="2735"/>
    </row>
    <row r="60" spans="1:29" s="107" customFormat="1" ht="15">
      <c r="A60" s="457"/>
      <c r="B60" s="458"/>
      <c r="C60" s="1180">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7" customFormat="1" ht="15">
      <c r="A62" s="469" t="s">
        <v>1681</v>
      </c>
      <c r="B62" s="458"/>
      <c r="C62" s="470" t="s">
        <v>1776</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7"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1719</v>
      </c>
      <c r="B64" s="476" t="s">
        <v>1685</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98</v>
      </c>
      <c r="E78" s="492">
        <f>D78-$K15</f>
        <v>96</v>
      </c>
      <c r="F78" s="492">
        <f>E78-$K15</f>
        <v>94</v>
      </c>
      <c r="G78" s="492">
        <f>F78-$K15</f>
        <v>92</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6" t="s">
        <v>1799</v>
      </c>
      <c r="D83" s="606" t="s">
        <v>1800</v>
      </c>
      <c r="E83" s="606" t="s">
        <v>1801</v>
      </c>
      <c r="F83" s="606" t="s">
        <v>1802</v>
      </c>
      <c r="G83" s="606" t="s">
        <v>1803</v>
      </c>
      <c r="H83" s="487"/>
      <c r="I83" s="487"/>
      <c r="J83" s="487"/>
      <c r="K83" s="487"/>
      <c r="L83" s="487"/>
      <c r="M83" s="1126"/>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98</v>
      </c>
      <c r="E86" s="492">
        <f>D86-$K23</f>
        <v>96</v>
      </c>
      <c r="F86" s="492">
        <f>E86-$K23</f>
        <v>94</v>
      </c>
      <c r="G86" s="492">
        <f>F86-$K23</f>
        <v>92</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7" customFormat="1" ht="15.75" thickTop="1">
      <c r="A89" s="527"/>
      <c r="B89" s="486" t="str">
        <f>B27</f>
        <v>楼层</v>
      </c>
      <c r="C89" s="502"/>
      <c r="D89" s="502"/>
      <c r="E89" s="502"/>
      <c r="F89" s="1923"/>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4"/>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524" t="s">
        <v>3615</v>
      </c>
      <c r="D101" s="3524" t="s">
        <v>3617</v>
      </c>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1000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523" t="s">
        <v>3618</v>
      </c>
      <c r="D106" s="3523" t="s">
        <v>3628</v>
      </c>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69"/>
      <c r="J111" s="569"/>
      <c r="K111" s="570"/>
      <c r="L111" s="571"/>
      <c r="M111" s="572"/>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2" t="s">
        <v>1825</v>
      </c>
      <c r="C119" s="531"/>
      <c r="D119" s="531"/>
      <c r="E119" s="531"/>
      <c r="F119" s="531"/>
      <c r="G119" s="531"/>
      <c r="H119" s="531"/>
      <c r="I119" s="531"/>
      <c r="J119" s="531"/>
      <c r="K119" s="531"/>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523" t="s">
        <v>3619</v>
      </c>
      <c r="D123" s="3523" t="s">
        <v>3620</v>
      </c>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7"/>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135.71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911"/>
      <c r="M4" s="912"/>
      <c r="N4" s="912"/>
      <c r="O4" s="912"/>
      <c r="P4" s="3817" t="s">
        <v>1775</v>
      </c>
      <c r="Q4" s="3818"/>
      <c r="R4" s="3823" t="s">
        <v>1771</v>
      </c>
      <c r="S4" s="3824"/>
      <c r="T4" s="3823" t="s">
        <v>1772</v>
      </c>
      <c r="U4" s="3824"/>
      <c r="V4" s="3829" t="s">
        <v>1773</v>
      </c>
      <c r="W4" s="3829"/>
      <c r="X4" s="1352"/>
      <c r="Y4" s="3823" t="s">
        <v>1775</v>
      </c>
      <c r="Z4" s="3824"/>
      <c r="AA4" s="3810" t="s">
        <v>1771</v>
      </c>
      <c r="AB4" s="3811" t="s">
        <v>1772</v>
      </c>
      <c r="AC4" s="3810" t="s">
        <v>1773</v>
      </c>
    </row>
    <row r="5" spans="1:29" ht="15">
      <c r="A5" s="357"/>
      <c r="B5" s="358"/>
      <c r="C5" s="3832" t="s">
        <v>1673</v>
      </c>
      <c r="D5" s="3833"/>
      <c r="E5" s="3839" t="s">
        <v>1674</v>
      </c>
      <c r="F5" s="3840"/>
      <c r="G5" s="3832" t="s">
        <v>1675</v>
      </c>
      <c r="H5" s="3833"/>
      <c r="I5" s="3832" t="s">
        <v>1676</v>
      </c>
      <c r="J5" s="3833"/>
      <c r="K5" s="558"/>
      <c r="L5" s="911"/>
      <c r="M5" s="912"/>
      <c r="N5" s="912"/>
      <c r="O5" s="912"/>
      <c r="P5" s="3819"/>
      <c r="Q5" s="3820"/>
      <c r="R5" s="3825"/>
      <c r="S5" s="3826"/>
      <c r="T5" s="3825"/>
      <c r="U5" s="3826"/>
      <c r="V5" s="3829"/>
      <c r="W5" s="3829"/>
      <c r="X5" s="1352"/>
      <c r="Y5" s="3825"/>
      <c r="Z5" s="3826"/>
      <c r="AA5" s="3811"/>
      <c r="AB5" s="3811"/>
      <c r="AC5" s="3811"/>
    </row>
    <row r="6" spans="1:29" ht="15.75" thickBot="1">
      <c r="A6" s="359"/>
      <c r="B6" s="360"/>
      <c r="C6" s="3830" t="s">
        <v>1677</v>
      </c>
      <c r="D6" s="3831"/>
      <c r="E6" s="3837" t="s">
        <v>1677</v>
      </c>
      <c r="F6" s="3838"/>
      <c r="G6" s="3830" t="s">
        <v>1677</v>
      </c>
      <c r="H6" s="3831"/>
      <c r="I6" s="3830" t="s">
        <v>1677</v>
      </c>
      <c r="J6" s="3831"/>
      <c r="K6" s="558" t="s">
        <v>1678</v>
      </c>
      <c r="L6" s="911"/>
      <c r="M6" s="912"/>
      <c r="N6" s="912"/>
      <c r="O6" s="912"/>
      <c r="P6" s="3821"/>
      <c r="Q6" s="3822"/>
      <c r="R6" s="3825"/>
      <c r="S6" s="3826"/>
      <c r="T6" s="3827"/>
      <c r="U6" s="3828"/>
      <c r="V6" s="3829"/>
      <c r="W6" s="3829"/>
      <c r="X6" s="1352"/>
      <c r="Y6" s="3827"/>
      <c r="Z6" s="3828"/>
      <c r="AA6" s="3812"/>
      <c r="AB6" s="3812"/>
      <c r="AC6" s="3812"/>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34" t="s">
        <v>1680</v>
      </c>
      <c r="Q7" s="3836"/>
      <c r="R7" s="699" t="s">
        <v>14</v>
      </c>
      <c r="S7" s="700">
        <f t="shared" ref="S7:S15" si="0">F7</f>
        <v>0</v>
      </c>
      <c r="T7" s="699" t="s">
        <v>14</v>
      </c>
      <c r="U7" s="700">
        <f t="shared" ref="U7:U15" si="1">H7</f>
        <v>0</v>
      </c>
      <c r="V7" s="699" t="s">
        <v>14</v>
      </c>
      <c r="W7" s="700">
        <f t="shared" ref="W7:W15" si="2">J7</f>
        <v>0</v>
      </c>
      <c r="X7" s="701"/>
      <c r="Y7" s="3834" t="s">
        <v>1680</v>
      </c>
      <c r="Z7" s="3835"/>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34" t="s">
        <v>1683</v>
      </c>
      <c r="Q8" s="3835"/>
      <c r="R8" s="699" t="s">
        <v>14</v>
      </c>
      <c r="S8" s="700">
        <f t="shared" si="0"/>
        <v>100</v>
      </c>
      <c r="T8" s="699" t="s">
        <v>14</v>
      </c>
      <c r="U8" s="700">
        <f t="shared" si="1"/>
        <v>100</v>
      </c>
      <c r="V8" s="699" t="s">
        <v>14</v>
      </c>
      <c r="W8" s="700">
        <f t="shared" si="2"/>
        <v>100</v>
      </c>
      <c r="X8" s="701"/>
      <c r="Y8" s="3834" t="s">
        <v>1683</v>
      </c>
      <c r="Z8" s="3835"/>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98" t="s">
        <v>1686</v>
      </c>
      <c r="Q9" s="1340"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
      <c r="A10" s="373"/>
      <c r="B10" s="374" t="s">
        <v>1688</v>
      </c>
      <c r="C10" s="3428"/>
      <c r="D10" s="126">
        <v>100</v>
      </c>
      <c r="E10" s="3428"/>
      <c r="F10" s="126">
        <f>SUMIF(59:59,E10,60:60)-SUMIF(59:59,C10,60:60)+100</f>
        <v>100</v>
      </c>
      <c r="G10" s="3429"/>
      <c r="H10" s="126">
        <f>SUMIF(59:59,G10,60:60)-SUMIF(59:59,C10,60:60)+100</f>
        <v>100</v>
      </c>
      <c r="I10" s="3428"/>
      <c r="J10" s="126">
        <f>SUMIF(59:59,I10,60:60)-SUMIF(59:59,C10,60:60)+100</f>
        <v>100</v>
      </c>
      <c r="K10" s="559"/>
      <c r="L10" s="916"/>
      <c r="M10" s="917"/>
      <c r="N10" s="917"/>
      <c r="O10" s="918"/>
      <c r="P10" s="3798"/>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98"/>
      <c r="Q11" s="1340" t="str">
        <f t="shared" si="6"/>
        <v>容积率</v>
      </c>
      <c r="R11" s="699" t="s">
        <v>14</v>
      </c>
      <c r="S11" s="700">
        <f t="shared" si="0"/>
        <v>100</v>
      </c>
      <c r="T11" s="699" t="s">
        <v>14</v>
      </c>
      <c r="U11" s="700">
        <f t="shared" si="1"/>
        <v>100</v>
      </c>
      <c r="V11" s="699" t="s">
        <v>14</v>
      </c>
      <c r="W11" s="700">
        <f t="shared" si="2"/>
        <v>100</v>
      </c>
      <c r="X11" s="701"/>
      <c r="Y11" s="3673"/>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798"/>
      <c r="Q12" s="1340">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798"/>
      <c r="Q13" s="1340">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798"/>
      <c r="Q14" s="1340">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00" t="s">
        <v>1691</v>
      </c>
      <c r="Q15" s="1349" t="str">
        <f t="shared" si="6"/>
        <v>产业集聚程度</v>
      </c>
      <c r="R15" s="703" t="s">
        <v>14</v>
      </c>
      <c r="S15" s="704">
        <f t="shared" si="0"/>
        <v>100</v>
      </c>
      <c r="T15" s="703" t="s">
        <v>14</v>
      </c>
      <c r="U15" s="704">
        <f t="shared" si="1"/>
        <v>100</v>
      </c>
      <c r="V15" s="703" t="s">
        <v>14</v>
      </c>
      <c r="W15" s="704">
        <f t="shared" si="2"/>
        <v>100</v>
      </c>
      <c r="X15" s="1352"/>
      <c r="Y15" s="3800"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01"/>
      <c r="Q16" s="1349"/>
      <c r="R16" s="703"/>
      <c r="S16" s="704"/>
      <c r="T16" s="703"/>
      <c r="U16" s="704"/>
      <c r="V16" s="703"/>
      <c r="W16" s="704"/>
      <c r="X16" s="1352"/>
      <c r="Y16" s="3801"/>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01"/>
      <c r="Q17" s="1349" t="str">
        <f>B17</f>
        <v>交通便捷度</v>
      </c>
      <c r="R17" s="703" t="s">
        <v>14</v>
      </c>
      <c r="S17" s="704">
        <f>F17</f>
        <v>100</v>
      </c>
      <c r="T17" s="703" t="s">
        <v>14</v>
      </c>
      <c r="U17" s="704">
        <f>H17</f>
        <v>100</v>
      </c>
      <c r="V17" s="703" t="s">
        <v>14</v>
      </c>
      <c r="W17" s="704">
        <f>J17</f>
        <v>100</v>
      </c>
      <c r="X17" s="1352"/>
      <c r="Y17" s="3801"/>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01"/>
      <c r="Q18" s="1349"/>
      <c r="R18" s="703"/>
      <c r="S18" s="704"/>
      <c r="T18" s="703"/>
      <c r="U18" s="704"/>
      <c r="V18" s="703"/>
      <c r="W18" s="704"/>
      <c r="X18" s="1352"/>
      <c r="Y18" s="3801"/>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01"/>
      <c r="Q19" s="1349" t="str">
        <f>B19</f>
        <v>公共配套设施</v>
      </c>
      <c r="R19" s="703" t="s">
        <v>14</v>
      </c>
      <c r="S19" s="704">
        <f>F19</f>
        <v>100</v>
      </c>
      <c r="T19" s="703" t="s">
        <v>14</v>
      </c>
      <c r="U19" s="704">
        <f>H19</f>
        <v>100</v>
      </c>
      <c r="V19" s="703" t="s">
        <v>14</v>
      </c>
      <c r="W19" s="704">
        <f>J19</f>
        <v>100</v>
      </c>
      <c r="X19" s="1352"/>
      <c r="Y19" s="3801"/>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01"/>
      <c r="Q20" s="1349"/>
      <c r="R20" s="703"/>
      <c r="S20" s="704"/>
      <c r="T20" s="703"/>
      <c r="U20" s="704"/>
      <c r="V20" s="703"/>
      <c r="W20" s="704"/>
      <c r="X20" s="1352"/>
      <c r="Y20" s="3801"/>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01"/>
      <c r="Q21" s="1349" t="str">
        <f>B21</f>
        <v>基础设施水平</v>
      </c>
      <c r="R21" s="703" t="s">
        <v>14</v>
      </c>
      <c r="S21" s="704">
        <f>F21</f>
        <v>100</v>
      </c>
      <c r="T21" s="703" t="s">
        <v>14</v>
      </c>
      <c r="U21" s="704">
        <f>H21</f>
        <v>100</v>
      </c>
      <c r="V21" s="703" t="s">
        <v>14</v>
      </c>
      <c r="W21" s="704">
        <f>J21</f>
        <v>100</v>
      </c>
      <c r="X21" s="1352"/>
      <c r="Y21" s="3801"/>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01"/>
      <c r="Q22" s="1349"/>
      <c r="R22" s="703"/>
      <c r="S22" s="704"/>
      <c r="T22" s="703"/>
      <c r="U22" s="704"/>
      <c r="V22" s="703"/>
      <c r="W22" s="704"/>
      <c r="X22" s="1352"/>
      <c r="Y22" s="3801"/>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01"/>
      <c r="Q23" s="1349" t="str">
        <f>B23</f>
        <v>环境质量</v>
      </c>
      <c r="R23" s="703" t="s">
        <v>14</v>
      </c>
      <c r="S23" s="704">
        <f>F23</f>
        <v>100</v>
      </c>
      <c r="T23" s="703" t="s">
        <v>14</v>
      </c>
      <c r="U23" s="704">
        <f>H23</f>
        <v>100</v>
      </c>
      <c r="V23" s="703" t="s">
        <v>14</v>
      </c>
      <c r="W23" s="704">
        <f>J23</f>
        <v>100</v>
      </c>
      <c r="X23" s="1352"/>
      <c r="Y23" s="3801"/>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01"/>
      <c r="Q24" s="1349"/>
      <c r="R24" s="703"/>
      <c r="S24" s="704"/>
      <c r="T24" s="703"/>
      <c r="U24" s="704"/>
      <c r="V24" s="703"/>
      <c r="W24" s="704"/>
      <c r="X24" s="1352"/>
      <c r="Y24" s="3801"/>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01"/>
      <c r="Q25" s="1349">
        <f>B25</f>
        <v>111</v>
      </c>
      <c r="R25" s="703" t="s">
        <v>14</v>
      </c>
      <c r="S25" s="704">
        <f>F25</f>
        <v>100</v>
      </c>
      <c r="T25" s="703" t="s">
        <v>14</v>
      </c>
      <c r="U25" s="704">
        <f>H25</f>
        <v>100</v>
      </c>
      <c r="V25" s="703" t="s">
        <v>14</v>
      </c>
      <c r="W25" s="704">
        <f>J25</f>
        <v>100</v>
      </c>
      <c r="X25" s="1352"/>
      <c r="Y25" s="3801"/>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01"/>
      <c r="Q26" s="1349">
        <f t="shared" ref="Q26:Q40" si="11">B26</f>
        <v>111</v>
      </c>
      <c r="R26" s="703" t="s">
        <v>14</v>
      </c>
      <c r="S26" s="704">
        <f>F26</f>
        <v>100</v>
      </c>
      <c r="T26" s="703" t="s">
        <v>14</v>
      </c>
      <c r="U26" s="704">
        <f>H26</f>
        <v>100</v>
      </c>
      <c r="V26" s="703" t="s">
        <v>14</v>
      </c>
      <c r="W26" s="704">
        <f>J26</f>
        <v>100</v>
      </c>
      <c r="X26" s="1352"/>
      <c r="Y26" s="3801"/>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01"/>
      <c r="Q27" s="1340">
        <f t="shared" si="11"/>
        <v>111</v>
      </c>
      <c r="R27" s="699" t="s">
        <v>14</v>
      </c>
      <c r="S27" s="700">
        <f>F27</f>
        <v>100</v>
      </c>
      <c r="T27" s="699" t="s">
        <v>14</v>
      </c>
      <c r="U27" s="700">
        <f>H27</f>
        <v>100</v>
      </c>
      <c r="V27" s="699" t="s">
        <v>14</v>
      </c>
      <c r="W27" s="700">
        <f>J27</f>
        <v>100</v>
      </c>
      <c r="X27" s="701"/>
      <c r="Y27" s="3801"/>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01"/>
      <c r="Q28" s="1349">
        <f t="shared" si="11"/>
        <v>111</v>
      </c>
      <c r="R28" s="703" t="s">
        <v>14</v>
      </c>
      <c r="S28" s="704">
        <f t="shared" ref="S28:S40" si="12">F28</f>
        <v>100</v>
      </c>
      <c r="T28" s="703" t="s">
        <v>14</v>
      </c>
      <c r="U28" s="704">
        <f t="shared" ref="U28:U40" si="13">H28</f>
        <v>100</v>
      </c>
      <c r="V28" s="703" t="s">
        <v>14</v>
      </c>
      <c r="W28" s="704">
        <f t="shared" ref="W28:W40" si="14">J28</f>
        <v>100</v>
      </c>
      <c r="X28" s="1352"/>
      <c r="Y28" s="3801"/>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58" t="s">
        <v>1696</v>
      </c>
      <c r="Q29" s="1349" t="str">
        <f t="shared" si="11"/>
        <v>建筑类型</v>
      </c>
      <c r="R29" s="703" t="s">
        <v>14</v>
      </c>
      <c r="S29" s="704">
        <f t="shared" si="12"/>
        <v>100</v>
      </c>
      <c r="T29" s="703" t="s">
        <v>14</v>
      </c>
      <c r="U29" s="704">
        <f t="shared" si="13"/>
        <v>100</v>
      </c>
      <c r="V29" s="703" t="s">
        <v>14</v>
      </c>
      <c r="W29" s="704">
        <f t="shared" si="14"/>
        <v>100</v>
      </c>
      <c r="X29" s="1352"/>
      <c r="Y29" s="3805"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05"/>
      <c r="Q30" s="705" t="str">
        <f t="shared" si="11"/>
        <v>项目建筑规模</v>
      </c>
      <c r="R30" s="706" t="s">
        <v>14</v>
      </c>
      <c r="S30" s="707" t="e">
        <f t="shared" si="12"/>
        <v>#N/A</v>
      </c>
      <c r="T30" s="706" t="s">
        <v>14</v>
      </c>
      <c r="U30" s="707" t="e">
        <f t="shared" si="13"/>
        <v>#N/A</v>
      </c>
      <c r="V30" s="706" t="s">
        <v>14</v>
      </c>
      <c r="W30" s="707" t="e">
        <f t="shared" si="14"/>
        <v>#N/A</v>
      </c>
      <c r="X30" s="708"/>
      <c r="Y30" s="3805"/>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05"/>
      <c r="Q31" s="1349" t="str">
        <f t="shared" si="11"/>
        <v>建筑结构</v>
      </c>
      <c r="R31" s="703" t="s">
        <v>14</v>
      </c>
      <c r="S31" s="704">
        <f t="shared" si="12"/>
        <v>100</v>
      </c>
      <c r="T31" s="703" t="s">
        <v>14</v>
      </c>
      <c r="U31" s="704">
        <f t="shared" si="13"/>
        <v>100</v>
      </c>
      <c r="V31" s="703" t="s">
        <v>14</v>
      </c>
      <c r="W31" s="704">
        <f t="shared" si="14"/>
        <v>100</v>
      </c>
      <c r="X31" s="1352"/>
      <c r="Y31" s="3805"/>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05"/>
      <c r="Q32" s="1349" t="str">
        <f t="shared" si="11"/>
        <v>公共部分装修</v>
      </c>
      <c r="R32" s="703" t="s">
        <v>14</v>
      </c>
      <c r="S32" s="704">
        <f t="shared" si="12"/>
        <v>100</v>
      </c>
      <c r="T32" s="703" t="s">
        <v>14</v>
      </c>
      <c r="U32" s="704">
        <f t="shared" si="13"/>
        <v>100</v>
      </c>
      <c r="V32" s="703" t="s">
        <v>14</v>
      </c>
      <c r="W32" s="704">
        <f t="shared" si="14"/>
        <v>100</v>
      </c>
      <c r="X32" s="1352"/>
      <c r="Y32" s="3805"/>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05"/>
      <c r="Q33" s="1349" t="str">
        <f t="shared" si="11"/>
        <v>成新度</v>
      </c>
      <c r="R33" s="703" t="s">
        <v>14</v>
      </c>
      <c r="S33" s="704" t="e">
        <f t="shared" si="12"/>
        <v>#N/A</v>
      </c>
      <c r="T33" s="703" t="s">
        <v>14</v>
      </c>
      <c r="U33" s="704" t="e">
        <f t="shared" si="13"/>
        <v>#N/A</v>
      </c>
      <c r="V33" s="703" t="s">
        <v>14</v>
      </c>
      <c r="W33" s="704" t="e">
        <f t="shared" si="14"/>
        <v>#N/A</v>
      </c>
      <c r="X33" s="1352"/>
      <c r="Y33" s="3805"/>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05"/>
      <c r="Q34" s="1340" t="str">
        <f t="shared" si="11"/>
        <v>物业管理</v>
      </c>
      <c r="R34" s="699" t="s">
        <v>14</v>
      </c>
      <c r="S34" s="700">
        <f t="shared" si="12"/>
        <v>100</v>
      </c>
      <c r="T34" s="699" t="s">
        <v>14</v>
      </c>
      <c r="U34" s="700">
        <f t="shared" si="13"/>
        <v>100</v>
      </c>
      <c r="V34" s="699" t="s">
        <v>14</v>
      </c>
      <c r="W34" s="700">
        <f t="shared" si="14"/>
        <v>100</v>
      </c>
      <c r="X34" s="701"/>
      <c r="Y34" s="3805"/>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05" t="s">
        <v>1696</v>
      </c>
      <c r="Q35" s="1349" t="str">
        <f t="shared" si="11"/>
        <v>市政基础设施</v>
      </c>
      <c r="R35" s="703" t="s">
        <v>14</v>
      </c>
      <c r="S35" s="704">
        <f t="shared" si="12"/>
        <v>100</v>
      </c>
      <c r="T35" s="703" t="s">
        <v>14</v>
      </c>
      <c r="U35" s="704">
        <f t="shared" si="13"/>
        <v>100</v>
      </c>
      <c r="V35" s="703" t="s">
        <v>14</v>
      </c>
      <c r="W35" s="704">
        <f t="shared" si="14"/>
        <v>100</v>
      </c>
      <c r="X35" s="1352"/>
      <c r="Y35" s="3805"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05"/>
      <c r="Q36" s="1349" t="str">
        <f t="shared" si="11"/>
        <v>内部装修</v>
      </c>
      <c r="R36" s="703" t="s">
        <v>14</v>
      </c>
      <c r="S36" s="704">
        <f t="shared" si="12"/>
        <v>100</v>
      </c>
      <c r="T36" s="703" t="s">
        <v>14</v>
      </c>
      <c r="U36" s="704">
        <f t="shared" si="13"/>
        <v>100</v>
      </c>
      <c r="V36" s="703" t="s">
        <v>14</v>
      </c>
      <c r="W36" s="704">
        <f t="shared" si="14"/>
        <v>100</v>
      </c>
      <c r="X36" s="1352"/>
      <c r="Y36" s="3805"/>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05"/>
      <c r="Q37" s="1349" t="str">
        <f t="shared" si="11"/>
        <v>内部装修状况</v>
      </c>
      <c r="R37" s="703" t="s">
        <v>14</v>
      </c>
      <c r="S37" s="704">
        <f t="shared" si="12"/>
        <v>100</v>
      </c>
      <c r="T37" s="703" t="s">
        <v>14</v>
      </c>
      <c r="U37" s="704">
        <f t="shared" si="13"/>
        <v>100</v>
      </c>
      <c r="V37" s="703" t="s">
        <v>14</v>
      </c>
      <c r="W37" s="704">
        <f t="shared" si="14"/>
        <v>100</v>
      </c>
      <c r="X37" s="1352"/>
      <c r="Y37" s="3805"/>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05"/>
      <c r="Q38" s="705">
        <f t="shared" si="11"/>
        <v>111</v>
      </c>
      <c r="R38" s="706" t="s">
        <v>14</v>
      </c>
      <c r="S38" s="707">
        <f t="shared" si="12"/>
        <v>100</v>
      </c>
      <c r="T38" s="706" t="s">
        <v>14</v>
      </c>
      <c r="U38" s="707">
        <f t="shared" si="13"/>
        <v>100</v>
      </c>
      <c r="V38" s="706" t="s">
        <v>14</v>
      </c>
      <c r="W38" s="707">
        <f t="shared" si="14"/>
        <v>100</v>
      </c>
      <c r="X38" s="708"/>
      <c r="Y38" s="3805"/>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05"/>
      <c r="Q39" s="1349">
        <f t="shared" si="11"/>
        <v>111</v>
      </c>
      <c r="R39" s="703" t="s">
        <v>14</v>
      </c>
      <c r="S39" s="704">
        <f t="shared" si="12"/>
        <v>100</v>
      </c>
      <c r="T39" s="703" t="s">
        <v>14</v>
      </c>
      <c r="U39" s="704">
        <f t="shared" si="13"/>
        <v>100</v>
      </c>
      <c r="V39" s="703" t="s">
        <v>14</v>
      </c>
      <c r="W39" s="704">
        <f t="shared" si="14"/>
        <v>100</v>
      </c>
      <c r="X39" s="1352"/>
      <c r="Y39" s="3805"/>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06"/>
      <c r="Q40" s="1349">
        <f t="shared" si="11"/>
        <v>111</v>
      </c>
      <c r="R40" s="703" t="s">
        <v>14</v>
      </c>
      <c r="S40" s="704">
        <f t="shared" si="12"/>
        <v>100</v>
      </c>
      <c r="T40" s="703" t="s">
        <v>14</v>
      </c>
      <c r="U40" s="704">
        <f t="shared" si="13"/>
        <v>100</v>
      </c>
      <c r="V40" s="703" t="s">
        <v>14</v>
      </c>
      <c r="W40" s="704">
        <f t="shared" si="14"/>
        <v>100</v>
      </c>
      <c r="X40" s="1352"/>
      <c r="Y40" s="3806"/>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798" t="str">
        <f>A41</f>
        <v>成交单价（元/平方米）</v>
      </c>
      <c r="Q41" s="3798"/>
      <c r="R41" s="3799">
        <f>E41</f>
        <v>0</v>
      </c>
      <c r="S41" s="3799"/>
      <c r="T41" s="3799">
        <f>G41</f>
        <v>0</v>
      </c>
      <c r="U41" s="3799"/>
      <c r="V41" s="3799">
        <f>I41</f>
        <v>0</v>
      </c>
      <c r="W41" s="3799"/>
      <c r="X41" s="688"/>
      <c r="Y41" s="710"/>
      <c r="Z41" s="688"/>
      <c r="AA41" s="688"/>
      <c r="AB41" s="688"/>
      <c r="AC41" s="688"/>
    </row>
    <row r="42" spans="1:29" ht="15.75" thickBot="1">
      <c r="A42" s="436" t="s">
        <v>1793</v>
      </c>
      <c r="B42" s="437"/>
      <c r="C42" s="1157" t="e">
        <f>R43</f>
        <v>#DIV/0!</v>
      </c>
      <c r="D42" s="2313" t="s">
        <v>2135</v>
      </c>
      <c r="E42" s="1158" t="e">
        <f>R42</f>
        <v>#DIV/0!</v>
      </c>
      <c r="F42" s="2314"/>
      <c r="G42" s="1157" t="e">
        <f>T42</f>
        <v>#DIV/0!</v>
      </c>
      <c r="H42" s="2314"/>
      <c r="I42" s="1158" t="e">
        <f>V42</f>
        <v>#DIV/0!</v>
      </c>
      <c r="J42" s="2314"/>
      <c r="K42" s="2316">
        <f>F42+H42+J42</f>
        <v>0</v>
      </c>
      <c r="L42" s="924"/>
      <c r="M42" s="925"/>
      <c r="N42" s="912"/>
      <c r="O42" s="925"/>
      <c r="P42" s="3798" t="str">
        <f>A42</f>
        <v>比较价值（元/平方米）</v>
      </c>
      <c r="Q42" s="3798"/>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795" t="str">
        <f>A43</f>
        <v>估价对象XX用房的比较价值（楼面单价，元/平方米）</v>
      </c>
      <c r="Q43" s="3796"/>
      <c r="R43" s="3797" t="e">
        <f>IF(F1="售价",ROUND(IF(D42="简单平均",AVERAGE(R42:V42),R42*F42+T42*H42+V42*J42),0),ROUND(IF(D42="简单平均",AVERAGE(R42:V42),R42*F42+T42*H42+V42*J42),1))</f>
        <v>#DIV/0!</v>
      </c>
      <c r="S43" s="3797"/>
      <c r="T43" s="3797"/>
      <c r="U43" s="3797"/>
      <c r="V43" s="3797"/>
      <c r="W43" s="3797"/>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7"/>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2"/>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23" t="s">
        <v>1771</v>
      </c>
      <c r="S4" s="3824"/>
      <c r="T4" s="3823" t="s">
        <v>1772</v>
      </c>
      <c r="U4" s="3824"/>
      <c r="V4" s="3829" t="s">
        <v>1773</v>
      </c>
      <c r="W4" s="3829"/>
      <c r="X4" s="1352"/>
      <c r="Y4" s="3823" t="s">
        <v>1775</v>
      </c>
      <c r="Z4" s="3824"/>
      <c r="AA4" s="3810" t="s">
        <v>1771</v>
      </c>
      <c r="AB4" s="3811" t="s">
        <v>1772</v>
      </c>
      <c r="AC4" s="3810" t="s">
        <v>1773</v>
      </c>
    </row>
    <row r="5" spans="1:29" ht="15">
      <c r="A5" s="357"/>
      <c r="B5" s="358"/>
      <c r="C5" s="3832" t="s">
        <v>1673</v>
      </c>
      <c r="D5" s="3833"/>
      <c r="E5" s="3839" t="s">
        <v>1674</v>
      </c>
      <c r="F5" s="3840"/>
      <c r="G5" s="3832" t="s">
        <v>1675</v>
      </c>
      <c r="H5" s="3833"/>
      <c r="I5" s="3832" t="s">
        <v>1676</v>
      </c>
      <c r="J5" s="3833"/>
      <c r="K5" s="558"/>
      <c r="L5" s="2709"/>
      <c r="M5" s="2710"/>
      <c r="N5" s="2710"/>
      <c r="O5" s="2710"/>
      <c r="P5" s="3819"/>
      <c r="Q5" s="3820"/>
      <c r="R5" s="3825"/>
      <c r="S5" s="3826"/>
      <c r="T5" s="3825"/>
      <c r="U5" s="3826"/>
      <c r="V5" s="3829"/>
      <c r="W5" s="3829"/>
      <c r="X5" s="1352"/>
      <c r="Y5" s="3825"/>
      <c r="Z5" s="3826"/>
      <c r="AA5" s="3811"/>
      <c r="AB5" s="3811"/>
      <c r="AC5" s="3811"/>
    </row>
    <row r="6" spans="1:29" ht="15.75" thickBot="1">
      <c r="A6" s="359"/>
      <c r="B6" s="360"/>
      <c r="C6" s="3830" t="s">
        <v>1677</v>
      </c>
      <c r="D6" s="3831"/>
      <c r="E6" s="3837" t="s">
        <v>1677</v>
      </c>
      <c r="F6" s="3838"/>
      <c r="G6" s="3830" t="s">
        <v>1677</v>
      </c>
      <c r="H6" s="3831"/>
      <c r="I6" s="3830" t="s">
        <v>1677</v>
      </c>
      <c r="J6" s="3831"/>
      <c r="K6" s="558" t="s">
        <v>1678</v>
      </c>
      <c r="L6" s="2709"/>
      <c r="M6" s="2710"/>
      <c r="N6" s="2710"/>
      <c r="O6" s="2710"/>
      <c r="P6" s="3821"/>
      <c r="Q6" s="3822"/>
      <c r="R6" s="3825"/>
      <c r="S6" s="3826"/>
      <c r="T6" s="3827"/>
      <c r="U6" s="3828"/>
      <c r="V6" s="3829"/>
      <c r="W6" s="3829"/>
      <c r="X6" s="1352"/>
      <c r="Y6" s="3827"/>
      <c r="Z6" s="3828"/>
      <c r="AA6" s="3812"/>
      <c r="AB6" s="3812"/>
      <c r="AC6" s="3812"/>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834" t="s">
        <v>1680</v>
      </c>
      <c r="Q7" s="3836"/>
      <c r="R7" s="699" t="s">
        <v>14</v>
      </c>
      <c r="S7" s="700">
        <f t="shared" ref="S7:S14" si="0">F7</f>
        <v>0</v>
      </c>
      <c r="T7" s="699" t="s">
        <v>14</v>
      </c>
      <c r="U7" s="700">
        <f t="shared" ref="U7:U14" si="1">H7</f>
        <v>0</v>
      </c>
      <c r="V7" s="699" t="s">
        <v>14</v>
      </c>
      <c r="W7" s="700">
        <f t="shared" ref="W7:W14" si="2">J7</f>
        <v>0</v>
      </c>
      <c r="X7" s="701"/>
      <c r="Y7" s="3834" t="s">
        <v>1680</v>
      </c>
      <c r="Z7" s="3835"/>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834" t="s">
        <v>1683</v>
      </c>
      <c r="Q8" s="3835"/>
      <c r="R8" s="699" t="s">
        <v>14</v>
      </c>
      <c r="S8" s="700">
        <f t="shared" si="0"/>
        <v>100</v>
      </c>
      <c r="T8" s="699" t="s">
        <v>14</v>
      </c>
      <c r="U8" s="700">
        <f t="shared" si="1"/>
        <v>100</v>
      </c>
      <c r="V8" s="699" t="s">
        <v>14</v>
      </c>
      <c r="W8" s="700">
        <f t="shared" si="2"/>
        <v>100</v>
      </c>
      <c r="X8" s="701"/>
      <c r="Y8" s="3834" t="s">
        <v>1683</v>
      </c>
      <c r="Z8" s="3835"/>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98" t="s">
        <v>1686</v>
      </c>
      <c r="Q9" s="1340" t="str">
        <f t="shared" ref="Q9:Q14" si="6">B9</f>
        <v>用途</v>
      </c>
      <c r="R9" s="699" t="s">
        <v>14</v>
      </c>
      <c r="S9" s="700">
        <f t="shared" si="0"/>
        <v>100</v>
      </c>
      <c r="T9" s="699" t="s">
        <v>14</v>
      </c>
      <c r="U9" s="700">
        <f t="shared" si="1"/>
        <v>100</v>
      </c>
      <c r="V9" s="699" t="s">
        <v>14</v>
      </c>
      <c r="W9" s="700">
        <f t="shared" si="2"/>
        <v>100</v>
      </c>
      <c r="X9" s="701"/>
      <c r="Y9" s="3673" t="s">
        <v>1687</v>
      </c>
      <c r="Z9" s="52" t="str">
        <f t="shared" ref="Z9:Z14" si="7">Q9</f>
        <v>用途</v>
      </c>
      <c r="AA9" s="702">
        <f t="shared" si="3"/>
        <v>1</v>
      </c>
      <c r="AB9" s="702">
        <f t="shared" si="4"/>
        <v>1</v>
      </c>
      <c r="AC9" s="702">
        <f t="shared" si="5"/>
        <v>1</v>
      </c>
    </row>
    <row r="10" spans="1:29" s="377" customFormat="1" ht="27">
      <c r="A10" s="587"/>
      <c r="B10" s="588" t="s">
        <v>1688</v>
      </c>
      <c r="C10" s="3428"/>
      <c r="D10" s="126">
        <v>100</v>
      </c>
      <c r="E10" s="3428"/>
      <c r="F10" s="126">
        <f>SUMIF(55:55,E10,56:56)-SUMIF(55:55,C10,56:56)+100</f>
        <v>100</v>
      </c>
      <c r="G10" s="3429"/>
      <c r="H10" s="126">
        <f>SUMIF(55:55,G10,56:56)-SUMIF(55:55,C10,56:56)+100</f>
        <v>100</v>
      </c>
      <c r="I10" s="3428"/>
      <c r="J10" s="126">
        <f>SUMIF(55:55,I10,56:56)-SUMIF(55:55,C10,56:56)+100</f>
        <v>100</v>
      </c>
      <c r="K10" s="559"/>
      <c r="L10" s="2713"/>
      <c r="M10" s="2714"/>
      <c r="N10" s="2714"/>
      <c r="O10" s="2714"/>
      <c r="P10" s="3798"/>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98"/>
      <c r="Q11" s="1340">
        <f t="shared" si="6"/>
        <v>111</v>
      </c>
      <c r="R11" s="699" t="s">
        <v>14</v>
      </c>
      <c r="S11" s="700">
        <f t="shared" si="0"/>
        <v>100</v>
      </c>
      <c r="T11" s="699" t="s">
        <v>14</v>
      </c>
      <c r="U11" s="700">
        <f t="shared" si="1"/>
        <v>100</v>
      </c>
      <c r="V11" s="699" t="s">
        <v>14</v>
      </c>
      <c r="W11" s="700">
        <f t="shared" si="2"/>
        <v>100</v>
      </c>
      <c r="X11" s="701"/>
      <c r="Y11" s="3673"/>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98"/>
      <c r="Q12" s="1340">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98"/>
      <c r="Q13" s="1340">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14">
      <c r="A14" s="354" t="s">
        <v>1690</v>
      </c>
      <c r="B14" s="575" t="s">
        <v>1833</v>
      </c>
      <c r="C14" s="1967" t="str">
        <f>IF(B1="工业",估价对象房地状况!G4,估价对象房地状况!C6)</f>
        <v>估价对象周边有M1、M25、M27、336、370、383、快速公交4线等多条公交线路，周边道路网线较密集，通达度较好。综合评价交通便捷度较好。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800" t="s">
        <v>1691</v>
      </c>
      <c r="Q14" s="1349" t="str">
        <f t="shared" si="6"/>
        <v>交通便捷度</v>
      </c>
      <c r="R14" s="703" t="s">
        <v>14</v>
      </c>
      <c r="S14" s="704">
        <f t="shared" si="0"/>
        <v>100</v>
      </c>
      <c r="T14" s="703" t="s">
        <v>14</v>
      </c>
      <c r="U14" s="704">
        <f t="shared" si="1"/>
        <v>100</v>
      </c>
      <c r="V14" s="703" t="s">
        <v>14</v>
      </c>
      <c r="W14" s="704">
        <f t="shared" si="2"/>
        <v>100</v>
      </c>
      <c r="X14" s="1352"/>
      <c r="Y14" s="3800"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6"/>
      <c r="M15" s="2710"/>
      <c r="N15" s="2710"/>
      <c r="O15" s="2710"/>
      <c r="P15" s="3801"/>
      <c r="Q15" s="1349"/>
      <c r="R15" s="703"/>
      <c r="S15" s="704"/>
      <c r="T15" s="703"/>
      <c r="U15" s="704"/>
      <c r="V15" s="703"/>
      <c r="W15" s="704"/>
      <c r="X15" s="1352"/>
      <c r="Y15" s="3801"/>
      <c r="Z15" s="1353"/>
      <c r="AA15" s="1350">
        <v>1</v>
      </c>
      <c r="AB15" s="1350">
        <v>1</v>
      </c>
      <c r="AC15" s="1350">
        <v>1</v>
      </c>
    </row>
    <row r="16" spans="1:29" ht="242.25">
      <c r="A16" s="357"/>
      <c r="B16" s="577" t="s">
        <v>1812</v>
      </c>
      <c r="C16" s="1896"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801"/>
      <c r="Q16" s="1349" t="str">
        <f>B16</f>
        <v>公共配套设施</v>
      </c>
      <c r="R16" s="703" t="s">
        <v>14</v>
      </c>
      <c r="S16" s="704">
        <f>F16</f>
        <v>100</v>
      </c>
      <c r="T16" s="703" t="s">
        <v>14</v>
      </c>
      <c r="U16" s="704">
        <f>H16</f>
        <v>100</v>
      </c>
      <c r="V16" s="703" t="s">
        <v>14</v>
      </c>
      <c r="W16" s="704">
        <f>J16</f>
        <v>100</v>
      </c>
      <c r="X16" s="1352"/>
      <c r="Y16" s="3801"/>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6"/>
      <c r="M17" s="2710"/>
      <c r="N17" s="2710"/>
      <c r="O17" s="2710"/>
      <c r="P17" s="3801"/>
      <c r="Q17" s="1349"/>
      <c r="R17" s="703"/>
      <c r="S17" s="704"/>
      <c r="T17" s="703"/>
      <c r="U17" s="704"/>
      <c r="V17" s="703"/>
      <c r="W17" s="704"/>
      <c r="X17" s="1352"/>
      <c r="Y17" s="3801"/>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801"/>
      <c r="Q18" s="1349" t="str">
        <f>B18</f>
        <v>基础设施水平</v>
      </c>
      <c r="R18" s="703" t="s">
        <v>14</v>
      </c>
      <c r="S18" s="704">
        <f>F18</f>
        <v>100</v>
      </c>
      <c r="T18" s="703" t="s">
        <v>14</v>
      </c>
      <c r="U18" s="704">
        <f>H18</f>
        <v>100</v>
      </c>
      <c r="V18" s="703" t="s">
        <v>14</v>
      </c>
      <c r="W18" s="704">
        <f>J18</f>
        <v>100</v>
      </c>
      <c r="X18" s="1352"/>
      <c r="Y18" s="3801"/>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6"/>
      <c r="M19" s="2710"/>
      <c r="N19" s="2710"/>
      <c r="O19" s="2710"/>
      <c r="P19" s="3801"/>
      <c r="Q19" s="1349"/>
      <c r="R19" s="703"/>
      <c r="S19" s="704"/>
      <c r="T19" s="703"/>
      <c r="U19" s="704"/>
      <c r="V19" s="703"/>
      <c r="W19" s="704"/>
      <c r="X19" s="1352"/>
      <c r="Y19" s="3801"/>
      <c r="Z19" s="1353"/>
      <c r="AA19" s="1350">
        <v>1</v>
      </c>
      <c r="AB19" s="1350">
        <v>1</v>
      </c>
      <c r="AC19" s="1350">
        <v>1</v>
      </c>
    </row>
    <row r="20" spans="1:29" ht="85.5">
      <c r="A20" s="357"/>
      <c r="B20" s="577" t="s">
        <v>1834</v>
      </c>
      <c r="C20" s="1896" t="str">
        <f>IF(B1="工业",估价对象房地状况!G7,估价对象房地状况!C9)</f>
        <v>估价对象周边有滨河世纪广场公园、永定河、黑山公园、门头沟体育馆等自然、人文场所，综合评价环境状况较好。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801"/>
      <c r="Q20" s="1349" t="str">
        <f>B20</f>
        <v>自然及人文环境</v>
      </c>
      <c r="R20" s="703" t="s">
        <v>14</v>
      </c>
      <c r="S20" s="704">
        <f>F20</f>
        <v>100</v>
      </c>
      <c r="T20" s="703" t="s">
        <v>14</v>
      </c>
      <c r="U20" s="704">
        <f>H20</f>
        <v>100</v>
      </c>
      <c r="V20" s="703" t="s">
        <v>14</v>
      </c>
      <c r="W20" s="704">
        <f>J20</f>
        <v>100</v>
      </c>
      <c r="X20" s="1352"/>
      <c r="Y20" s="3801"/>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6"/>
      <c r="M21" s="2710"/>
      <c r="N21" s="2710"/>
      <c r="O21" s="2710"/>
      <c r="P21" s="3801"/>
      <c r="Q21" s="1349"/>
      <c r="R21" s="703"/>
      <c r="S21" s="704"/>
      <c r="T21" s="703"/>
      <c r="U21" s="704"/>
      <c r="V21" s="703"/>
      <c r="W21" s="704"/>
      <c r="X21" s="1352"/>
      <c r="Y21" s="3801"/>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801"/>
      <c r="Q22" s="1349" t="str">
        <f>B22</f>
        <v>楼层</v>
      </c>
      <c r="R22" s="703" t="s">
        <v>14</v>
      </c>
      <c r="S22" s="704">
        <f>F22</f>
        <v>100</v>
      </c>
      <c r="T22" s="703" t="s">
        <v>14</v>
      </c>
      <c r="U22" s="704">
        <f>H22</f>
        <v>100</v>
      </c>
      <c r="V22" s="703" t="s">
        <v>14</v>
      </c>
      <c r="W22" s="704">
        <f>J22</f>
        <v>100</v>
      </c>
      <c r="X22" s="1352"/>
      <c r="Y22" s="3801"/>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801"/>
      <c r="Q23" s="1349">
        <f>B23</f>
        <v>111</v>
      </c>
      <c r="R23" s="703" t="s">
        <v>14</v>
      </c>
      <c r="S23" s="704">
        <f>F23</f>
        <v>100</v>
      </c>
      <c r="T23" s="703" t="s">
        <v>14</v>
      </c>
      <c r="U23" s="704">
        <f>H23</f>
        <v>100</v>
      </c>
      <c r="V23" s="703" t="s">
        <v>14</v>
      </c>
      <c r="W23" s="704">
        <f>J23</f>
        <v>100</v>
      </c>
      <c r="X23" s="1352"/>
      <c r="Y23" s="3801"/>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801"/>
      <c r="Q24" s="1349">
        <f t="shared" ref="Q24:Q36" si="11">B24</f>
        <v>111</v>
      </c>
      <c r="R24" s="703" t="s">
        <v>14</v>
      </c>
      <c r="S24" s="704">
        <f>F24</f>
        <v>100</v>
      </c>
      <c r="T24" s="703" t="s">
        <v>14</v>
      </c>
      <c r="U24" s="704">
        <f>H24</f>
        <v>100</v>
      </c>
      <c r="V24" s="703" t="s">
        <v>14</v>
      </c>
      <c r="W24" s="704">
        <f>J24</f>
        <v>100</v>
      </c>
      <c r="X24" s="1352"/>
      <c r="Y24" s="3801"/>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1"/>
      <c r="M25" s="2712"/>
      <c r="N25" s="2712"/>
      <c r="O25" s="2712"/>
      <c r="P25" s="3801"/>
      <c r="Q25" s="1340">
        <f t="shared" si="11"/>
        <v>111</v>
      </c>
      <c r="R25" s="699" t="s">
        <v>14</v>
      </c>
      <c r="S25" s="700">
        <f>F25</f>
        <v>100</v>
      </c>
      <c r="T25" s="699" t="s">
        <v>14</v>
      </c>
      <c r="U25" s="700">
        <f>H25</f>
        <v>100</v>
      </c>
      <c r="V25" s="699" t="s">
        <v>14</v>
      </c>
      <c r="W25" s="700">
        <f>J25</f>
        <v>100</v>
      </c>
      <c r="X25" s="701"/>
      <c r="Y25" s="3801"/>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58"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05"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5"/>
      <c r="M27" s="2717"/>
      <c r="N27" s="2717"/>
      <c r="O27" s="2717"/>
      <c r="P27" s="3805"/>
      <c r="Q27" s="705" t="str">
        <f t="shared" si="11"/>
        <v>项目停车位配比</v>
      </c>
      <c r="R27" s="706" t="s">
        <v>14</v>
      </c>
      <c r="S27" s="707">
        <f t="shared" si="12"/>
        <v>100</v>
      </c>
      <c r="T27" s="706" t="s">
        <v>14</v>
      </c>
      <c r="U27" s="707">
        <f t="shared" si="13"/>
        <v>100</v>
      </c>
      <c r="V27" s="706" t="s">
        <v>14</v>
      </c>
      <c r="W27" s="707">
        <f t="shared" si="14"/>
        <v>100</v>
      </c>
      <c r="X27" s="708"/>
      <c r="Y27" s="3805"/>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805"/>
      <c r="Q28" s="1349" t="str">
        <f t="shared" si="11"/>
        <v>公共部分装修</v>
      </c>
      <c r="R28" s="703" t="s">
        <v>14</v>
      </c>
      <c r="S28" s="704">
        <f t="shared" si="12"/>
        <v>100</v>
      </c>
      <c r="T28" s="703" t="s">
        <v>14</v>
      </c>
      <c r="U28" s="704">
        <f t="shared" si="13"/>
        <v>100</v>
      </c>
      <c r="V28" s="703" t="s">
        <v>14</v>
      </c>
      <c r="W28" s="704">
        <f t="shared" si="14"/>
        <v>100</v>
      </c>
      <c r="X28" s="1352"/>
      <c r="Y28" s="3805"/>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805"/>
      <c r="Q29" s="1349" t="str">
        <f t="shared" si="11"/>
        <v>成新率</v>
      </c>
      <c r="R29" s="703" t="s">
        <v>14</v>
      </c>
      <c r="S29" s="704" t="e">
        <f t="shared" si="12"/>
        <v>#N/A</v>
      </c>
      <c r="T29" s="703" t="s">
        <v>14</v>
      </c>
      <c r="U29" s="704" t="e">
        <f t="shared" si="13"/>
        <v>#N/A</v>
      </c>
      <c r="V29" s="703" t="s">
        <v>14</v>
      </c>
      <c r="W29" s="704" t="e">
        <f t="shared" si="14"/>
        <v>#N/A</v>
      </c>
      <c r="X29" s="1352"/>
      <c r="Y29" s="3805"/>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6"/>
      <c r="M30" s="2710"/>
      <c r="N30" s="2710"/>
      <c r="O30" s="2710"/>
      <c r="P30" s="3805"/>
      <c r="Q30" s="1349" t="str">
        <f t="shared" si="11"/>
        <v>物业等级</v>
      </c>
      <c r="R30" s="703" t="s">
        <v>14</v>
      </c>
      <c r="S30" s="704">
        <f t="shared" si="12"/>
        <v>100</v>
      </c>
      <c r="T30" s="703" t="s">
        <v>14</v>
      </c>
      <c r="U30" s="704">
        <f t="shared" si="13"/>
        <v>100</v>
      </c>
      <c r="V30" s="703" t="s">
        <v>14</v>
      </c>
      <c r="W30" s="704">
        <f t="shared" si="14"/>
        <v>100</v>
      </c>
      <c r="X30" s="1352"/>
      <c r="Y30" s="3805"/>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805"/>
      <c r="Q31" s="1340" t="str">
        <f t="shared" si="11"/>
        <v>停车位面积</v>
      </c>
      <c r="R31" s="699" t="s">
        <v>14</v>
      </c>
      <c r="S31" s="700" t="e">
        <f t="shared" si="12"/>
        <v>#N/A</v>
      </c>
      <c r="T31" s="699" t="s">
        <v>14</v>
      </c>
      <c r="U31" s="700" t="e">
        <f t="shared" si="13"/>
        <v>#N/A</v>
      </c>
      <c r="V31" s="699" t="s">
        <v>14</v>
      </c>
      <c r="W31" s="700" t="e">
        <f t="shared" si="14"/>
        <v>#N/A</v>
      </c>
      <c r="X31" s="701"/>
      <c r="Y31" s="3805"/>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805" t="s">
        <v>1696</v>
      </c>
      <c r="Q32" s="1349" t="str">
        <f t="shared" si="11"/>
        <v>车位类型</v>
      </c>
      <c r="R32" s="703" t="s">
        <v>14</v>
      </c>
      <c r="S32" s="704">
        <f t="shared" si="12"/>
        <v>100</v>
      </c>
      <c r="T32" s="703" t="s">
        <v>14</v>
      </c>
      <c r="U32" s="704">
        <f t="shared" si="13"/>
        <v>100</v>
      </c>
      <c r="V32" s="703" t="s">
        <v>14</v>
      </c>
      <c r="W32" s="704">
        <f t="shared" si="14"/>
        <v>100</v>
      </c>
      <c r="X32" s="1352"/>
      <c r="Y32" s="3805"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805"/>
      <c r="Q33" s="1349" t="str">
        <f t="shared" si="11"/>
        <v>是否直接入户</v>
      </c>
      <c r="R33" s="703" t="s">
        <v>14</v>
      </c>
      <c r="S33" s="704">
        <f t="shared" si="12"/>
        <v>100</v>
      </c>
      <c r="T33" s="703" t="s">
        <v>14</v>
      </c>
      <c r="U33" s="704">
        <f t="shared" si="13"/>
        <v>100</v>
      </c>
      <c r="V33" s="703" t="s">
        <v>14</v>
      </c>
      <c r="W33" s="704">
        <f t="shared" si="14"/>
        <v>100</v>
      </c>
      <c r="X33" s="1352"/>
      <c r="Y33" s="3805"/>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805"/>
      <c r="Q34" s="1349">
        <f t="shared" si="11"/>
        <v>111</v>
      </c>
      <c r="R34" s="703" t="s">
        <v>14</v>
      </c>
      <c r="S34" s="704">
        <f t="shared" si="12"/>
        <v>100</v>
      </c>
      <c r="T34" s="703" t="s">
        <v>14</v>
      </c>
      <c r="U34" s="704">
        <f t="shared" si="13"/>
        <v>100</v>
      </c>
      <c r="V34" s="703" t="s">
        <v>14</v>
      </c>
      <c r="W34" s="704">
        <f t="shared" si="14"/>
        <v>100</v>
      </c>
      <c r="X34" s="1352"/>
      <c r="Y34" s="3805"/>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805"/>
      <c r="Q35" s="705">
        <f t="shared" si="11"/>
        <v>111</v>
      </c>
      <c r="R35" s="706" t="s">
        <v>14</v>
      </c>
      <c r="S35" s="707">
        <f t="shared" si="12"/>
        <v>100</v>
      </c>
      <c r="T35" s="706" t="s">
        <v>14</v>
      </c>
      <c r="U35" s="707">
        <f t="shared" si="13"/>
        <v>100</v>
      </c>
      <c r="V35" s="706" t="s">
        <v>14</v>
      </c>
      <c r="W35" s="707">
        <f t="shared" si="14"/>
        <v>100</v>
      </c>
      <c r="X35" s="708"/>
      <c r="Y35" s="3805"/>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805"/>
      <c r="Q36" s="1349">
        <f t="shared" si="11"/>
        <v>111</v>
      </c>
      <c r="R36" s="703" t="s">
        <v>14</v>
      </c>
      <c r="S36" s="704">
        <f t="shared" si="12"/>
        <v>100</v>
      </c>
      <c r="T36" s="703" t="s">
        <v>14</v>
      </c>
      <c r="U36" s="704">
        <f t="shared" si="13"/>
        <v>100</v>
      </c>
      <c r="V36" s="703" t="s">
        <v>14</v>
      </c>
      <c r="W36" s="704">
        <f t="shared" si="14"/>
        <v>100</v>
      </c>
      <c r="X36" s="1352"/>
      <c r="Y36" s="3805"/>
      <c r="Z36" s="1353">
        <f t="shared" si="15"/>
        <v>111</v>
      </c>
      <c r="AA36" s="1350">
        <f t="shared" si="3"/>
        <v>1</v>
      </c>
      <c r="AB36" s="1350">
        <f t="shared" si="4"/>
        <v>1</v>
      </c>
      <c r="AC36" s="1350">
        <f t="shared" si="5"/>
        <v>1</v>
      </c>
    </row>
    <row r="37" spans="1:29" ht="15">
      <c r="A37" s="429" t="s">
        <v>1844</v>
      </c>
      <c r="B37" s="1969" t="s">
        <v>3351</v>
      </c>
      <c r="C37" s="1151" t="s">
        <v>0</v>
      </c>
      <c r="D37" s="1152"/>
      <c r="E37" s="1153"/>
      <c r="F37" s="1154"/>
      <c r="G37" s="1155"/>
      <c r="H37" s="1156"/>
      <c r="I37" s="1153"/>
      <c r="J37" s="1156"/>
      <c r="K37" s="566"/>
      <c r="L37" s="2718"/>
      <c r="M37" s="2719"/>
      <c r="N37" s="2710"/>
      <c r="O37" s="2719"/>
      <c r="P37" s="3798" t="str">
        <f>A37</f>
        <v>成交单价</v>
      </c>
      <c r="Q37" s="3798"/>
      <c r="R37" s="3799">
        <f>E37</f>
        <v>0</v>
      </c>
      <c r="S37" s="3799"/>
      <c r="T37" s="3799">
        <f>G37</f>
        <v>0</v>
      </c>
      <c r="U37" s="3799"/>
      <c r="V37" s="3799">
        <f>I37</f>
        <v>0</v>
      </c>
      <c r="W37" s="3799"/>
      <c r="X37" s="688"/>
      <c r="Y37" s="710"/>
      <c r="Z37" s="688"/>
      <c r="AA37" s="688"/>
      <c r="AB37" s="688"/>
      <c r="AC37" s="688"/>
    </row>
    <row r="38" spans="1:29" ht="15.75" thickBot="1">
      <c r="A38" s="436" t="s">
        <v>1845</v>
      </c>
      <c r="B38" s="437" t="str">
        <f>B37</f>
        <v>元/平方米</v>
      </c>
      <c r="C38" s="1157" t="e">
        <f>R39</f>
        <v>#DIV/0!</v>
      </c>
      <c r="D38" s="2313" t="s">
        <v>2135</v>
      </c>
      <c r="E38" s="1158" t="e">
        <f>R38</f>
        <v>#DIV/0!</v>
      </c>
      <c r="F38" s="2314"/>
      <c r="G38" s="1157" t="e">
        <f>T38</f>
        <v>#DIV/0!</v>
      </c>
      <c r="H38" s="2314"/>
      <c r="I38" s="1158" t="e">
        <f>V38</f>
        <v>#DIV/0!</v>
      </c>
      <c r="J38" s="2314"/>
      <c r="K38" s="2316">
        <f>F38+H38+J38</f>
        <v>0</v>
      </c>
      <c r="L38" s="2718"/>
      <c r="M38" s="2719"/>
      <c r="N38" s="2719"/>
      <c r="O38" s="2719"/>
      <c r="P38" s="3798" t="str">
        <f>A38</f>
        <v>比较价值（元/平方米）</v>
      </c>
      <c r="Q38" s="3798"/>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8"/>
      <c r="M39" s="2719"/>
      <c r="N39" s="2719"/>
      <c r="O39" s="2719"/>
      <c r="P39" s="3795" t="str">
        <f>A39</f>
        <v>估价对象XX用房的比较价值（楼面单价，元/平方米）</v>
      </c>
      <c r="Q39" s="3796"/>
      <c r="R39" s="3859" t="e">
        <f>IF(F1="售价",ROUND(IF(D38="简单平均",AVERAGE(R38:W38),R38*F38+T38*H38+V38*J38),0),ROUND(IF(D38="简单平均",AVERAGE(R38:V38),R38*F38+T38*H38+V38*J38),1))</f>
        <v>#DIV/0!</v>
      </c>
      <c r="S39" s="3859"/>
      <c r="T39" s="3859"/>
      <c r="U39" s="3859"/>
      <c r="V39" s="3859"/>
      <c r="W39" s="3859"/>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1850</v>
      </c>
      <c r="B47" s="925"/>
      <c r="C47" s="938"/>
      <c r="D47" s="938"/>
      <c r="E47" s="938"/>
      <c r="F47" s="1164"/>
      <c r="G47" s="1164"/>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3"/>
      <c r="Q48" s="2735"/>
      <c r="R48" s="2735"/>
      <c r="S48" s="2735"/>
      <c r="T48" s="2735"/>
      <c r="U48" s="2735"/>
      <c r="V48" s="2735"/>
      <c r="W48" s="2735"/>
      <c r="X48" s="2735"/>
      <c r="Y48" s="2735"/>
      <c r="Z48" s="2735"/>
      <c r="AA48" s="2735"/>
      <c r="AB48" s="2735"/>
      <c r="AC48" s="2735"/>
    </row>
    <row r="49" spans="1:29" s="107" customFormat="1" ht="15">
      <c r="A49" s="457"/>
      <c r="B49" s="458"/>
      <c r="C49" s="1174">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7" customFormat="1" ht="15.75" thickBot="1">
      <c r="A52" s="469"/>
      <c r="B52" s="458"/>
      <c r="C52" s="585">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6">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6" t="s">
        <v>1799</v>
      </c>
      <c r="D67" s="606" t="s">
        <v>1800</v>
      </c>
      <c r="E67" s="606" t="s">
        <v>1801</v>
      </c>
      <c r="F67" s="606" t="s">
        <v>1802</v>
      </c>
      <c r="G67" s="606" t="s">
        <v>1803</v>
      </c>
      <c r="H67" s="487"/>
      <c r="I67" s="487"/>
      <c r="J67" s="487"/>
      <c r="K67" s="487"/>
      <c r="L67" s="487"/>
      <c r="M67" s="1126"/>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7"/>
      <c r="D81" s="607"/>
      <c r="E81" s="607"/>
      <c r="F81" s="607"/>
      <c r="G81" s="607"/>
      <c r="H81" s="607"/>
      <c r="I81" s="607"/>
      <c r="J81" s="607"/>
      <c r="K81" s="608"/>
      <c r="L81" s="609"/>
      <c r="M81" s="610"/>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69"/>
      <c r="J86" s="569"/>
      <c r="K86" s="570"/>
      <c r="L86" s="571"/>
      <c r="M86" s="572"/>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2">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7"/>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23" t="s">
        <v>1771</v>
      </c>
      <c r="S4" s="3824"/>
      <c r="T4" s="3823" t="s">
        <v>1772</v>
      </c>
      <c r="U4" s="3824"/>
      <c r="V4" s="3829" t="s">
        <v>1773</v>
      </c>
      <c r="W4" s="3829"/>
      <c r="X4" s="1352"/>
      <c r="Y4" s="3823" t="s">
        <v>1775</v>
      </c>
      <c r="Z4" s="3824"/>
      <c r="AA4" s="3810" t="s">
        <v>1771</v>
      </c>
      <c r="AB4" s="3811" t="s">
        <v>1772</v>
      </c>
      <c r="AC4" s="3810" t="s">
        <v>1773</v>
      </c>
    </row>
    <row r="5" spans="1:29" ht="15">
      <c r="A5" s="357"/>
      <c r="B5" s="358"/>
      <c r="C5" s="3832" t="s">
        <v>1673</v>
      </c>
      <c r="D5" s="3833"/>
      <c r="E5" s="3839" t="s">
        <v>1674</v>
      </c>
      <c r="F5" s="3840"/>
      <c r="G5" s="3832" t="s">
        <v>1675</v>
      </c>
      <c r="H5" s="3833"/>
      <c r="I5" s="3832" t="s">
        <v>1676</v>
      </c>
      <c r="J5" s="3833"/>
      <c r="K5" s="558"/>
      <c r="L5" s="2709"/>
      <c r="M5" s="2710"/>
      <c r="N5" s="2710"/>
      <c r="O5" s="2710"/>
      <c r="P5" s="3819"/>
      <c r="Q5" s="3820"/>
      <c r="R5" s="3825"/>
      <c r="S5" s="3826"/>
      <c r="T5" s="3825"/>
      <c r="U5" s="3826"/>
      <c r="V5" s="3829"/>
      <c r="W5" s="3829"/>
      <c r="X5" s="1352"/>
      <c r="Y5" s="3825"/>
      <c r="Z5" s="3826"/>
      <c r="AA5" s="3811"/>
      <c r="AB5" s="3811"/>
      <c r="AC5" s="3811"/>
    </row>
    <row r="6" spans="1:29" ht="15.75" thickBot="1">
      <c r="A6" s="359"/>
      <c r="B6" s="360"/>
      <c r="C6" s="3830" t="s">
        <v>1677</v>
      </c>
      <c r="D6" s="3831"/>
      <c r="E6" s="3837" t="s">
        <v>1677</v>
      </c>
      <c r="F6" s="3838"/>
      <c r="G6" s="3830" t="s">
        <v>1677</v>
      </c>
      <c r="H6" s="3831"/>
      <c r="I6" s="3830" t="s">
        <v>1677</v>
      </c>
      <c r="J6" s="3831"/>
      <c r="K6" s="558" t="s">
        <v>1678</v>
      </c>
      <c r="L6" s="2709"/>
      <c r="M6" s="2710"/>
      <c r="N6" s="2710"/>
      <c r="O6" s="2710"/>
      <c r="P6" s="3821"/>
      <c r="Q6" s="3822"/>
      <c r="R6" s="3825"/>
      <c r="S6" s="3826"/>
      <c r="T6" s="3827"/>
      <c r="U6" s="3828"/>
      <c r="V6" s="3829"/>
      <c r="W6" s="3829"/>
      <c r="X6" s="1352"/>
      <c r="Y6" s="3827"/>
      <c r="Z6" s="3828"/>
      <c r="AA6" s="3812"/>
      <c r="AB6" s="3812"/>
      <c r="AC6" s="3812"/>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1"/>
      <c r="M7" s="2712"/>
      <c r="N7" s="2712"/>
      <c r="O7" s="2712"/>
      <c r="P7" s="3834" t="s">
        <v>1680</v>
      </c>
      <c r="Q7" s="3836"/>
      <c r="R7" s="699" t="s">
        <v>14</v>
      </c>
      <c r="S7" s="700">
        <f t="shared" ref="S7:S14" si="0">F7</f>
        <v>0</v>
      </c>
      <c r="T7" s="699" t="s">
        <v>14</v>
      </c>
      <c r="U7" s="700">
        <f t="shared" ref="U7:U14" si="1">H7</f>
        <v>0</v>
      </c>
      <c r="V7" s="699" t="s">
        <v>14</v>
      </c>
      <c r="W7" s="700">
        <f t="shared" ref="W7:W14" si="2">J7</f>
        <v>0</v>
      </c>
      <c r="X7" s="701"/>
      <c r="Y7" s="3834" t="s">
        <v>1680</v>
      </c>
      <c r="Z7" s="3835"/>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834" t="s">
        <v>1683</v>
      </c>
      <c r="Q8" s="3835"/>
      <c r="R8" s="699" t="s">
        <v>14</v>
      </c>
      <c r="S8" s="700">
        <f t="shared" si="0"/>
        <v>100</v>
      </c>
      <c r="T8" s="699" t="s">
        <v>14</v>
      </c>
      <c r="U8" s="700">
        <f t="shared" si="1"/>
        <v>100</v>
      </c>
      <c r="V8" s="699" t="s">
        <v>14</v>
      </c>
      <c r="W8" s="700">
        <f t="shared" si="2"/>
        <v>100</v>
      </c>
      <c r="X8" s="701"/>
      <c r="Y8" s="3834" t="s">
        <v>1683</v>
      </c>
      <c r="Z8" s="3835"/>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98" t="s">
        <v>1686</v>
      </c>
      <c r="Q9" s="1340" t="str">
        <f t="shared" ref="Q9:Q14" si="6">B9</f>
        <v>用途</v>
      </c>
      <c r="R9" s="699" t="s">
        <v>14</v>
      </c>
      <c r="S9" s="700">
        <f t="shared" si="0"/>
        <v>100</v>
      </c>
      <c r="T9" s="699" t="s">
        <v>14</v>
      </c>
      <c r="U9" s="700">
        <f t="shared" si="1"/>
        <v>100</v>
      </c>
      <c r="V9" s="699" t="s">
        <v>14</v>
      </c>
      <c r="W9" s="700">
        <f t="shared" si="2"/>
        <v>100</v>
      </c>
      <c r="X9" s="701"/>
      <c r="Y9" s="3673" t="s">
        <v>1687</v>
      </c>
      <c r="Z9" s="52" t="str">
        <f t="shared" ref="Z9:Z14" si="7">Q9</f>
        <v>用途</v>
      </c>
      <c r="AA9" s="702">
        <f t="shared" si="3"/>
        <v>1</v>
      </c>
      <c r="AB9" s="702">
        <f t="shared" si="4"/>
        <v>1</v>
      </c>
      <c r="AC9" s="702">
        <f t="shared" si="5"/>
        <v>1</v>
      </c>
    </row>
    <row r="10" spans="1:29" s="377" customFormat="1" ht="27">
      <c r="A10" s="373"/>
      <c r="B10" s="374" t="s">
        <v>1688</v>
      </c>
      <c r="C10" s="3428"/>
      <c r="D10" s="126">
        <v>100</v>
      </c>
      <c r="E10" s="3428"/>
      <c r="F10" s="375">
        <f>SUMIF(53:53,E10,54:54)-SUMIF(53:53,C10,54:54)+100</f>
        <v>100</v>
      </c>
      <c r="G10" s="3428"/>
      <c r="H10" s="126">
        <f>SUMIF(53:53,G10,54:54)-SUMIF(53:53,C10,54:54)+100</f>
        <v>100</v>
      </c>
      <c r="I10" s="3428"/>
      <c r="J10" s="126">
        <f>SUMIF(53:53,I10,54:54)-SUMIF(53:53,C10,54:54)+100</f>
        <v>100</v>
      </c>
      <c r="K10" s="559"/>
      <c r="L10" s="2713"/>
      <c r="M10" s="2714"/>
      <c r="N10" s="2714"/>
      <c r="O10" s="2767"/>
      <c r="P10" s="3798"/>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98"/>
      <c r="Q11" s="1340">
        <f t="shared" si="6"/>
        <v>111</v>
      </c>
      <c r="R11" s="699" t="s">
        <v>14</v>
      </c>
      <c r="S11" s="700">
        <f t="shared" si="0"/>
        <v>100</v>
      </c>
      <c r="T11" s="699" t="s">
        <v>14</v>
      </c>
      <c r="U11" s="700">
        <f t="shared" si="1"/>
        <v>100</v>
      </c>
      <c r="V11" s="699" t="s">
        <v>14</v>
      </c>
      <c r="W11" s="700">
        <f t="shared" si="2"/>
        <v>100</v>
      </c>
      <c r="X11" s="701"/>
      <c r="Y11" s="3673"/>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98"/>
      <c r="Q12" s="1340">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6"/>
      <c r="M13" s="2710"/>
      <c r="N13" s="2710"/>
      <c r="O13" s="2768"/>
      <c r="P13" s="3798"/>
      <c r="Q13" s="1340">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14">
      <c r="A14" s="390" t="s">
        <v>1690</v>
      </c>
      <c r="B14" s="60" t="s">
        <v>1833</v>
      </c>
      <c r="C14" s="1967" t="str">
        <f>IF(B1="工业",估价对象房地状况!G4,估价对象房地状况!C6)</f>
        <v>估价对象周边有M1、M25、M27、336、370、383、快速公交4线等多条公交线路，周边道路网线较密集，通达度较好。综合评价交通便捷度较好。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800" t="s">
        <v>1691</v>
      </c>
      <c r="Q14" s="1349" t="str">
        <f t="shared" si="6"/>
        <v>交通便捷度</v>
      </c>
      <c r="R14" s="703" t="s">
        <v>14</v>
      </c>
      <c r="S14" s="704">
        <f t="shared" si="0"/>
        <v>100</v>
      </c>
      <c r="T14" s="703" t="s">
        <v>14</v>
      </c>
      <c r="U14" s="704">
        <f t="shared" si="1"/>
        <v>100</v>
      </c>
      <c r="V14" s="703" t="s">
        <v>14</v>
      </c>
      <c r="W14" s="704">
        <f t="shared" si="2"/>
        <v>100</v>
      </c>
      <c r="X14" s="1352"/>
      <c r="Y14" s="3800"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6"/>
      <c r="M15" s="2710"/>
      <c r="N15" s="2710"/>
      <c r="O15" s="2768"/>
      <c r="P15" s="3801"/>
      <c r="Q15" s="1349"/>
      <c r="R15" s="703"/>
      <c r="S15" s="704"/>
      <c r="T15" s="703"/>
      <c r="U15" s="704"/>
      <c r="V15" s="703"/>
      <c r="W15" s="704"/>
      <c r="X15" s="1352"/>
      <c r="Y15" s="3801"/>
      <c r="Z15" s="1353"/>
      <c r="AA15" s="1350">
        <v>1</v>
      </c>
      <c r="AB15" s="1350">
        <v>1</v>
      </c>
      <c r="AC15" s="1350">
        <v>1</v>
      </c>
    </row>
    <row r="16" spans="1:29" ht="242.25">
      <c r="A16" s="378"/>
      <c r="B16" s="401" t="s">
        <v>1812</v>
      </c>
      <c r="C16" s="1896"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801"/>
      <c r="Q16" s="1349" t="str">
        <f>B16</f>
        <v>公共配套设施</v>
      </c>
      <c r="R16" s="703" t="s">
        <v>14</v>
      </c>
      <c r="S16" s="704">
        <f>F16</f>
        <v>100</v>
      </c>
      <c r="T16" s="703" t="s">
        <v>14</v>
      </c>
      <c r="U16" s="704">
        <f>H16</f>
        <v>100</v>
      </c>
      <c r="V16" s="703" t="s">
        <v>14</v>
      </c>
      <c r="W16" s="704">
        <f>J16</f>
        <v>100</v>
      </c>
      <c r="X16" s="1352"/>
      <c r="Y16" s="3801"/>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6"/>
      <c r="M17" s="2710"/>
      <c r="N17" s="2710"/>
      <c r="O17" s="2768"/>
      <c r="P17" s="3801"/>
      <c r="Q17" s="1349"/>
      <c r="R17" s="703"/>
      <c r="S17" s="704"/>
      <c r="T17" s="703"/>
      <c r="U17" s="704"/>
      <c r="V17" s="703"/>
      <c r="W17" s="704"/>
      <c r="X17" s="1352"/>
      <c r="Y17" s="3801"/>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801"/>
      <c r="Q18" s="1349" t="str">
        <f>B18</f>
        <v>基础设施水平</v>
      </c>
      <c r="R18" s="703" t="s">
        <v>14</v>
      </c>
      <c r="S18" s="704">
        <f>F18</f>
        <v>100</v>
      </c>
      <c r="T18" s="703" t="s">
        <v>14</v>
      </c>
      <c r="U18" s="704">
        <f>H18</f>
        <v>100</v>
      </c>
      <c r="V18" s="703" t="s">
        <v>14</v>
      </c>
      <c r="W18" s="704">
        <f>J18</f>
        <v>100</v>
      </c>
      <c r="X18" s="1352"/>
      <c r="Y18" s="3801"/>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6"/>
      <c r="M19" s="2710"/>
      <c r="N19" s="2710"/>
      <c r="O19" s="2768"/>
      <c r="P19" s="3801"/>
      <c r="Q19" s="1349"/>
      <c r="R19" s="703"/>
      <c r="S19" s="704"/>
      <c r="T19" s="703"/>
      <c r="U19" s="704"/>
      <c r="V19" s="703"/>
      <c r="W19" s="704"/>
      <c r="X19" s="1352"/>
      <c r="Y19" s="3801"/>
      <c r="Z19" s="1353"/>
      <c r="AA19" s="1350">
        <v>1</v>
      </c>
      <c r="AB19" s="1350">
        <v>1</v>
      </c>
      <c r="AC19" s="1350">
        <v>1</v>
      </c>
    </row>
    <row r="20" spans="1:29" ht="85.5">
      <c r="A20" s="378"/>
      <c r="B20" s="401" t="s">
        <v>1834</v>
      </c>
      <c r="C20" s="1896" t="str">
        <f>IF(B1="工业",估价对象房地状况!G7,估价对象房地状况!C9)</f>
        <v>估价对象周边有滨河世纪广场公园、永定河、黑山公园、门头沟体育馆等自然、人文场所，综合评价环境状况较好。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801"/>
      <c r="Q20" s="1349" t="str">
        <f>B20</f>
        <v>自然及人文环境</v>
      </c>
      <c r="R20" s="703" t="s">
        <v>14</v>
      </c>
      <c r="S20" s="704">
        <f>F20</f>
        <v>100</v>
      </c>
      <c r="T20" s="703" t="s">
        <v>14</v>
      </c>
      <c r="U20" s="704">
        <f>H20</f>
        <v>100</v>
      </c>
      <c r="V20" s="703" t="s">
        <v>14</v>
      </c>
      <c r="W20" s="704">
        <f>J20</f>
        <v>100</v>
      </c>
      <c r="X20" s="1352"/>
      <c r="Y20" s="3801"/>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6"/>
      <c r="M21" s="2710"/>
      <c r="N21" s="2710"/>
      <c r="O21" s="2768"/>
      <c r="P21" s="3801"/>
      <c r="Q21" s="1349"/>
      <c r="R21" s="703"/>
      <c r="S21" s="704"/>
      <c r="T21" s="703"/>
      <c r="U21" s="704"/>
      <c r="V21" s="703"/>
      <c r="W21" s="704"/>
      <c r="X21" s="1352"/>
      <c r="Y21" s="3801"/>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801"/>
      <c r="Q22" s="1349" t="str">
        <f>B22</f>
        <v>楼层</v>
      </c>
      <c r="R22" s="703" t="s">
        <v>14</v>
      </c>
      <c r="S22" s="704">
        <f>F22</f>
        <v>100</v>
      </c>
      <c r="T22" s="703" t="s">
        <v>14</v>
      </c>
      <c r="U22" s="704">
        <f>H22</f>
        <v>100</v>
      </c>
      <c r="V22" s="703" t="s">
        <v>14</v>
      </c>
      <c r="W22" s="704">
        <f>J22</f>
        <v>100</v>
      </c>
      <c r="X22" s="1352"/>
      <c r="Y22" s="3801"/>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801"/>
      <c r="Q23" s="1349">
        <f>B23</f>
        <v>111</v>
      </c>
      <c r="R23" s="703" t="s">
        <v>14</v>
      </c>
      <c r="S23" s="704">
        <f>F23</f>
        <v>100</v>
      </c>
      <c r="T23" s="703" t="s">
        <v>14</v>
      </c>
      <c r="U23" s="704">
        <f>H23</f>
        <v>100</v>
      </c>
      <c r="V23" s="703" t="s">
        <v>14</v>
      </c>
      <c r="W23" s="704">
        <f>J23</f>
        <v>100</v>
      </c>
      <c r="X23" s="1352"/>
      <c r="Y23" s="3801"/>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801"/>
      <c r="Q24" s="1349">
        <f t="shared" ref="Q24:Q34" si="11">B24</f>
        <v>111</v>
      </c>
      <c r="R24" s="703" t="s">
        <v>14</v>
      </c>
      <c r="S24" s="704">
        <f>F24</f>
        <v>100</v>
      </c>
      <c r="T24" s="703" t="s">
        <v>14</v>
      </c>
      <c r="U24" s="704">
        <f>H24</f>
        <v>100</v>
      </c>
      <c r="V24" s="703" t="s">
        <v>14</v>
      </c>
      <c r="W24" s="704">
        <f>J24</f>
        <v>100</v>
      </c>
      <c r="X24" s="1352"/>
      <c r="Y24" s="3801"/>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1"/>
      <c r="M25" s="2712"/>
      <c r="N25" s="2712"/>
      <c r="O25" s="2766"/>
      <c r="P25" s="3801"/>
      <c r="Q25" s="1340">
        <f t="shared" si="11"/>
        <v>111</v>
      </c>
      <c r="R25" s="699" t="s">
        <v>14</v>
      </c>
      <c r="S25" s="700">
        <f>F25</f>
        <v>100</v>
      </c>
      <c r="T25" s="699" t="s">
        <v>14</v>
      </c>
      <c r="U25" s="700">
        <f>H25</f>
        <v>100</v>
      </c>
      <c r="V25" s="699" t="s">
        <v>14</v>
      </c>
      <c r="W25" s="700">
        <f>J25</f>
        <v>100</v>
      </c>
      <c r="X25" s="701"/>
      <c r="Y25" s="3801"/>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6"/>
      <c r="M26" s="2710"/>
      <c r="N26" s="2710"/>
      <c r="O26" s="2768"/>
      <c r="P26" s="3858"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05"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805"/>
      <c r="Q27" s="705" t="str">
        <f t="shared" si="11"/>
        <v>成新率</v>
      </c>
      <c r="R27" s="706" t="s">
        <v>14</v>
      </c>
      <c r="S27" s="707" t="e">
        <f t="shared" si="12"/>
        <v>#N/A</v>
      </c>
      <c r="T27" s="706" t="s">
        <v>14</v>
      </c>
      <c r="U27" s="707" t="e">
        <f t="shared" si="13"/>
        <v>#N/A</v>
      </c>
      <c r="V27" s="706" t="s">
        <v>14</v>
      </c>
      <c r="W27" s="707" t="e">
        <f t="shared" si="14"/>
        <v>#N/A</v>
      </c>
      <c r="X27" s="708"/>
      <c r="Y27" s="3805"/>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805"/>
      <c r="Q28" s="1349" t="str">
        <f t="shared" si="11"/>
        <v>物业等级</v>
      </c>
      <c r="R28" s="703" t="s">
        <v>14</v>
      </c>
      <c r="S28" s="704">
        <f t="shared" si="12"/>
        <v>100</v>
      </c>
      <c r="T28" s="703" t="s">
        <v>14</v>
      </c>
      <c r="U28" s="704">
        <f t="shared" si="13"/>
        <v>100</v>
      </c>
      <c r="V28" s="703" t="s">
        <v>14</v>
      </c>
      <c r="W28" s="704">
        <f t="shared" si="14"/>
        <v>100</v>
      </c>
      <c r="X28" s="1352"/>
      <c r="Y28" s="3805"/>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6"/>
      <c r="M29" s="2710"/>
      <c r="N29" s="2710"/>
      <c r="O29" s="2768"/>
      <c r="P29" s="3805"/>
      <c r="Q29" s="1349" t="str">
        <f t="shared" si="11"/>
        <v>有无电梯</v>
      </c>
      <c r="R29" s="703" t="s">
        <v>14</v>
      </c>
      <c r="S29" s="704">
        <f t="shared" si="12"/>
        <v>100</v>
      </c>
      <c r="T29" s="703" t="s">
        <v>14</v>
      </c>
      <c r="U29" s="704">
        <f t="shared" si="13"/>
        <v>100</v>
      </c>
      <c r="V29" s="703" t="s">
        <v>14</v>
      </c>
      <c r="W29" s="704">
        <f t="shared" si="14"/>
        <v>100</v>
      </c>
      <c r="X29" s="1352"/>
      <c r="Y29" s="3805"/>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805"/>
      <c r="Q30" s="1349" t="str">
        <f t="shared" si="11"/>
        <v>建筑面积</v>
      </c>
      <c r="R30" s="703" t="s">
        <v>14</v>
      </c>
      <c r="S30" s="704" t="e">
        <f t="shared" si="12"/>
        <v>#N/A</v>
      </c>
      <c r="T30" s="703" t="s">
        <v>14</v>
      </c>
      <c r="U30" s="704" t="e">
        <f t="shared" si="13"/>
        <v>#N/A</v>
      </c>
      <c r="V30" s="703" t="s">
        <v>14</v>
      </c>
      <c r="W30" s="704" t="e">
        <f t="shared" si="14"/>
        <v>#N/A</v>
      </c>
      <c r="X30" s="1352"/>
      <c r="Y30" s="3805"/>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1"/>
      <c r="M31" s="2712"/>
      <c r="N31" s="2712"/>
      <c r="O31" s="2766"/>
      <c r="P31" s="3805"/>
      <c r="Q31" s="1340" t="str">
        <f t="shared" si="11"/>
        <v>是否封闭</v>
      </c>
      <c r="R31" s="699" t="s">
        <v>14</v>
      </c>
      <c r="S31" s="700">
        <f t="shared" si="12"/>
        <v>100</v>
      </c>
      <c r="T31" s="699" t="s">
        <v>14</v>
      </c>
      <c r="U31" s="700">
        <f t="shared" si="13"/>
        <v>100</v>
      </c>
      <c r="V31" s="699" t="s">
        <v>14</v>
      </c>
      <c r="W31" s="700">
        <f t="shared" si="14"/>
        <v>100</v>
      </c>
      <c r="X31" s="701"/>
      <c r="Y31" s="3805"/>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805" t="s">
        <v>1696</v>
      </c>
      <c r="Q32" s="1349">
        <f t="shared" si="11"/>
        <v>111</v>
      </c>
      <c r="R32" s="703" t="s">
        <v>14</v>
      </c>
      <c r="S32" s="704">
        <f t="shared" si="12"/>
        <v>100</v>
      </c>
      <c r="T32" s="703" t="s">
        <v>14</v>
      </c>
      <c r="U32" s="704">
        <f t="shared" si="13"/>
        <v>100</v>
      </c>
      <c r="V32" s="703" t="s">
        <v>14</v>
      </c>
      <c r="W32" s="704">
        <f t="shared" si="14"/>
        <v>100</v>
      </c>
      <c r="X32" s="1352"/>
      <c r="Y32" s="3805"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805"/>
      <c r="Q33" s="1349">
        <f t="shared" si="11"/>
        <v>111</v>
      </c>
      <c r="R33" s="703" t="s">
        <v>14</v>
      </c>
      <c r="S33" s="704">
        <f t="shared" si="12"/>
        <v>100</v>
      </c>
      <c r="T33" s="703" t="s">
        <v>14</v>
      </c>
      <c r="U33" s="704">
        <f t="shared" si="13"/>
        <v>100</v>
      </c>
      <c r="V33" s="703" t="s">
        <v>14</v>
      </c>
      <c r="W33" s="704">
        <f t="shared" si="14"/>
        <v>100</v>
      </c>
      <c r="X33" s="1352"/>
      <c r="Y33" s="3805"/>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6"/>
      <c r="M34" s="2710"/>
      <c r="N34" s="2710"/>
      <c r="O34" s="2768"/>
      <c r="P34" s="3805"/>
      <c r="Q34" s="1349">
        <f t="shared" si="11"/>
        <v>111</v>
      </c>
      <c r="R34" s="703" t="s">
        <v>14</v>
      </c>
      <c r="S34" s="704">
        <f t="shared" si="12"/>
        <v>100</v>
      </c>
      <c r="T34" s="703" t="s">
        <v>14</v>
      </c>
      <c r="U34" s="704">
        <f t="shared" si="13"/>
        <v>100</v>
      </c>
      <c r="V34" s="703" t="s">
        <v>14</v>
      </c>
      <c r="W34" s="704">
        <f t="shared" si="14"/>
        <v>100</v>
      </c>
      <c r="X34" s="1352"/>
      <c r="Y34" s="3805"/>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8"/>
      <c r="M35" s="2719"/>
      <c r="N35" s="2710"/>
      <c r="O35" s="2719"/>
      <c r="P35" s="3798" t="str">
        <f>A35</f>
        <v>成交单价（元/平方米）</v>
      </c>
      <c r="Q35" s="3798"/>
      <c r="R35" s="3799">
        <f>E35</f>
        <v>0</v>
      </c>
      <c r="S35" s="3799"/>
      <c r="T35" s="3799">
        <f>G35</f>
        <v>0</v>
      </c>
      <c r="U35" s="3799"/>
      <c r="V35" s="3799">
        <f>I35</f>
        <v>0</v>
      </c>
      <c r="W35" s="3799"/>
      <c r="X35" s="688"/>
      <c r="Y35" s="710"/>
      <c r="Z35" s="688"/>
      <c r="AA35" s="688"/>
      <c r="AB35" s="688"/>
      <c r="AC35" s="688"/>
    </row>
    <row r="36" spans="1:30" ht="15.75" thickBot="1">
      <c r="A36" s="436" t="s">
        <v>1793</v>
      </c>
      <c r="B36" s="437"/>
      <c r="C36" s="1157" t="e">
        <f>R37</f>
        <v>#DIV/0!</v>
      </c>
      <c r="D36" s="2313" t="s">
        <v>2135</v>
      </c>
      <c r="E36" s="1158" t="e">
        <f>R36</f>
        <v>#DIV/0!</v>
      </c>
      <c r="F36" s="2314"/>
      <c r="G36" s="1157" t="e">
        <f>T36</f>
        <v>#DIV/0!</v>
      </c>
      <c r="H36" s="2314"/>
      <c r="I36" s="1158" t="e">
        <f>V36</f>
        <v>#DIV/0!</v>
      </c>
      <c r="J36" s="2314"/>
      <c r="K36" s="2316">
        <f>F36+H36+J36</f>
        <v>0</v>
      </c>
      <c r="L36" s="2718"/>
      <c r="M36" s="2719"/>
      <c r="N36" s="2710"/>
      <c r="O36" s="2719"/>
      <c r="P36" s="3798" t="str">
        <f>A36</f>
        <v>比较价值（元/平方米）</v>
      </c>
      <c r="Q36" s="3798"/>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8"/>
      <c r="M37" s="2719"/>
      <c r="N37" s="2719"/>
      <c r="O37" s="2719"/>
      <c r="P37" s="3795" t="str">
        <f>A37</f>
        <v>估价对象XX用房的比较价值（楼面单价，元/平方米）</v>
      </c>
      <c r="Q37" s="3796"/>
      <c r="R37" s="3859" t="e">
        <f>IF(F1="售价",ROUND(IF(D36="简单平均",AVERAGE(R36:W36),R36*F36+T36*H36+V36*J36),0),ROUND(IF(D36="简单平均",AVERAGE(R36:V36),R36*F36+T36*H36+V36*J36),1))</f>
        <v>#DIV/0!</v>
      </c>
      <c r="S37" s="3859"/>
      <c r="T37" s="3859"/>
      <c r="U37" s="3859"/>
      <c r="V37" s="3859"/>
      <c r="W37" s="3859"/>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0">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7" customFormat="1" ht="15.75" thickBot="1">
      <c r="A50" s="469"/>
      <c r="B50" s="458"/>
      <c r="C50" s="585">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6">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6" t="s">
        <v>1799</v>
      </c>
      <c r="D65" s="606" t="s">
        <v>1800</v>
      </c>
      <c r="E65" s="606" t="s">
        <v>1801</v>
      </c>
      <c r="F65" s="606" t="s">
        <v>1802</v>
      </c>
      <c r="G65" s="606" t="s">
        <v>1803</v>
      </c>
      <c r="H65" s="487"/>
      <c r="I65" s="487"/>
      <c r="J65" s="487"/>
      <c r="K65" s="487"/>
      <c r="L65" s="487"/>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6"/>
      <c r="J80" s="606"/>
      <c r="K80" s="614"/>
      <c r="L80" s="615"/>
      <c r="M80" s="616"/>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2">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23" t="s">
        <v>1771</v>
      </c>
      <c r="S4" s="3824"/>
      <c r="T4" s="3823" t="s">
        <v>1772</v>
      </c>
      <c r="U4" s="3824"/>
      <c r="V4" s="3829" t="s">
        <v>1773</v>
      </c>
      <c r="W4" s="3829"/>
      <c r="X4" s="1352"/>
      <c r="Y4" s="3823" t="s">
        <v>1775</v>
      </c>
      <c r="Z4" s="3824"/>
      <c r="AA4" s="3810" t="s">
        <v>1771</v>
      </c>
      <c r="AB4" s="3811" t="s">
        <v>1772</v>
      </c>
      <c r="AC4" s="3810" t="s">
        <v>1773</v>
      </c>
    </row>
    <row r="5" spans="1:30" ht="15">
      <c r="A5" s="357"/>
      <c r="B5" s="358"/>
      <c r="C5" s="3832" t="s">
        <v>1673</v>
      </c>
      <c r="D5" s="3833"/>
      <c r="E5" s="3839" t="s">
        <v>1674</v>
      </c>
      <c r="F5" s="3840"/>
      <c r="G5" s="3832" t="s">
        <v>1675</v>
      </c>
      <c r="H5" s="3833"/>
      <c r="I5" s="3832" t="s">
        <v>1676</v>
      </c>
      <c r="J5" s="3833"/>
      <c r="K5" s="558"/>
      <c r="L5" s="2709"/>
      <c r="M5" s="2710"/>
      <c r="N5" s="2710"/>
      <c r="O5" s="2710"/>
      <c r="P5" s="3819"/>
      <c r="Q5" s="3820"/>
      <c r="R5" s="3825"/>
      <c r="S5" s="3826"/>
      <c r="T5" s="3825"/>
      <c r="U5" s="3826"/>
      <c r="V5" s="3829"/>
      <c r="W5" s="3829"/>
      <c r="X5" s="1352"/>
      <c r="Y5" s="3825"/>
      <c r="Z5" s="3826"/>
      <c r="AA5" s="3811"/>
      <c r="AB5" s="3811"/>
      <c r="AC5" s="3811"/>
    </row>
    <row r="6" spans="1:30" ht="15.75" thickBot="1">
      <c r="A6" s="359"/>
      <c r="B6" s="360"/>
      <c r="C6" s="3830" t="s">
        <v>1677</v>
      </c>
      <c r="D6" s="3831"/>
      <c r="E6" s="3837" t="s">
        <v>1677</v>
      </c>
      <c r="F6" s="3838"/>
      <c r="G6" s="3830" t="s">
        <v>1677</v>
      </c>
      <c r="H6" s="3831"/>
      <c r="I6" s="3830" t="s">
        <v>1677</v>
      </c>
      <c r="J6" s="3831"/>
      <c r="K6" s="558" t="s">
        <v>1678</v>
      </c>
      <c r="L6" s="2709"/>
      <c r="M6" s="2710"/>
      <c r="N6" s="2710"/>
      <c r="O6" s="2710"/>
      <c r="P6" s="3821"/>
      <c r="Q6" s="3822"/>
      <c r="R6" s="3825"/>
      <c r="S6" s="3826"/>
      <c r="T6" s="3827"/>
      <c r="U6" s="3828"/>
      <c r="V6" s="3829"/>
      <c r="W6" s="3829"/>
      <c r="X6" s="1352"/>
      <c r="Y6" s="3827"/>
      <c r="Z6" s="3828"/>
      <c r="AA6" s="3812"/>
      <c r="AB6" s="3812"/>
      <c r="AC6" s="3812"/>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1"/>
      <c r="M7" s="2712"/>
      <c r="N7" s="2712"/>
      <c r="O7" s="2712"/>
      <c r="P7" s="3834" t="s">
        <v>1680</v>
      </c>
      <c r="Q7" s="3836"/>
      <c r="R7" s="699" t="s">
        <v>14</v>
      </c>
      <c r="S7" s="700">
        <f t="shared" ref="S7:S15" si="0">F7</f>
        <v>0</v>
      </c>
      <c r="T7" s="699" t="s">
        <v>14</v>
      </c>
      <c r="U7" s="700">
        <f t="shared" ref="U7:U15" si="1">H7</f>
        <v>0</v>
      </c>
      <c r="V7" s="699" t="s">
        <v>14</v>
      </c>
      <c r="W7" s="700">
        <f t="shared" ref="W7:W15" si="2">J7</f>
        <v>0</v>
      </c>
      <c r="X7" s="701"/>
      <c r="Y7" s="3834" t="s">
        <v>1680</v>
      </c>
      <c r="Z7" s="3835"/>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834" t="s">
        <v>1683</v>
      </c>
      <c r="Q8" s="3835"/>
      <c r="R8" s="699" t="s">
        <v>14</v>
      </c>
      <c r="S8" s="700">
        <f t="shared" si="0"/>
        <v>0</v>
      </c>
      <c r="T8" s="699" t="s">
        <v>14</v>
      </c>
      <c r="U8" s="700">
        <f t="shared" si="1"/>
        <v>0</v>
      </c>
      <c r="V8" s="699" t="s">
        <v>14</v>
      </c>
      <c r="W8" s="700">
        <f t="shared" si="2"/>
        <v>0</v>
      </c>
      <c r="X8" s="701"/>
      <c r="Y8" s="3834" t="s">
        <v>1683</v>
      </c>
      <c r="Z8" s="3835"/>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1"/>
      <c r="M9" s="2712"/>
      <c r="N9" s="2712"/>
      <c r="O9" s="2766"/>
      <c r="P9" s="3798" t="s">
        <v>1686</v>
      </c>
      <c r="Q9" s="1340"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3"/>
      <c r="M10" s="2714"/>
      <c r="N10" s="2714"/>
      <c r="O10" s="2767"/>
      <c r="P10" s="3798"/>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5"/>
      <c r="M11" s="2710"/>
      <c r="N11" s="2710"/>
      <c r="O11" s="2768"/>
      <c r="P11" s="3798"/>
      <c r="Q11" s="1340" t="str">
        <f t="shared" si="6"/>
        <v>容积率</v>
      </c>
      <c r="R11" s="699" t="s">
        <v>14</v>
      </c>
      <c r="S11" s="700" t="e">
        <f t="shared" si="0"/>
        <v>#N/A</v>
      </c>
      <c r="T11" s="699" t="s">
        <v>14</v>
      </c>
      <c r="U11" s="700" t="e">
        <f t="shared" si="1"/>
        <v>#N/A</v>
      </c>
      <c r="V11" s="699" t="s">
        <v>14</v>
      </c>
      <c r="W11" s="700" t="e">
        <f t="shared" si="2"/>
        <v>#N/A</v>
      </c>
      <c r="X11" s="701"/>
      <c r="Y11" s="3673"/>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1"/>
      <c r="M12" s="2712"/>
      <c r="N12" s="2712"/>
      <c r="O12" s="2766"/>
      <c r="P12" s="3798"/>
      <c r="Q12" s="1340" t="str">
        <f t="shared" si="6"/>
        <v>配建</v>
      </c>
      <c r="R12" s="699" t="s">
        <v>14</v>
      </c>
      <c r="S12" s="700">
        <f t="shared" si="0"/>
        <v>100</v>
      </c>
      <c r="T12" s="699" t="s">
        <v>14</v>
      </c>
      <c r="U12" s="700">
        <f t="shared" si="1"/>
        <v>100</v>
      </c>
      <c r="V12" s="699" t="s">
        <v>14</v>
      </c>
      <c r="W12" s="700">
        <f t="shared" si="2"/>
        <v>100</v>
      </c>
      <c r="X12" s="701"/>
      <c r="Y12" s="3673"/>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6"/>
      <c r="M13" s="2710"/>
      <c r="N13" s="2710"/>
      <c r="O13" s="2768"/>
      <c r="P13" s="3798"/>
      <c r="Q13" s="1340">
        <f t="shared" si="6"/>
        <v>111</v>
      </c>
      <c r="R13" s="699" t="s">
        <v>14</v>
      </c>
      <c r="S13" s="700">
        <f t="shared" si="0"/>
        <v>100</v>
      </c>
      <c r="T13" s="699" t="s">
        <v>14</v>
      </c>
      <c r="U13" s="700">
        <f t="shared" si="1"/>
        <v>100</v>
      </c>
      <c r="V13" s="699" t="s">
        <v>14</v>
      </c>
      <c r="W13" s="700">
        <f t="shared" si="2"/>
        <v>100</v>
      </c>
      <c r="X13" s="701"/>
      <c r="Y13" s="3673"/>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6"/>
      <c r="M14" s="2710"/>
      <c r="N14" s="2710"/>
      <c r="O14" s="2768"/>
      <c r="P14" s="3798"/>
      <c r="Q14" s="1340">
        <f t="shared" si="6"/>
        <v>111</v>
      </c>
      <c r="R14" s="699" t="s">
        <v>14</v>
      </c>
      <c r="S14" s="700">
        <f t="shared" si="0"/>
        <v>100</v>
      </c>
      <c r="T14" s="699" t="s">
        <v>14</v>
      </c>
      <c r="U14" s="700">
        <f t="shared" si="1"/>
        <v>100</v>
      </c>
      <c r="V14" s="699" t="s">
        <v>14</v>
      </c>
      <c r="W14" s="700">
        <f t="shared" si="2"/>
        <v>100</v>
      </c>
      <c r="X14" s="701"/>
      <c r="Y14" s="3673"/>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6"/>
      <c r="M15" s="2710"/>
      <c r="N15" s="2710"/>
      <c r="O15" s="2768"/>
      <c r="P15" s="3800" t="s">
        <v>1691</v>
      </c>
      <c r="Q15" s="1349" t="str">
        <f t="shared" si="6"/>
        <v>居住社区成熟度</v>
      </c>
      <c r="R15" s="703" t="s">
        <v>14</v>
      </c>
      <c r="S15" s="704">
        <f t="shared" si="0"/>
        <v>100</v>
      </c>
      <c r="T15" s="703" t="s">
        <v>14</v>
      </c>
      <c r="U15" s="704">
        <f t="shared" si="1"/>
        <v>100</v>
      </c>
      <c r="V15" s="703" t="s">
        <v>14</v>
      </c>
      <c r="W15" s="704">
        <f t="shared" si="2"/>
        <v>100</v>
      </c>
      <c r="X15" s="1352"/>
      <c r="Y15" s="3800"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6"/>
      <c r="M16" s="2710"/>
      <c r="N16" s="2710"/>
      <c r="O16" s="2768"/>
      <c r="P16" s="3801"/>
      <c r="Q16" s="1349"/>
      <c r="R16" s="703"/>
      <c r="S16" s="704"/>
      <c r="T16" s="703"/>
      <c r="U16" s="704"/>
      <c r="V16" s="703"/>
      <c r="W16" s="704"/>
      <c r="X16" s="1352"/>
      <c r="Y16" s="3801"/>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6"/>
      <c r="M17" s="2710"/>
      <c r="N17" s="2710"/>
      <c r="O17" s="2768"/>
      <c r="P17" s="3801"/>
      <c r="Q17" s="1349" t="str">
        <f>B17</f>
        <v>商业繁华度</v>
      </c>
      <c r="R17" s="703" t="s">
        <v>14</v>
      </c>
      <c r="S17" s="704">
        <f>F17</f>
        <v>100</v>
      </c>
      <c r="T17" s="703" t="s">
        <v>14</v>
      </c>
      <c r="U17" s="704">
        <f>H17</f>
        <v>100</v>
      </c>
      <c r="V17" s="703" t="s">
        <v>14</v>
      </c>
      <c r="W17" s="704">
        <f>J17</f>
        <v>100</v>
      </c>
      <c r="X17" s="1352"/>
      <c r="Y17" s="3801"/>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6"/>
      <c r="M18" s="2710"/>
      <c r="N18" s="2710"/>
      <c r="O18" s="2768"/>
      <c r="P18" s="3801"/>
      <c r="Q18" s="1349"/>
      <c r="R18" s="703"/>
      <c r="S18" s="704"/>
      <c r="T18" s="703"/>
      <c r="U18" s="704"/>
      <c r="V18" s="703"/>
      <c r="W18" s="704"/>
      <c r="X18" s="1352"/>
      <c r="Y18" s="3801"/>
      <c r="Z18" s="1353"/>
      <c r="AA18" s="1350">
        <v>1</v>
      </c>
      <c r="AB18" s="1350">
        <v>1</v>
      </c>
      <c r="AC18" s="1350">
        <v>1</v>
      </c>
    </row>
    <row r="19" spans="1:29" ht="42.75">
      <c r="A19" s="378"/>
      <c r="B19" s="401" t="s">
        <v>1811</v>
      </c>
      <c r="C19" s="1951" t="str">
        <f>估价对象房地状况!C17</f>
        <v>周边有少量相似物业，综合物业集聚程度一般。</v>
      </c>
      <c r="D19" s="405">
        <v>100</v>
      </c>
      <c r="E19" s="407"/>
      <c r="F19" s="405">
        <f>SUMIF(91:91,E20,92:92)-SUMIF(91:91,C20,92:92)+100</f>
        <v>100</v>
      </c>
      <c r="G19" s="407"/>
      <c r="H19" s="400">
        <f>SUMIF(91:91,G20,92:92)-SUMIF(91:91,C20,92:92)+100</f>
        <v>100</v>
      </c>
      <c r="I19" s="409"/>
      <c r="J19" s="400">
        <f>SUMIF(91:91,I20,92:92)-SUMIF(91:91,C20,92:92)+100</f>
        <v>100</v>
      </c>
      <c r="K19" s="619"/>
      <c r="L19" s="2716"/>
      <c r="M19" s="2710"/>
      <c r="N19" s="2710"/>
      <c r="O19" s="2768"/>
      <c r="P19" s="3801"/>
      <c r="Q19" s="1349" t="str">
        <f>B19</f>
        <v>办公集聚程度</v>
      </c>
      <c r="R19" s="703" t="s">
        <v>14</v>
      </c>
      <c r="S19" s="704">
        <f>F19</f>
        <v>100</v>
      </c>
      <c r="T19" s="703" t="s">
        <v>14</v>
      </c>
      <c r="U19" s="704">
        <f>H19</f>
        <v>100</v>
      </c>
      <c r="V19" s="703" t="s">
        <v>14</v>
      </c>
      <c r="W19" s="704">
        <f>J19</f>
        <v>100</v>
      </c>
      <c r="X19" s="1352"/>
      <c r="Y19" s="3801"/>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6"/>
      <c r="M20" s="2710"/>
      <c r="N20" s="2710"/>
      <c r="O20" s="2768"/>
      <c r="P20" s="3801"/>
      <c r="Q20" s="1349"/>
      <c r="R20" s="703"/>
      <c r="S20" s="704"/>
      <c r="T20" s="703"/>
      <c r="U20" s="704"/>
      <c r="V20" s="703"/>
      <c r="W20" s="704"/>
      <c r="X20" s="1352"/>
      <c r="Y20" s="3801"/>
      <c r="Z20" s="1353"/>
      <c r="AA20" s="1350">
        <v>1</v>
      </c>
      <c r="AB20" s="1350">
        <v>1</v>
      </c>
      <c r="AC20" s="1350">
        <v>1</v>
      </c>
    </row>
    <row r="21" spans="1:29" ht="114">
      <c r="A21" s="378"/>
      <c r="B21" s="401" t="s">
        <v>1833</v>
      </c>
      <c r="C21" s="1896" t="str">
        <f>估价对象房地状况!C18</f>
        <v>估价对象周边有M1、M25、M27、336、370、383、快速公交4线等多条公交线路，周边道路网线较密集，通达度较好。综合评价交通便捷度较好。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6"/>
      <c r="M21" s="2710"/>
      <c r="N21" s="2710"/>
      <c r="O21" s="2768"/>
      <c r="P21" s="3801"/>
      <c r="Q21" s="1349" t="str">
        <f>B21</f>
        <v>交通便捷度</v>
      </c>
      <c r="R21" s="703" t="s">
        <v>14</v>
      </c>
      <c r="S21" s="704">
        <f>F21</f>
        <v>100</v>
      </c>
      <c r="T21" s="703" t="s">
        <v>14</v>
      </c>
      <c r="U21" s="704">
        <f>H21</f>
        <v>100</v>
      </c>
      <c r="V21" s="703" t="s">
        <v>14</v>
      </c>
      <c r="W21" s="704">
        <f>J21</f>
        <v>100</v>
      </c>
      <c r="X21" s="1352"/>
      <c r="Y21" s="3801"/>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6"/>
      <c r="M22" s="2710"/>
      <c r="N22" s="2710"/>
      <c r="O22" s="2768"/>
      <c r="P22" s="3801"/>
      <c r="Q22" s="1349"/>
      <c r="R22" s="703"/>
      <c r="S22" s="704"/>
      <c r="T22" s="703"/>
      <c r="U22" s="704"/>
      <c r="V22" s="703"/>
      <c r="W22" s="704"/>
      <c r="X22" s="1352"/>
      <c r="Y22" s="3801"/>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6"/>
      <c r="M23" s="2710"/>
      <c r="N23" s="2710"/>
      <c r="O23" s="2768"/>
      <c r="P23" s="3801"/>
      <c r="Q23" s="1349" t="str">
        <f t="shared" ref="Q23:Q37" si="8">B23</f>
        <v>区域土地利用方向</v>
      </c>
      <c r="R23" s="703" t="s">
        <v>14</v>
      </c>
      <c r="S23" s="704">
        <f>F23</f>
        <v>100</v>
      </c>
      <c r="T23" s="703" t="s">
        <v>14</v>
      </c>
      <c r="U23" s="704">
        <f>H23</f>
        <v>100</v>
      </c>
      <c r="V23" s="703" t="s">
        <v>14</v>
      </c>
      <c r="W23" s="704">
        <f>J23</f>
        <v>100</v>
      </c>
      <c r="X23" s="1352"/>
      <c r="Y23" s="3801"/>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6"/>
      <c r="M24" s="2710"/>
      <c r="N24" s="2710"/>
      <c r="O24" s="2768"/>
      <c r="P24" s="3801"/>
      <c r="Q24" s="1349"/>
      <c r="R24" s="703"/>
      <c r="S24" s="704"/>
      <c r="T24" s="703"/>
      <c r="U24" s="704"/>
      <c r="V24" s="703"/>
      <c r="W24" s="704"/>
      <c r="X24" s="1352"/>
      <c r="Y24" s="3801"/>
      <c r="Z24" s="1353"/>
      <c r="AA24" s="1350"/>
      <c r="AB24" s="1350"/>
      <c r="AC24" s="1350"/>
    </row>
    <row r="25" spans="1:29" ht="85.5">
      <c r="A25" s="357"/>
      <c r="B25" s="1128" t="s">
        <v>1872</v>
      </c>
      <c r="C25" s="1951" t="str">
        <f>估价对象房地状况!C20</f>
        <v>估价对象周边有滨河世纪广场公园、永定河、黑山公园、门头沟体育馆等自然、人文场所，综合评价环境状况较好。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6"/>
      <c r="M25" s="2710"/>
      <c r="N25" s="2710"/>
      <c r="O25" s="2768"/>
      <c r="P25" s="3801"/>
      <c r="Q25" s="1349" t="str">
        <f t="shared" si="8"/>
        <v>自然及人文环境状况</v>
      </c>
      <c r="R25" s="703" t="s">
        <v>14</v>
      </c>
      <c r="S25" s="704">
        <f>F25</f>
        <v>100</v>
      </c>
      <c r="T25" s="703" t="s">
        <v>14</v>
      </c>
      <c r="U25" s="704">
        <f>H25</f>
        <v>100</v>
      </c>
      <c r="V25" s="703" t="s">
        <v>14</v>
      </c>
      <c r="W25" s="704">
        <f>J25</f>
        <v>100</v>
      </c>
      <c r="X25" s="1352"/>
      <c r="Y25" s="3801"/>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6"/>
      <c r="M26" s="2710"/>
      <c r="N26" s="2710"/>
      <c r="O26" s="2768"/>
      <c r="P26" s="3801"/>
      <c r="Q26" s="1349"/>
      <c r="R26" s="703"/>
      <c r="S26" s="704"/>
      <c r="T26" s="703"/>
      <c r="U26" s="704"/>
      <c r="V26" s="703"/>
      <c r="W26" s="704"/>
      <c r="X26" s="1352"/>
      <c r="Y26" s="3801"/>
      <c r="Z26" s="1353"/>
      <c r="AA26" s="1350">
        <v>1</v>
      </c>
      <c r="AB26" s="1350">
        <v>1</v>
      </c>
      <c r="AC26" s="1350">
        <v>1</v>
      </c>
    </row>
    <row r="27" spans="1:29" s="107" customFormat="1" ht="242.25">
      <c r="A27" s="595"/>
      <c r="B27" s="1128" t="s">
        <v>1778</v>
      </c>
      <c r="C27" s="1896"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7" s="400">
        <v>100</v>
      </c>
      <c r="E27" s="402"/>
      <c r="F27" s="400">
        <f>SUMIF(99:99,E28,100:100)-SUMIF(99:99,C28,100:100)+100</f>
        <v>100</v>
      </c>
      <c r="G27" s="402"/>
      <c r="H27" s="400">
        <f>SUMIF(99:99,G28,100:100)-SUMIF(99:99,C28,100:100)+100</f>
        <v>100</v>
      </c>
      <c r="I27" s="404"/>
      <c r="J27" s="400">
        <f>SUMIF(99:99,I28,100:100)-SUMIF(99:99,C28,100:100)+100</f>
        <v>100</v>
      </c>
      <c r="K27" s="619"/>
      <c r="L27" s="2711"/>
      <c r="M27" s="2712"/>
      <c r="N27" s="2712"/>
      <c r="O27" s="2766"/>
      <c r="P27" s="3801"/>
      <c r="Q27" s="1340" t="str">
        <f t="shared" si="8"/>
        <v>公共配套设施</v>
      </c>
      <c r="R27" s="699" t="s">
        <v>14</v>
      </c>
      <c r="S27" s="700">
        <f>F27</f>
        <v>100</v>
      </c>
      <c r="T27" s="699" t="s">
        <v>14</v>
      </c>
      <c r="U27" s="700">
        <f>H27</f>
        <v>100</v>
      </c>
      <c r="V27" s="699" t="s">
        <v>14</v>
      </c>
      <c r="W27" s="700">
        <f>J27</f>
        <v>100</v>
      </c>
      <c r="X27" s="701"/>
      <c r="Y27" s="3801"/>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1"/>
      <c r="M28" s="2712"/>
      <c r="N28" s="2712"/>
      <c r="O28" s="2766"/>
      <c r="P28" s="3801"/>
      <c r="Q28" s="1340"/>
      <c r="R28" s="699"/>
      <c r="S28" s="700"/>
      <c r="T28" s="699"/>
      <c r="U28" s="700"/>
      <c r="V28" s="699"/>
      <c r="W28" s="700"/>
      <c r="X28" s="701"/>
      <c r="Y28" s="3801"/>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1"/>
      <c r="M29" s="2712"/>
      <c r="N29" s="2712"/>
      <c r="O29" s="2766"/>
      <c r="P29" s="3801"/>
      <c r="Q29" s="1340" t="str">
        <f t="shared" ref="Q29" si="9">B29</f>
        <v>基础设施水平</v>
      </c>
      <c r="R29" s="699" t="s">
        <v>14</v>
      </c>
      <c r="S29" s="700">
        <f>F29</f>
        <v>100</v>
      </c>
      <c r="T29" s="699" t="s">
        <v>14</v>
      </c>
      <c r="U29" s="700">
        <f>H29</f>
        <v>100</v>
      </c>
      <c r="V29" s="699" t="s">
        <v>14</v>
      </c>
      <c r="W29" s="700">
        <f>J29</f>
        <v>100</v>
      </c>
      <c r="X29" s="701"/>
      <c r="Y29" s="3801"/>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1"/>
      <c r="M30" s="2712"/>
      <c r="N30" s="2712"/>
      <c r="O30" s="2766"/>
      <c r="P30" s="3801"/>
      <c r="Q30" s="1340"/>
      <c r="R30" s="699"/>
      <c r="S30" s="700"/>
      <c r="T30" s="699"/>
      <c r="U30" s="700"/>
      <c r="V30" s="699"/>
      <c r="W30" s="700"/>
      <c r="X30" s="701"/>
      <c r="Y30" s="3801"/>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6"/>
      <c r="M31" s="2710"/>
      <c r="N31" s="2710"/>
      <c r="O31" s="2768"/>
      <c r="P31" s="380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01"/>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6"/>
      <c r="M32" s="2710"/>
      <c r="N32" s="2710"/>
      <c r="O32" s="2768"/>
      <c r="P32" s="3801"/>
      <c r="Q32" s="1349" t="str">
        <f t="shared" si="8"/>
        <v>毗邻道路的类型与等级</v>
      </c>
      <c r="R32" s="703" t="s">
        <v>14</v>
      </c>
      <c r="S32" s="704">
        <f t="shared" si="10"/>
        <v>100</v>
      </c>
      <c r="T32" s="703" t="s">
        <v>14</v>
      </c>
      <c r="U32" s="704">
        <f t="shared" si="11"/>
        <v>100</v>
      </c>
      <c r="V32" s="703" t="s">
        <v>14</v>
      </c>
      <c r="W32" s="704">
        <f t="shared" si="12"/>
        <v>100</v>
      </c>
      <c r="X32" s="1352"/>
      <c r="Y32" s="3801"/>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6"/>
      <c r="M33" s="2710"/>
      <c r="N33" s="2710"/>
      <c r="O33" s="2768"/>
      <c r="P33" s="3801"/>
      <c r="Q33" s="1349"/>
      <c r="R33" s="703"/>
      <c r="S33" s="704"/>
      <c r="T33" s="703"/>
      <c r="U33" s="704"/>
      <c r="V33" s="703"/>
      <c r="W33" s="704"/>
      <c r="X33" s="1352"/>
      <c r="Y33" s="3801"/>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6"/>
      <c r="M34" s="2710"/>
      <c r="N34" s="2710"/>
      <c r="O34" s="2768"/>
      <c r="P34" s="3801"/>
      <c r="Q34" s="1349" t="str">
        <f t="shared" si="8"/>
        <v>土地级别</v>
      </c>
      <c r="R34" s="703" t="s">
        <v>14</v>
      </c>
      <c r="S34" s="704">
        <f t="shared" si="10"/>
        <v>100</v>
      </c>
      <c r="T34" s="703" t="s">
        <v>14</v>
      </c>
      <c r="U34" s="704">
        <f t="shared" si="11"/>
        <v>100</v>
      </c>
      <c r="V34" s="703" t="s">
        <v>14</v>
      </c>
      <c r="W34" s="704">
        <f t="shared" si="12"/>
        <v>100</v>
      </c>
      <c r="X34" s="1352"/>
      <c r="Y34" s="3801"/>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6"/>
      <c r="M35" s="2710"/>
      <c r="N35" s="2710"/>
      <c r="O35" s="2768"/>
      <c r="P35" s="3801"/>
      <c r="Q35" s="1349">
        <f t="shared" si="8"/>
        <v>111</v>
      </c>
      <c r="R35" s="703" t="s">
        <v>14</v>
      </c>
      <c r="S35" s="704">
        <f t="shared" si="10"/>
        <v>100</v>
      </c>
      <c r="T35" s="703" t="s">
        <v>14</v>
      </c>
      <c r="U35" s="704">
        <f t="shared" si="11"/>
        <v>100</v>
      </c>
      <c r="V35" s="703" t="s">
        <v>14</v>
      </c>
      <c r="W35" s="704">
        <f t="shared" si="12"/>
        <v>100</v>
      </c>
      <c r="X35" s="1352"/>
      <c r="Y35" s="3801"/>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6"/>
      <c r="M36" s="2710"/>
      <c r="N36" s="2710"/>
      <c r="O36" s="2768"/>
      <c r="P36" s="3858" t="s">
        <v>1696</v>
      </c>
      <c r="Q36" s="1349">
        <f t="shared" si="8"/>
        <v>111</v>
      </c>
      <c r="R36" s="703" t="s">
        <v>14</v>
      </c>
      <c r="S36" s="704">
        <f t="shared" si="10"/>
        <v>100</v>
      </c>
      <c r="T36" s="703" t="s">
        <v>14</v>
      </c>
      <c r="U36" s="704">
        <f t="shared" si="11"/>
        <v>100</v>
      </c>
      <c r="V36" s="703" t="s">
        <v>14</v>
      </c>
      <c r="W36" s="704">
        <f t="shared" si="12"/>
        <v>100</v>
      </c>
      <c r="X36" s="1352"/>
      <c r="Y36" s="3805"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5"/>
      <c r="M37" s="2717"/>
      <c r="N37" s="2717"/>
      <c r="O37" s="2769"/>
      <c r="P37" s="3805"/>
      <c r="Q37" s="1349">
        <f t="shared" si="8"/>
        <v>111</v>
      </c>
      <c r="R37" s="706" t="s">
        <v>14</v>
      </c>
      <c r="S37" s="707">
        <f t="shared" si="10"/>
        <v>100</v>
      </c>
      <c r="T37" s="706" t="s">
        <v>14</v>
      </c>
      <c r="U37" s="707">
        <f t="shared" si="11"/>
        <v>100</v>
      </c>
      <c r="V37" s="706" t="s">
        <v>14</v>
      </c>
      <c r="W37" s="707">
        <f t="shared" si="12"/>
        <v>100</v>
      </c>
      <c r="X37" s="708"/>
      <c r="Y37" s="3805"/>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6"/>
      <c r="M38" s="2710"/>
      <c r="N38" s="2710"/>
      <c r="O38" s="2768"/>
      <c r="P38" s="3805"/>
      <c r="Q38" s="1349" t="str">
        <f>B38</f>
        <v>宗地面积</v>
      </c>
      <c r="R38" s="703" t="s">
        <v>14</v>
      </c>
      <c r="S38" s="704" t="e">
        <f t="shared" si="10"/>
        <v>#N/A</v>
      </c>
      <c r="T38" s="703" t="s">
        <v>14</v>
      </c>
      <c r="U38" s="704" t="e">
        <f t="shared" si="11"/>
        <v>#N/A</v>
      </c>
      <c r="V38" s="703" t="s">
        <v>14</v>
      </c>
      <c r="W38" s="704" t="e">
        <f t="shared" si="12"/>
        <v>#N/A</v>
      </c>
      <c r="X38" s="1352"/>
      <c r="Y38" s="3805"/>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6"/>
      <c r="M39" s="2710"/>
      <c r="N39" s="2710"/>
      <c r="O39" s="2768"/>
      <c r="P39" s="3805"/>
      <c r="Q39" s="1349" t="str">
        <f t="shared" ref="Q39:Q45" si="14">B39</f>
        <v>宗地形状</v>
      </c>
      <c r="R39" s="703" t="s">
        <v>14</v>
      </c>
      <c r="S39" s="704">
        <f t="shared" si="10"/>
        <v>100</v>
      </c>
      <c r="T39" s="703" t="s">
        <v>14</v>
      </c>
      <c r="U39" s="704">
        <f t="shared" si="11"/>
        <v>100</v>
      </c>
      <c r="V39" s="703" t="s">
        <v>14</v>
      </c>
      <c r="W39" s="704">
        <f t="shared" si="12"/>
        <v>100</v>
      </c>
      <c r="X39" s="1352"/>
      <c r="Y39" s="3805"/>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6"/>
      <c r="M40" s="2710"/>
      <c r="N40" s="2710"/>
      <c r="O40" s="2768"/>
      <c r="P40" s="3805"/>
      <c r="Q40" s="1349" t="str">
        <f t="shared" si="14"/>
        <v>临街宽度及深度</v>
      </c>
      <c r="R40" s="703" t="s">
        <v>14</v>
      </c>
      <c r="S40" s="704">
        <f t="shared" si="10"/>
        <v>100</v>
      </c>
      <c r="T40" s="703" t="s">
        <v>14</v>
      </c>
      <c r="U40" s="704">
        <f t="shared" si="11"/>
        <v>100</v>
      </c>
      <c r="V40" s="703" t="s">
        <v>14</v>
      </c>
      <c r="W40" s="704">
        <f t="shared" si="12"/>
        <v>100</v>
      </c>
      <c r="X40" s="1352"/>
      <c r="Y40" s="3805"/>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1"/>
      <c r="M41" s="2712"/>
      <c r="N41" s="2712"/>
      <c r="O41" s="2766"/>
      <c r="P41" s="3805"/>
      <c r="Q41" s="1349" t="str">
        <f t="shared" si="14"/>
        <v>宗地开发程度</v>
      </c>
      <c r="R41" s="699" t="s">
        <v>14</v>
      </c>
      <c r="S41" s="700">
        <f t="shared" si="10"/>
        <v>100</v>
      </c>
      <c r="T41" s="699" t="s">
        <v>14</v>
      </c>
      <c r="U41" s="700">
        <f t="shared" si="11"/>
        <v>100</v>
      </c>
      <c r="V41" s="699" t="s">
        <v>14</v>
      </c>
      <c r="W41" s="700">
        <f t="shared" si="12"/>
        <v>100</v>
      </c>
      <c r="X41" s="701"/>
      <c r="Y41" s="3805"/>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6"/>
      <c r="M42" s="2710"/>
      <c r="N42" s="2710"/>
      <c r="O42" s="2768"/>
      <c r="P42" s="3805" t="s">
        <v>1696</v>
      </c>
      <c r="Q42" s="1349" t="str">
        <f t="shared" si="14"/>
        <v>工程地质条件</v>
      </c>
      <c r="R42" s="703" t="s">
        <v>14</v>
      </c>
      <c r="S42" s="704">
        <f t="shared" si="10"/>
        <v>100</v>
      </c>
      <c r="T42" s="703" t="s">
        <v>14</v>
      </c>
      <c r="U42" s="704">
        <f t="shared" si="11"/>
        <v>100</v>
      </c>
      <c r="V42" s="703" t="s">
        <v>14</v>
      </c>
      <c r="W42" s="704">
        <f t="shared" si="12"/>
        <v>100</v>
      </c>
      <c r="X42" s="1352"/>
      <c r="Y42" s="3805"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6"/>
      <c r="M43" s="2710"/>
      <c r="N43" s="2710"/>
      <c r="O43" s="2768"/>
      <c r="P43" s="3805"/>
      <c r="Q43" s="1349">
        <f t="shared" si="14"/>
        <v>111</v>
      </c>
      <c r="R43" s="703" t="s">
        <v>14</v>
      </c>
      <c r="S43" s="704">
        <f t="shared" si="10"/>
        <v>100</v>
      </c>
      <c r="T43" s="703" t="s">
        <v>14</v>
      </c>
      <c r="U43" s="704">
        <f t="shared" si="11"/>
        <v>100</v>
      </c>
      <c r="V43" s="703" t="s">
        <v>14</v>
      </c>
      <c r="W43" s="704">
        <f t="shared" si="12"/>
        <v>100</v>
      </c>
      <c r="X43" s="1352"/>
      <c r="Y43" s="3805"/>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6"/>
      <c r="M44" s="2710"/>
      <c r="N44" s="2710"/>
      <c r="O44" s="2768"/>
      <c r="P44" s="3805"/>
      <c r="Q44" s="1349">
        <f t="shared" si="14"/>
        <v>111</v>
      </c>
      <c r="R44" s="703" t="s">
        <v>14</v>
      </c>
      <c r="S44" s="704">
        <f t="shared" si="10"/>
        <v>100</v>
      </c>
      <c r="T44" s="703" t="s">
        <v>14</v>
      </c>
      <c r="U44" s="704">
        <f t="shared" si="11"/>
        <v>100</v>
      </c>
      <c r="V44" s="703" t="s">
        <v>14</v>
      </c>
      <c r="W44" s="704">
        <f t="shared" si="12"/>
        <v>100</v>
      </c>
      <c r="X44" s="1352"/>
      <c r="Y44" s="3805"/>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5"/>
      <c r="M45" s="2717"/>
      <c r="N45" s="2717"/>
      <c r="O45" s="2769"/>
      <c r="P45" s="3805"/>
      <c r="Q45" s="1349">
        <f t="shared" si="14"/>
        <v>111</v>
      </c>
      <c r="R45" s="706" t="s">
        <v>14</v>
      </c>
      <c r="S45" s="707">
        <f t="shared" si="10"/>
        <v>100</v>
      </c>
      <c r="T45" s="706" t="s">
        <v>14</v>
      </c>
      <c r="U45" s="707">
        <f t="shared" si="11"/>
        <v>100</v>
      </c>
      <c r="V45" s="706" t="s">
        <v>14</v>
      </c>
      <c r="W45" s="707">
        <f t="shared" si="12"/>
        <v>100</v>
      </c>
      <c r="X45" s="708"/>
      <c r="Y45" s="3805"/>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8"/>
      <c r="M46" s="2719"/>
      <c r="N46" s="2710"/>
      <c r="O46" s="2719"/>
      <c r="P46" s="3798" t="str">
        <f>A46</f>
        <v>成交单价</v>
      </c>
      <c r="Q46" s="3798"/>
      <c r="R46" s="3829">
        <f>E46</f>
        <v>0</v>
      </c>
      <c r="S46" s="3829"/>
      <c r="T46" s="3829">
        <f>G46</f>
        <v>0</v>
      </c>
      <c r="U46" s="3829"/>
      <c r="V46" s="3829">
        <f>I46</f>
        <v>0</v>
      </c>
      <c r="W46" s="3829"/>
      <c r="X46" s="688"/>
      <c r="Y46" s="710"/>
      <c r="Z46" s="688"/>
      <c r="AA46" s="688"/>
      <c r="AB46" s="688"/>
      <c r="AC46" s="688"/>
    </row>
    <row r="47" spans="1:29" ht="15.75" thickBot="1">
      <c r="A47" s="436" t="s">
        <v>1793</v>
      </c>
      <c r="B47" s="629"/>
      <c r="C47" s="439" t="e">
        <f>R48</f>
        <v>#DIV/0!</v>
      </c>
      <c r="D47" s="2313" t="s">
        <v>2135</v>
      </c>
      <c r="E47" s="439" t="e">
        <f>R47</f>
        <v>#DIV/0!</v>
      </c>
      <c r="F47" s="2314"/>
      <c r="G47" s="438" t="e">
        <f>T47</f>
        <v>#DIV/0!</v>
      </c>
      <c r="H47" s="2314"/>
      <c r="I47" s="439" t="e">
        <f>V47</f>
        <v>#DIV/0!</v>
      </c>
      <c r="J47" s="2314"/>
      <c r="K47" s="2316">
        <f>F47+H47+J47</f>
        <v>0</v>
      </c>
      <c r="L47" s="2718"/>
      <c r="M47" s="2719"/>
      <c r="N47" s="2719"/>
      <c r="O47" s="2719"/>
      <c r="P47" s="3798" t="str">
        <f>A47</f>
        <v>比较价值（元/平方米）</v>
      </c>
      <c r="Q47" s="3798"/>
      <c r="R47" s="3860" t="e">
        <f>ROUND(PRODUCT(R46,AA7:AA45),0)</f>
        <v>#DIV/0!</v>
      </c>
      <c r="S47" s="3860"/>
      <c r="T47" s="3860" t="e">
        <f>ROUND(PRODUCT(T46,AB7:AB45),0)</f>
        <v>#DIV/0!</v>
      </c>
      <c r="U47" s="3860"/>
      <c r="V47" s="3860" t="e">
        <f>ROUND(PRODUCT(V46,AC7:AC45),0)</f>
        <v>#DIV/0!</v>
      </c>
      <c r="W47" s="386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95" t="str">
        <f>A48</f>
        <v>估价对象XX用房的比较价值（楼面单价，元/平方米）</v>
      </c>
      <c r="Q48" s="3796"/>
      <c r="R48" s="3861" t="e">
        <f>ROUND(IF(D47="简单平均",AVERAGE(R47:W47),R47*F47+T47*H47+V47*J47),0)</f>
        <v>#DIV/0!</v>
      </c>
      <c r="S48" s="3861"/>
      <c r="T48" s="3861"/>
      <c r="U48" s="3861"/>
      <c r="V48" s="3861"/>
      <c r="W48" s="3861"/>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0" t="s">
        <v>1881</v>
      </c>
      <c r="B55" s="631" t="s">
        <v>1882</v>
      </c>
      <c r="C55" s="1979" t="s">
        <v>1883</v>
      </c>
      <c r="D55" s="1980" t="s">
        <v>1884</v>
      </c>
      <c r="E55" s="632" t="s">
        <v>1885</v>
      </c>
      <c r="F55" s="888" t="s">
        <v>1886</v>
      </c>
      <c r="G55" s="3813" t="s">
        <v>1887</v>
      </c>
      <c r="H55" s="3862"/>
      <c r="I55" s="134"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38" customFormat="1">
      <c r="A56" s="634" t="s">
        <v>1890</v>
      </c>
      <c r="B56" s="635" t="e">
        <f>C48</f>
        <v>#DIV/0!</v>
      </c>
      <c r="C56" s="636">
        <v>1</v>
      </c>
      <c r="D56" s="942">
        <v>1</v>
      </c>
      <c r="E56" s="636">
        <f>'数据-汇总表'!E8+'数据-汇总表'!E9</f>
        <v>135.71</v>
      </c>
      <c r="F56" s="884" t="e">
        <f t="shared" ref="F56:F64" si="15">ROUND(B56*E56/10000,0)</f>
        <v>#DIV/0!</v>
      </c>
      <c r="G56" s="3809"/>
      <c r="H56" s="3798"/>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8" customFormat="1">
      <c r="A57" s="639" t="s">
        <v>1891</v>
      </c>
      <c r="B57" s="217" t="e">
        <f>ROUND($C$48*C57*D57,0)</f>
        <v>#DIV/0!</v>
      </c>
      <c r="C57" s="170">
        <f t="shared" ref="C57:C64" si="16">IF($C$55="北京市系数",I57,J57)</f>
        <v>0</v>
      </c>
      <c r="D57" s="943">
        <v>0.25</v>
      </c>
      <c r="E57" s="640"/>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8" customFormat="1">
      <c r="A58" s="639" t="s">
        <v>1893</v>
      </c>
      <c r="B58" s="217" t="e">
        <f t="shared" ref="B58:B64" si="17">ROUND($C$48*C58*D58,0)</f>
        <v>#DIV/0!</v>
      </c>
      <c r="C58" s="170">
        <f t="shared" si="16"/>
        <v>0</v>
      </c>
      <c r="D58" s="943">
        <v>0.25</v>
      </c>
      <c r="E58" s="640"/>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8" customFormat="1">
      <c r="A59" s="639" t="s">
        <v>1894</v>
      </c>
      <c r="B59" s="217" t="e">
        <f t="shared" si="17"/>
        <v>#DIV/0!</v>
      </c>
      <c r="C59" s="170">
        <f t="shared" si="16"/>
        <v>0</v>
      </c>
      <c r="D59" s="943">
        <v>0.25</v>
      </c>
      <c r="E59" s="640"/>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8" customFormat="1">
      <c r="A60" s="639" t="s">
        <v>1895</v>
      </c>
      <c r="B60" s="217" t="e">
        <f t="shared" si="17"/>
        <v>#DIV/0!</v>
      </c>
      <c r="C60" s="170">
        <f t="shared" si="16"/>
        <v>0.25</v>
      </c>
      <c r="D60" s="943">
        <v>0.25</v>
      </c>
      <c r="E60" s="216">
        <f>'数据-汇总表'!E11</f>
        <v>0</v>
      </c>
      <c r="F60" s="884" t="e">
        <f t="shared" si="15"/>
        <v>#DIV/0!</v>
      </c>
      <c r="G60" s="1983" t="s">
        <v>1896</v>
      </c>
      <c r="H60" s="885" t="str">
        <f>项目基本情况!C37</f>
        <v>七级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8" customFormat="1">
      <c r="A61" s="639" t="s">
        <v>1897</v>
      </c>
      <c r="B61" s="217" t="e">
        <f t="shared" si="17"/>
        <v>#DIV/0!</v>
      </c>
      <c r="C61" s="170">
        <f t="shared" si="16"/>
        <v>0.25</v>
      </c>
      <c r="D61" s="943">
        <v>0.25</v>
      </c>
      <c r="E61" s="216">
        <f>'数据-汇总表'!E12</f>
        <v>0</v>
      </c>
      <c r="F61" s="884" t="e">
        <f t="shared" si="15"/>
        <v>#DIV/0!</v>
      </c>
      <c r="G61" s="890" t="s">
        <v>1898</v>
      </c>
      <c r="H61" s="885" t="str">
        <f>IF(G61="商业",项目基本情况!B37,IF(G61="办公",项目基本情况!C37,IF(G61="住宅",项目基本情况!D37,项目基本情况!E37)))</f>
        <v>七级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8" customFormat="1" ht="15" thickBot="1">
      <c r="A64" s="639" t="s">
        <v>1902</v>
      </c>
      <c r="B64" s="217" t="e">
        <f t="shared" si="17"/>
        <v>#DIV/0!</v>
      </c>
      <c r="C64" s="170">
        <f t="shared" si="16"/>
        <v>0.15</v>
      </c>
      <c r="D64" s="943">
        <v>0.25</v>
      </c>
      <c r="E64" s="216">
        <f>'数据-汇总表'!E15</f>
        <v>0</v>
      </c>
      <c r="F64" s="884" t="e">
        <f t="shared" si="15"/>
        <v>#DIV/0!</v>
      </c>
      <c r="G64" s="1984" t="s">
        <v>1896</v>
      </c>
      <c r="H64" s="895" t="str">
        <f>项目基本情况!C37</f>
        <v>七级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8" customFormat="1" ht="13.5" thickBot="1">
      <c r="A65" s="641" t="s">
        <v>1903</v>
      </c>
      <c r="B65" s="642" t="s">
        <v>22</v>
      </c>
      <c r="C65" s="642" t="s">
        <v>23</v>
      </c>
      <c r="D65" s="642" t="s">
        <v>392</v>
      </c>
      <c r="E65" s="642">
        <f>IF(B46="楼面地价",SUM(E56:E64),'数据-汇总表'!D3)</f>
        <v>135.71</v>
      </c>
      <c r="F65" s="643"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0"/>
      <c r="Q69" s="2735"/>
      <c r="R69" s="2735"/>
      <c r="S69" s="2735"/>
      <c r="T69" s="2735"/>
      <c r="U69" s="2735"/>
      <c r="V69" s="2735"/>
      <c r="W69" s="2735"/>
      <c r="X69" s="2735"/>
      <c r="Y69" s="2735"/>
      <c r="Z69" s="2735"/>
      <c r="AA69" s="2735"/>
      <c r="AB69" s="2735"/>
      <c r="AC69" s="2735"/>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3"/>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7" customFormat="1" ht="15.75" thickBot="1">
      <c r="A73" s="469"/>
      <c r="B73" s="458"/>
      <c r="C73" s="585">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6"/>
      <c r="O95" s="2746"/>
      <c r="P95" s="2772"/>
      <c r="Q95" s="2733"/>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6"/>
      <c r="O97" s="2746"/>
      <c r="P97" s="2772"/>
      <c r="Q97" s="2733"/>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1"/>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3"/>
      <c r="E114" s="623"/>
      <c r="F114" s="623"/>
      <c r="G114" s="623"/>
      <c r="H114" s="623"/>
      <c r="I114" s="623"/>
      <c r="J114" s="623"/>
      <c r="K114" s="623"/>
      <c r="L114" s="623"/>
      <c r="M114" s="645"/>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6"/>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23" t="s">
        <v>1771</v>
      </c>
      <c r="S4" s="3824"/>
      <c r="T4" s="3823" t="s">
        <v>1772</v>
      </c>
      <c r="U4" s="3824"/>
      <c r="V4" s="3829" t="s">
        <v>1773</v>
      </c>
      <c r="W4" s="3829"/>
      <c r="X4" s="1352"/>
      <c r="Y4" s="3823" t="s">
        <v>1775</v>
      </c>
      <c r="Z4" s="3824"/>
      <c r="AA4" s="3810" t="s">
        <v>1771</v>
      </c>
      <c r="AB4" s="3811" t="s">
        <v>1772</v>
      </c>
      <c r="AC4" s="3810" t="s">
        <v>1773</v>
      </c>
    </row>
    <row r="5" spans="1:29" ht="15">
      <c r="A5" s="357"/>
      <c r="B5" s="358"/>
      <c r="C5" s="3832" t="s">
        <v>1673</v>
      </c>
      <c r="D5" s="3833"/>
      <c r="E5" s="3839" t="s">
        <v>1674</v>
      </c>
      <c r="F5" s="3840"/>
      <c r="G5" s="3832" t="s">
        <v>1675</v>
      </c>
      <c r="H5" s="3833"/>
      <c r="I5" s="3832" t="s">
        <v>1676</v>
      </c>
      <c r="J5" s="3833"/>
      <c r="K5" s="558"/>
      <c r="L5" s="2709"/>
      <c r="M5" s="2710"/>
      <c r="N5" s="2710"/>
      <c r="O5" s="2710"/>
      <c r="P5" s="3819"/>
      <c r="Q5" s="3820"/>
      <c r="R5" s="3825"/>
      <c r="S5" s="3826"/>
      <c r="T5" s="3825"/>
      <c r="U5" s="3826"/>
      <c r="V5" s="3829"/>
      <c r="W5" s="3829"/>
      <c r="X5" s="1352"/>
      <c r="Y5" s="3825"/>
      <c r="Z5" s="3826"/>
      <c r="AA5" s="3811"/>
      <c r="AB5" s="3811"/>
      <c r="AC5" s="3811"/>
    </row>
    <row r="6" spans="1:29" ht="15.75" thickBot="1">
      <c r="A6" s="359"/>
      <c r="B6" s="360"/>
      <c r="C6" s="3863" t="s">
        <v>1919</v>
      </c>
      <c r="D6" s="3864"/>
      <c r="E6" s="3865" t="s">
        <v>1919</v>
      </c>
      <c r="F6" s="3866"/>
      <c r="G6" s="3863" t="s">
        <v>1919</v>
      </c>
      <c r="H6" s="3864"/>
      <c r="I6" s="3863" t="s">
        <v>1919</v>
      </c>
      <c r="J6" s="3864"/>
      <c r="K6" s="558" t="s">
        <v>1678</v>
      </c>
      <c r="L6" s="2709"/>
      <c r="M6" s="2710"/>
      <c r="N6" s="2710"/>
      <c r="O6" s="2710"/>
      <c r="P6" s="3821"/>
      <c r="Q6" s="3822"/>
      <c r="R6" s="3825"/>
      <c r="S6" s="3826"/>
      <c r="T6" s="3827"/>
      <c r="U6" s="3828"/>
      <c r="V6" s="3829"/>
      <c r="W6" s="3829"/>
      <c r="X6" s="1352"/>
      <c r="Y6" s="3827"/>
      <c r="Z6" s="3828"/>
      <c r="AA6" s="3812"/>
      <c r="AB6" s="3812"/>
      <c r="AC6" s="3812"/>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1"/>
      <c r="M7" s="2712"/>
      <c r="N7" s="2712"/>
      <c r="O7" s="2712"/>
      <c r="P7" s="3834" t="s">
        <v>1680</v>
      </c>
      <c r="Q7" s="3836"/>
      <c r="R7" s="699" t="s">
        <v>14</v>
      </c>
      <c r="S7" s="700">
        <f t="shared" ref="S7:S15" si="0">F7</f>
        <v>0</v>
      </c>
      <c r="T7" s="699" t="s">
        <v>14</v>
      </c>
      <c r="U7" s="700">
        <f t="shared" ref="U7:U15" si="1">H7</f>
        <v>0</v>
      </c>
      <c r="V7" s="699" t="s">
        <v>14</v>
      </c>
      <c r="W7" s="700">
        <f t="shared" ref="W7:W15" si="2">J7</f>
        <v>0</v>
      </c>
      <c r="X7" s="701"/>
      <c r="Y7" s="3834" t="s">
        <v>1680</v>
      </c>
      <c r="Z7" s="3835"/>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834" t="s">
        <v>1683</v>
      </c>
      <c r="Q8" s="3835"/>
      <c r="R8" s="699" t="s">
        <v>14</v>
      </c>
      <c r="S8" s="700">
        <f t="shared" si="0"/>
        <v>0</v>
      </c>
      <c r="T8" s="699" t="s">
        <v>14</v>
      </c>
      <c r="U8" s="700">
        <f t="shared" si="1"/>
        <v>0</v>
      </c>
      <c r="V8" s="699" t="s">
        <v>14</v>
      </c>
      <c r="W8" s="700">
        <f t="shared" si="2"/>
        <v>0</v>
      </c>
      <c r="X8" s="701"/>
      <c r="Y8" s="3834" t="s">
        <v>1683</v>
      </c>
      <c r="Z8" s="3835"/>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1"/>
      <c r="M9" s="2712"/>
      <c r="N9" s="2712"/>
      <c r="O9" s="2766"/>
      <c r="P9" s="3798" t="s">
        <v>1686</v>
      </c>
      <c r="Q9" s="1340" t="str">
        <f t="shared" ref="Q9:Q15" si="6">B9</f>
        <v>用途</v>
      </c>
      <c r="R9" s="699" t="s">
        <v>14</v>
      </c>
      <c r="S9" s="700">
        <f t="shared" si="0"/>
        <v>100</v>
      </c>
      <c r="T9" s="699" t="s">
        <v>14</v>
      </c>
      <c r="U9" s="700">
        <f t="shared" si="1"/>
        <v>100</v>
      </c>
      <c r="V9" s="699" t="s">
        <v>14</v>
      </c>
      <c r="W9" s="700">
        <f t="shared" si="2"/>
        <v>100</v>
      </c>
      <c r="X9" s="701"/>
      <c r="Y9" s="3673"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3"/>
      <c r="M10" s="2714"/>
      <c r="N10" s="2714"/>
      <c r="O10" s="2767"/>
      <c r="P10" s="3798"/>
      <c r="Q10" s="1340" t="str">
        <f t="shared" si="6"/>
        <v>土地使用年限（年）</v>
      </c>
      <c r="R10" s="699" t="s">
        <v>14</v>
      </c>
      <c r="S10" s="700">
        <f t="shared" si="0"/>
        <v>100</v>
      </c>
      <c r="T10" s="699" t="s">
        <v>14</v>
      </c>
      <c r="U10" s="700">
        <f t="shared" si="1"/>
        <v>100</v>
      </c>
      <c r="V10" s="699" t="s">
        <v>14</v>
      </c>
      <c r="W10" s="700">
        <f t="shared" si="2"/>
        <v>100</v>
      </c>
      <c r="X10" s="701"/>
      <c r="Y10" s="3673"/>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5"/>
      <c r="M11" s="2710"/>
      <c r="N11" s="2710"/>
      <c r="O11" s="2768"/>
      <c r="P11" s="3798"/>
      <c r="Q11" s="1340" t="str">
        <f t="shared" si="6"/>
        <v>容积率</v>
      </c>
      <c r="R11" s="699" t="s">
        <v>14</v>
      </c>
      <c r="S11" s="700" t="e">
        <f t="shared" si="0"/>
        <v>#N/A</v>
      </c>
      <c r="T11" s="699" t="s">
        <v>14</v>
      </c>
      <c r="U11" s="700" t="e">
        <f t="shared" si="1"/>
        <v>#N/A</v>
      </c>
      <c r="V11" s="699" t="s">
        <v>14</v>
      </c>
      <c r="W11" s="700" t="e">
        <f t="shared" si="2"/>
        <v>#N/A</v>
      </c>
      <c r="X11" s="701"/>
      <c r="Y11" s="3673"/>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1"/>
      <c r="M12" s="2712"/>
      <c r="N12" s="2712"/>
      <c r="O12" s="2766"/>
      <c r="P12" s="3798"/>
      <c r="Q12" s="1340">
        <f t="shared" si="6"/>
        <v>111</v>
      </c>
      <c r="R12" s="699" t="s">
        <v>14</v>
      </c>
      <c r="S12" s="700">
        <f t="shared" si="0"/>
        <v>100</v>
      </c>
      <c r="T12" s="699" t="s">
        <v>14</v>
      </c>
      <c r="U12" s="700">
        <f t="shared" si="1"/>
        <v>100</v>
      </c>
      <c r="V12" s="699" t="s">
        <v>14</v>
      </c>
      <c r="W12" s="700">
        <f t="shared" si="2"/>
        <v>100</v>
      </c>
      <c r="X12" s="701"/>
      <c r="Y12" s="3673"/>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6"/>
      <c r="M13" s="2710"/>
      <c r="N13" s="2710"/>
      <c r="O13" s="2768"/>
      <c r="P13" s="3798"/>
      <c r="Q13" s="1340">
        <f t="shared" si="6"/>
        <v>111</v>
      </c>
      <c r="R13" s="699" t="s">
        <v>14</v>
      </c>
      <c r="S13" s="700">
        <f t="shared" si="0"/>
        <v>100</v>
      </c>
      <c r="T13" s="699" t="s">
        <v>14</v>
      </c>
      <c r="U13" s="700">
        <f t="shared" si="1"/>
        <v>100</v>
      </c>
      <c r="V13" s="699" t="s">
        <v>14</v>
      </c>
      <c r="W13" s="700">
        <f t="shared" si="2"/>
        <v>100</v>
      </c>
      <c r="X13" s="701"/>
      <c r="Y13" s="3673"/>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6"/>
      <c r="M14" s="2710"/>
      <c r="N14" s="2710"/>
      <c r="O14" s="2768"/>
      <c r="P14" s="3798"/>
      <c r="Q14" s="1340">
        <f t="shared" si="6"/>
        <v>111</v>
      </c>
      <c r="R14" s="699" t="s">
        <v>14</v>
      </c>
      <c r="S14" s="700">
        <f t="shared" si="0"/>
        <v>100</v>
      </c>
      <c r="T14" s="699" t="s">
        <v>14</v>
      </c>
      <c r="U14" s="700">
        <f t="shared" si="1"/>
        <v>100</v>
      </c>
      <c r="V14" s="699" t="s">
        <v>14</v>
      </c>
      <c r="W14" s="700">
        <f t="shared" si="2"/>
        <v>100</v>
      </c>
      <c r="X14" s="701"/>
      <c r="Y14" s="3673"/>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6"/>
      <c r="M15" s="2710"/>
      <c r="N15" s="2710"/>
      <c r="O15" s="2768"/>
      <c r="P15" s="3800" t="s">
        <v>1691</v>
      </c>
      <c r="Q15" s="1349" t="str">
        <f t="shared" si="6"/>
        <v>产业集聚程度</v>
      </c>
      <c r="R15" s="703" t="s">
        <v>14</v>
      </c>
      <c r="S15" s="704">
        <f t="shared" si="0"/>
        <v>100</v>
      </c>
      <c r="T15" s="703" t="s">
        <v>14</v>
      </c>
      <c r="U15" s="704">
        <f t="shared" si="1"/>
        <v>100</v>
      </c>
      <c r="V15" s="703" t="s">
        <v>14</v>
      </c>
      <c r="W15" s="704">
        <f t="shared" si="2"/>
        <v>100</v>
      </c>
      <c r="X15" s="1352"/>
      <c r="Y15" s="3800"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6"/>
      <c r="M16" s="2710"/>
      <c r="N16" s="2710"/>
      <c r="O16" s="2768"/>
      <c r="P16" s="3801"/>
      <c r="Q16" s="1349"/>
      <c r="R16" s="703"/>
      <c r="S16" s="704"/>
      <c r="T16" s="703"/>
      <c r="U16" s="704"/>
      <c r="V16" s="703"/>
      <c r="W16" s="704"/>
      <c r="X16" s="1352"/>
      <c r="Y16" s="3801"/>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6"/>
      <c r="M17" s="2710"/>
      <c r="N17" s="2710"/>
      <c r="O17" s="2768"/>
      <c r="P17" s="3801"/>
      <c r="Q17" s="1349" t="str">
        <f>B17</f>
        <v>交通便捷度</v>
      </c>
      <c r="R17" s="703" t="s">
        <v>14</v>
      </c>
      <c r="S17" s="704">
        <f>F17</f>
        <v>100</v>
      </c>
      <c r="T17" s="703" t="s">
        <v>14</v>
      </c>
      <c r="U17" s="704">
        <f>H17</f>
        <v>100</v>
      </c>
      <c r="V17" s="703" t="s">
        <v>14</v>
      </c>
      <c r="W17" s="704">
        <f>J17</f>
        <v>100</v>
      </c>
      <c r="X17" s="1352"/>
      <c r="Y17" s="3801"/>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6"/>
      <c r="M18" s="2710"/>
      <c r="N18" s="2710"/>
      <c r="O18" s="2768"/>
      <c r="P18" s="3801"/>
      <c r="Q18" s="1349"/>
      <c r="R18" s="703"/>
      <c r="S18" s="704"/>
      <c r="T18" s="703"/>
      <c r="U18" s="704"/>
      <c r="V18" s="703"/>
      <c r="W18" s="704"/>
      <c r="X18" s="1352"/>
      <c r="Y18" s="3801"/>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6"/>
      <c r="M19" s="2710"/>
      <c r="N19" s="2710"/>
      <c r="O19" s="2768"/>
      <c r="P19" s="3801"/>
      <c r="Q19" s="1349" t="str">
        <f t="shared" ref="Q19:Q33" si="8">B19</f>
        <v>区域土地利用方向</v>
      </c>
      <c r="R19" s="703" t="s">
        <v>14</v>
      </c>
      <c r="S19" s="704">
        <f>F19</f>
        <v>100</v>
      </c>
      <c r="T19" s="703" t="s">
        <v>14</v>
      </c>
      <c r="U19" s="704">
        <f>H19</f>
        <v>100</v>
      </c>
      <c r="V19" s="703" t="s">
        <v>14</v>
      </c>
      <c r="W19" s="704">
        <f>J19</f>
        <v>100</v>
      </c>
      <c r="X19" s="1352"/>
      <c r="Y19" s="3801"/>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6"/>
      <c r="M20" s="2710"/>
      <c r="N20" s="2710"/>
      <c r="O20" s="2768"/>
      <c r="P20" s="3801"/>
      <c r="Q20" s="1349"/>
      <c r="R20" s="703"/>
      <c r="S20" s="704"/>
      <c r="T20" s="703"/>
      <c r="U20" s="704"/>
      <c r="V20" s="703"/>
      <c r="W20" s="704"/>
      <c r="X20" s="1352"/>
      <c r="Y20" s="3801"/>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6"/>
      <c r="M21" s="2710"/>
      <c r="N21" s="2710"/>
      <c r="O21" s="2768"/>
      <c r="P21" s="3801"/>
      <c r="Q21" s="1349" t="str">
        <f t="shared" si="8"/>
        <v>环境状况</v>
      </c>
      <c r="R21" s="703" t="s">
        <v>14</v>
      </c>
      <c r="S21" s="704">
        <f>F21</f>
        <v>100</v>
      </c>
      <c r="T21" s="703" t="s">
        <v>14</v>
      </c>
      <c r="U21" s="704">
        <f>H21</f>
        <v>100</v>
      </c>
      <c r="V21" s="703" t="s">
        <v>14</v>
      </c>
      <c r="W21" s="704">
        <f>J21</f>
        <v>100</v>
      </c>
      <c r="X21" s="1352"/>
      <c r="Y21" s="3801"/>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6"/>
      <c r="M22" s="2710"/>
      <c r="N22" s="2710"/>
      <c r="O22" s="2768"/>
      <c r="P22" s="3801"/>
      <c r="Q22" s="1349"/>
      <c r="R22" s="703"/>
      <c r="S22" s="704"/>
      <c r="T22" s="703"/>
      <c r="U22" s="704"/>
      <c r="V22" s="703"/>
      <c r="W22" s="704"/>
      <c r="X22" s="1352"/>
      <c r="Y22" s="3801"/>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1"/>
      <c r="M23" s="2712"/>
      <c r="N23" s="2712"/>
      <c r="O23" s="2766"/>
      <c r="P23" s="3801"/>
      <c r="Q23" s="1340" t="str">
        <f t="shared" si="8"/>
        <v>公共配套设施</v>
      </c>
      <c r="R23" s="699" t="s">
        <v>14</v>
      </c>
      <c r="S23" s="700">
        <f>F23</f>
        <v>100</v>
      </c>
      <c r="T23" s="699" t="s">
        <v>14</v>
      </c>
      <c r="U23" s="700">
        <f>H23</f>
        <v>100</v>
      </c>
      <c r="V23" s="699" t="s">
        <v>14</v>
      </c>
      <c r="W23" s="700">
        <f>J23</f>
        <v>100</v>
      </c>
      <c r="X23" s="701"/>
      <c r="Y23" s="3801"/>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1"/>
      <c r="M24" s="2712"/>
      <c r="N24" s="2712"/>
      <c r="O24" s="2766"/>
      <c r="P24" s="3801"/>
      <c r="Q24" s="1340"/>
      <c r="R24" s="699"/>
      <c r="S24" s="700"/>
      <c r="T24" s="699"/>
      <c r="U24" s="700"/>
      <c r="V24" s="699"/>
      <c r="W24" s="700"/>
      <c r="X24" s="701"/>
      <c r="Y24" s="3801"/>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1"/>
      <c r="M25" s="2712"/>
      <c r="N25" s="2712"/>
      <c r="O25" s="2766"/>
      <c r="P25" s="3801"/>
      <c r="Q25" s="1340" t="str">
        <f t="shared" ref="Q25" si="9">B25</f>
        <v>基础设施水平</v>
      </c>
      <c r="R25" s="699" t="s">
        <v>14</v>
      </c>
      <c r="S25" s="700">
        <f>F25</f>
        <v>100</v>
      </c>
      <c r="T25" s="699" t="s">
        <v>14</v>
      </c>
      <c r="U25" s="700">
        <f>H25</f>
        <v>100</v>
      </c>
      <c r="V25" s="699" t="s">
        <v>14</v>
      </c>
      <c r="W25" s="700">
        <f>J25</f>
        <v>100</v>
      </c>
      <c r="X25" s="701"/>
      <c r="Y25" s="3801"/>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1"/>
      <c r="M26" s="2712"/>
      <c r="N26" s="2712"/>
      <c r="O26" s="2766"/>
      <c r="P26" s="3801"/>
      <c r="Q26" s="1340"/>
      <c r="R26" s="699"/>
      <c r="S26" s="700"/>
      <c r="T26" s="699"/>
      <c r="U26" s="700"/>
      <c r="V26" s="699"/>
      <c r="W26" s="700"/>
      <c r="X26" s="701"/>
      <c r="Y26" s="3801"/>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6"/>
      <c r="M27" s="2710"/>
      <c r="N27" s="2710"/>
      <c r="O27" s="2768"/>
      <c r="P27" s="380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01"/>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6"/>
      <c r="M28" s="2710"/>
      <c r="N28" s="2710"/>
      <c r="O28" s="2768"/>
      <c r="P28" s="3801"/>
      <c r="Q28" s="1349" t="str">
        <f t="shared" si="8"/>
        <v>毗邻道路的类型与等级</v>
      </c>
      <c r="R28" s="703" t="s">
        <v>14</v>
      </c>
      <c r="S28" s="704">
        <f t="shared" si="10"/>
        <v>100</v>
      </c>
      <c r="T28" s="703" t="s">
        <v>14</v>
      </c>
      <c r="U28" s="704">
        <f t="shared" si="11"/>
        <v>100</v>
      </c>
      <c r="V28" s="703" t="s">
        <v>14</v>
      </c>
      <c r="W28" s="704">
        <f t="shared" si="12"/>
        <v>100</v>
      </c>
      <c r="X28" s="1352"/>
      <c r="Y28" s="3801"/>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6"/>
      <c r="M29" s="2710"/>
      <c r="N29" s="2710"/>
      <c r="O29" s="2768"/>
      <c r="P29" s="3801"/>
      <c r="Q29" s="1349"/>
      <c r="R29" s="703"/>
      <c r="S29" s="704"/>
      <c r="T29" s="703"/>
      <c r="U29" s="704"/>
      <c r="V29" s="703"/>
      <c r="W29" s="704"/>
      <c r="X29" s="1352"/>
      <c r="Y29" s="3801"/>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6"/>
      <c r="M30" s="2710"/>
      <c r="N30" s="2710"/>
      <c r="O30" s="2768"/>
      <c r="P30" s="3801"/>
      <c r="Q30" s="1349" t="str">
        <f t="shared" si="8"/>
        <v>土地级别</v>
      </c>
      <c r="R30" s="703" t="s">
        <v>14</v>
      </c>
      <c r="S30" s="704">
        <f t="shared" si="10"/>
        <v>100</v>
      </c>
      <c r="T30" s="703" t="s">
        <v>14</v>
      </c>
      <c r="U30" s="704">
        <f t="shared" si="11"/>
        <v>100</v>
      </c>
      <c r="V30" s="703" t="s">
        <v>14</v>
      </c>
      <c r="W30" s="704">
        <f t="shared" si="12"/>
        <v>100</v>
      </c>
      <c r="X30" s="1352"/>
      <c r="Y30" s="3801"/>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801"/>
      <c r="Q31" s="1349">
        <f t="shared" si="8"/>
        <v>111</v>
      </c>
      <c r="R31" s="703" t="s">
        <v>14</v>
      </c>
      <c r="S31" s="704">
        <f t="shared" si="10"/>
        <v>100</v>
      </c>
      <c r="T31" s="703" t="s">
        <v>14</v>
      </c>
      <c r="U31" s="704">
        <f t="shared" si="11"/>
        <v>100</v>
      </c>
      <c r="V31" s="703" t="s">
        <v>14</v>
      </c>
      <c r="W31" s="704">
        <f t="shared" si="12"/>
        <v>100</v>
      </c>
      <c r="X31" s="1352"/>
      <c r="Y31" s="3801"/>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6"/>
      <c r="M32" s="2710"/>
      <c r="N32" s="2710"/>
      <c r="O32" s="2768"/>
      <c r="P32" s="3858" t="s">
        <v>1696</v>
      </c>
      <c r="Q32" s="1349">
        <f t="shared" si="8"/>
        <v>111</v>
      </c>
      <c r="R32" s="703" t="s">
        <v>14</v>
      </c>
      <c r="S32" s="704">
        <f t="shared" si="10"/>
        <v>100</v>
      </c>
      <c r="T32" s="703" t="s">
        <v>14</v>
      </c>
      <c r="U32" s="704">
        <f t="shared" si="11"/>
        <v>100</v>
      </c>
      <c r="V32" s="703" t="s">
        <v>14</v>
      </c>
      <c r="W32" s="704">
        <f t="shared" si="12"/>
        <v>100</v>
      </c>
      <c r="X32" s="1352"/>
      <c r="Y32" s="3805"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5"/>
      <c r="M33" s="2717"/>
      <c r="N33" s="2717"/>
      <c r="O33" s="2769"/>
      <c r="P33" s="3805"/>
      <c r="Q33" s="1349">
        <f t="shared" si="8"/>
        <v>111</v>
      </c>
      <c r="R33" s="706" t="s">
        <v>14</v>
      </c>
      <c r="S33" s="707">
        <f t="shared" si="10"/>
        <v>100</v>
      </c>
      <c r="T33" s="706" t="s">
        <v>14</v>
      </c>
      <c r="U33" s="707">
        <f t="shared" si="11"/>
        <v>100</v>
      </c>
      <c r="V33" s="706" t="s">
        <v>14</v>
      </c>
      <c r="W33" s="707">
        <f t="shared" si="12"/>
        <v>100</v>
      </c>
      <c r="X33" s="708"/>
      <c r="Y33" s="3805"/>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6"/>
      <c r="M34" s="2710"/>
      <c r="N34" s="2710"/>
      <c r="O34" s="2768"/>
      <c r="P34" s="3805"/>
      <c r="Q34" s="1349" t="str">
        <f>B34</f>
        <v>宗地面积</v>
      </c>
      <c r="R34" s="703" t="s">
        <v>14</v>
      </c>
      <c r="S34" s="704" t="e">
        <f t="shared" si="10"/>
        <v>#N/A</v>
      </c>
      <c r="T34" s="703" t="s">
        <v>14</v>
      </c>
      <c r="U34" s="704" t="e">
        <f t="shared" si="11"/>
        <v>#N/A</v>
      </c>
      <c r="V34" s="703" t="s">
        <v>14</v>
      </c>
      <c r="W34" s="704" t="e">
        <f t="shared" si="12"/>
        <v>#N/A</v>
      </c>
      <c r="X34" s="1352"/>
      <c r="Y34" s="3805"/>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6"/>
      <c r="M35" s="2710"/>
      <c r="N35" s="2710"/>
      <c r="O35" s="2768"/>
      <c r="P35" s="3805"/>
      <c r="Q35" s="1349" t="str">
        <f t="shared" ref="Q35:Q40" si="14">B35</f>
        <v>宗地形状</v>
      </c>
      <c r="R35" s="703" t="s">
        <v>14</v>
      </c>
      <c r="S35" s="704">
        <f t="shared" si="10"/>
        <v>100</v>
      </c>
      <c r="T35" s="703" t="s">
        <v>14</v>
      </c>
      <c r="U35" s="704">
        <f t="shared" si="11"/>
        <v>100</v>
      </c>
      <c r="V35" s="703" t="s">
        <v>14</v>
      </c>
      <c r="W35" s="704">
        <f t="shared" si="12"/>
        <v>100</v>
      </c>
      <c r="X35" s="1352"/>
      <c r="Y35" s="3805"/>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1"/>
      <c r="M36" s="2712"/>
      <c r="N36" s="2712"/>
      <c r="O36" s="2766"/>
      <c r="P36" s="3805"/>
      <c r="Q36" s="1349" t="str">
        <f t="shared" si="14"/>
        <v>宗地开发程度</v>
      </c>
      <c r="R36" s="699" t="s">
        <v>14</v>
      </c>
      <c r="S36" s="700">
        <f t="shared" si="10"/>
        <v>100</v>
      </c>
      <c r="T36" s="699" t="s">
        <v>14</v>
      </c>
      <c r="U36" s="700">
        <f t="shared" si="11"/>
        <v>100</v>
      </c>
      <c r="V36" s="699" t="s">
        <v>14</v>
      </c>
      <c r="W36" s="700">
        <f t="shared" si="12"/>
        <v>100</v>
      </c>
      <c r="X36" s="701"/>
      <c r="Y36" s="3805"/>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6"/>
      <c r="M37" s="2710"/>
      <c r="N37" s="2710"/>
      <c r="O37" s="2768"/>
      <c r="P37" s="3805" t="s">
        <v>1696</v>
      </c>
      <c r="Q37" s="1349" t="str">
        <f t="shared" si="14"/>
        <v>工程地质条件</v>
      </c>
      <c r="R37" s="703" t="s">
        <v>14</v>
      </c>
      <c r="S37" s="704">
        <f t="shared" si="10"/>
        <v>100</v>
      </c>
      <c r="T37" s="703" t="s">
        <v>14</v>
      </c>
      <c r="U37" s="704">
        <f t="shared" si="11"/>
        <v>100</v>
      </c>
      <c r="V37" s="703" t="s">
        <v>14</v>
      </c>
      <c r="W37" s="704">
        <f t="shared" si="12"/>
        <v>100</v>
      </c>
      <c r="X37" s="1352"/>
      <c r="Y37" s="3805"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6"/>
      <c r="M38" s="2710"/>
      <c r="N38" s="2710"/>
      <c r="O38" s="2768"/>
      <c r="P38" s="3805"/>
      <c r="Q38" s="1349">
        <f t="shared" si="14"/>
        <v>111</v>
      </c>
      <c r="R38" s="703" t="s">
        <v>14</v>
      </c>
      <c r="S38" s="704">
        <f t="shared" si="10"/>
        <v>100</v>
      </c>
      <c r="T38" s="703" t="s">
        <v>14</v>
      </c>
      <c r="U38" s="704">
        <f t="shared" si="11"/>
        <v>100</v>
      </c>
      <c r="V38" s="703" t="s">
        <v>14</v>
      </c>
      <c r="W38" s="704">
        <f t="shared" si="12"/>
        <v>100</v>
      </c>
      <c r="X38" s="1352"/>
      <c r="Y38" s="3805"/>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6"/>
      <c r="M39" s="2710"/>
      <c r="N39" s="2710"/>
      <c r="O39" s="2768"/>
      <c r="P39" s="3805"/>
      <c r="Q39" s="1349">
        <f t="shared" si="14"/>
        <v>111</v>
      </c>
      <c r="R39" s="703" t="s">
        <v>14</v>
      </c>
      <c r="S39" s="704">
        <f t="shared" si="10"/>
        <v>100</v>
      </c>
      <c r="T39" s="703" t="s">
        <v>14</v>
      </c>
      <c r="U39" s="704">
        <f t="shared" si="11"/>
        <v>100</v>
      </c>
      <c r="V39" s="703" t="s">
        <v>14</v>
      </c>
      <c r="W39" s="704">
        <f t="shared" si="12"/>
        <v>100</v>
      </c>
      <c r="X39" s="1352"/>
      <c r="Y39" s="3805"/>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5"/>
      <c r="M40" s="2717"/>
      <c r="N40" s="2717"/>
      <c r="O40" s="2769"/>
      <c r="P40" s="3805"/>
      <c r="Q40" s="1349">
        <f t="shared" si="14"/>
        <v>111</v>
      </c>
      <c r="R40" s="706" t="s">
        <v>14</v>
      </c>
      <c r="S40" s="707">
        <f t="shared" si="10"/>
        <v>100</v>
      </c>
      <c r="T40" s="706" t="s">
        <v>14</v>
      </c>
      <c r="U40" s="707">
        <f t="shared" si="11"/>
        <v>100</v>
      </c>
      <c r="V40" s="706" t="s">
        <v>14</v>
      </c>
      <c r="W40" s="707">
        <f t="shared" si="12"/>
        <v>100</v>
      </c>
      <c r="X40" s="708"/>
      <c r="Y40" s="3805"/>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8"/>
      <c r="M41" s="2710"/>
      <c r="N41" s="2710"/>
      <c r="O41" s="2719"/>
      <c r="P41" s="3798" t="str">
        <f>A41</f>
        <v>成交单价</v>
      </c>
      <c r="Q41" s="3798"/>
      <c r="R41" s="3829">
        <f>E41</f>
        <v>0</v>
      </c>
      <c r="S41" s="3829"/>
      <c r="T41" s="3829">
        <f>G41</f>
        <v>0</v>
      </c>
      <c r="U41" s="3829"/>
      <c r="V41" s="3829">
        <f>I41</f>
        <v>0</v>
      </c>
      <c r="W41" s="3829"/>
      <c r="X41" s="688"/>
      <c r="Y41" s="710"/>
      <c r="Z41" s="688"/>
      <c r="AA41" s="688"/>
      <c r="AB41" s="688"/>
      <c r="AC41" s="688"/>
    </row>
    <row r="42" spans="1:31" ht="15.75" thickBot="1">
      <c r="A42" s="436" t="s">
        <v>1793</v>
      </c>
      <c r="B42" s="629"/>
      <c r="C42" s="439" t="e">
        <f>R43</f>
        <v>#DIV/0!</v>
      </c>
      <c r="D42" s="2313" t="s">
        <v>2135</v>
      </c>
      <c r="E42" s="439" t="e">
        <f>R42</f>
        <v>#DIV/0!</v>
      </c>
      <c r="F42" s="2314"/>
      <c r="G42" s="438" t="e">
        <f>T42</f>
        <v>#DIV/0!</v>
      </c>
      <c r="H42" s="2314"/>
      <c r="I42" s="439" t="e">
        <f>V42</f>
        <v>#DIV/0!</v>
      </c>
      <c r="J42" s="2314"/>
      <c r="K42" s="2316">
        <f>F42+H42+J42</f>
        <v>0</v>
      </c>
      <c r="L42" s="2718"/>
      <c r="M42" s="2710"/>
      <c r="N42" s="2710"/>
      <c r="O42" s="2719"/>
      <c r="P42" s="3798" t="str">
        <f>A42</f>
        <v>比较价值（元/平方米）</v>
      </c>
      <c r="Q42" s="3798"/>
      <c r="R42" s="3860" t="e">
        <f>ROUND(PRODUCT(R41,AA7:AA40),0)</f>
        <v>#DIV/0!</v>
      </c>
      <c r="S42" s="3860"/>
      <c r="T42" s="3860" t="e">
        <f>ROUND(PRODUCT(T41,AB7:AB40),0)</f>
        <v>#DIV/0!</v>
      </c>
      <c r="U42" s="3860"/>
      <c r="V42" s="3860" t="e">
        <f>ROUND(PRODUCT(V41,AC7:AC40),0)</f>
        <v>#DIV/0!</v>
      </c>
      <c r="W42" s="386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95" t="str">
        <f>A43</f>
        <v>估价对象XX用房的比较价值（楼面单价，元/平方米）</v>
      </c>
      <c r="Q43" s="3796"/>
      <c r="R43" s="3861" t="e">
        <f>ROUND(IF(D42="简单平均",AVERAGE(R42:W42),R42*F42+T42*H42+V42*J42),0)</f>
        <v>#DIV/0!</v>
      </c>
      <c r="S43" s="3861"/>
      <c r="T43" s="3861"/>
      <c r="U43" s="3861"/>
      <c r="V43" s="3861"/>
      <c r="W43" s="3861"/>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0" t="s">
        <v>1881</v>
      </c>
      <c r="B50" s="631" t="s">
        <v>1882</v>
      </c>
      <c r="C50" s="1979" t="s">
        <v>1883</v>
      </c>
      <c r="D50" s="1980" t="s">
        <v>1884</v>
      </c>
      <c r="E50" s="632" t="s">
        <v>1885</v>
      </c>
      <c r="F50" s="633" t="s">
        <v>1886</v>
      </c>
      <c r="G50" s="3813" t="s">
        <v>1887</v>
      </c>
      <c r="H50" s="3862"/>
      <c r="I50" s="1353" t="s">
        <v>1923</v>
      </c>
      <c r="J50" s="1353">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8" customFormat="1">
      <c r="A51" s="634" t="s">
        <v>1890</v>
      </c>
      <c r="B51" s="635" t="e">
        <f>C43</f>
        <v>#DIV/0!</v>
      </c>
      <c r="C51" s="636">
        <v>1</v>
      </c>
      <c r="D51" s="942">
        <v>1</v>
      </c>
      <c r="E51" s="636">
        <f>'数据-汇总表'!E8+'数据-汇总表'!E9</f>
        <v>135.71</v>
      </c>
      <c r="F51" s="637" t="e">
        <f t="shared" ref="F51:F60" si="15">ROUND(B51*E51/10000,0)</f>
        <v>#DIV/0!</v>
      </c>
      <c r="G51" s="3809"/>
      <c r="H51" s="3798"/>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8" customFormat="1">
      <c r="A52" s="639" t="s">
        <v>1891</v>
      </c>
      <c r="B52" s="217" t="e">
        <f>ROUND($C$43*C52*D52,0)</f>
        <v>#DIV/0!</v>
      </c>
      <c r="C52" s="170">
        <f t="shared" ref="C52:C60" si="16">IF($C$50="北京市系数",I52,J52)</f>
        <v>0</v>
      </c>
      <c r="D52" s="943">
        <v>0.25</v>
      </c>
      <c r="E52" s="640"/>
      <c r="F52" s="637"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8" customFormat="1">
      <c r="A53" s="639" t="s">
        <v>1893</v>
      </c>
      <c r="B53" s="217" t="e">
        <f t="shared" ref="B53:B60" si="17">ROUND($C$43*C53*D53,0)</f>
        <v>#DIV/0!</v>
      </c>
      <c r="C53" s="170">
        <f t="shared" si="16"/>
        <v>0</v>
      </c>
      <c r="D53" s="943">
        <v>0.25</v>
      </c>
      <c r="E53" s="640"/>
      <c r="F53" s="637"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8" customFormat="1">
      <c r="A54" s="639" t="s">
        <v>1894</v>
      </c>
      <c r="B54" s="217" t="e">
        <f t="shared" si="17"/>
        <v>#DIV/0!</v>
      </c>
      <c r="C54" s="170">
        <f t="shared" si="16"/>
        <v>0</v>
      </c>
      <c r="D54" s="943">
        <v>0.25</v>
      </c>
      <c r="E54" s="640"/>
      <c r="F54" s="637"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8" customFormat="1" hidden="1">
      <c r="A55" s="639"/>
      <c r="B55" s="217"/>
      <c r="C55" s="170"/>
      <c r="D55" s="943"/>
      <c r="E55" s="640"/>
      <c r="F55" s="637"/>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8" customFormat="1">
      <c r="A56" s="639" t="s">
        <v>1895</v>
      </c>
      <c r="B56" s="217" t="e">
        <f t="shared" si="17"/>
        <v>#DIV/0!</v>
      </c>
      <c r="C56" s="170">
        <f t="shared" si="16"/>
        <v>0.25</v>
      </c>
      <c r="D56" s="943">
        <v>0.25</v>
      </c>
      <c r="E56" s="216">
        <f>'数据-汇总表'!E11</f>
        <v>0</v>
      </c>
      <c r="F56" s="637" t="e">
        <f t="shared" si="15"/>
        <v>#DIV/0!</v>
      </c>
      <c r="G56" s="1983" t="s">
        <v>1896</v>
      </c>
      <c r="H56" s="885" t="str">
        <f>项目基本情况!C37</f>
        <v>七级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8" customFormat="1">
      <c r="A57" s="639" t="s">
        <v>1897</v>
      </c>
      <c r="B57" s="217" t="e">
        <f t="shared" si="17"/>
        <v>#DIV/0!</v>
      </c>
      <c r="C57" s="170">
        <f t="shared" si="16"/>
        <v>0.25</v>
      </c>
      <c r="D57" s="943">
        <v>0.25</v>
      </c>
      <c r="E57" s="216">
        <f>'数据-汇总表'!E12</f>
        <v>0</v>
      </c>
      <c r="F57" s="637" t="e">
        <f t="shared" si="15"/>
        <v>#DIV/0!</v>
      </c>
      <c r="G57" s="890" t="s">
        <v>1898</v>
      </c>
      <c r="H57" s="885" t="str">
        <f>IF(G57="商业",项目基本情况!B37,IF(G57="办公",项目基本情况!C37,IF(G57="住宅",项目基本情况!D37,项目基本情况!E37)))</f>
        <v>七级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8" customFormat="1" ht="15" thickBot="1">
      <c r="A60" s="639" t="s">
        <v>1902</v>
      </c>
      <c r="B60" s="217" t="e">
        <f t="shared" si="17"/>
        <v>#DIV/0!</v>
      </c>
      <c r="C60" s="170">
        <f t="shared" si="16"/>
        <v>0.15</v>
      </c>
      <c r="D60" s="943">
        <v>0.25</v>
      </c>
      <c r="E60" s="216">
        <f>'数据-汇总表'!E15</f>
        <v>0</v>
      </c>
      <c r="F60" s="637" t="e">
        <f t="shared" si="15"/>
        <v>#DIV/0!</v>
      </c>
      <c r="G60" s="1984" t="s">
        <v>1896</v>
      </c>
      <c r="H60" s="895" t="str">
        <f>项目基本情况!C37</f>
        <v>七级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3"/>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7" customFormat="1" ht="15.75" thickBot="1">
      <c r="A69" s="469"/>
      <c r="B69" s="458"/>
      <c r="C69" s="585">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6"/>
      <c r="O87" s="2746"/>
      <c r="P87" s="2772"/>
      <c r="Q87" s="2733"/>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6"/>
      <c r="O89" s="2746"/>
      <c r="P89" s="2772"/>
      <c r="Q89" s="2733"/>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1"/>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3"/>
      <c r="H106" s="623"/>
      <c r="I106" s="623"/>
      <c r="J106" s="623"/>
      <c r="K106" s="623"/>
      <c r="L106" s="623"/>
      <c r="M106" s="645"/>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6"/>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7"/>
      <c r="G1" s="2787"/>
      <c r="H1" s="2787"/>
      <c r="I1" s="2787"/>
      <c r="J1" s="2787"/>
      <c r="K1" s="2787"/>
      <c r="L1" s="2787"/>
      <c r="M1" s="2787"/>
      <c r="N1" s="2787"/>
      <c r="O1" s="2787"/>
      <c r="P1" s="2787"/>
    </row>
    <row r="2" spans="1:16" ht="15.75">
      <c r="A2" s="2141" t="s">
        <v>2073</v>
      </c>
      <c r="B2" s="2596">
        <f ca="1">SUMIF(B6:B13,"&lt;&gt;#ref!",B6:B13)</f>
        <v>149</v>
      </c>
      <c r="C2" s="2141" t="s">
        <v>2074</v>
      </c>
      <c r="D2" s="2141" t="s">
        <v>2075</v>
      </c>
      <c r="E2" s="2606">
        <f ca="1">SUMIF(E6:E13,"&lt;&gt;#ref!",E6:E13)</f>
        <v>135.71</v>
      </c>
      <c r="F2" s="2787"/>
      <c r="G2" s="2787"/>
      <c r="H2" s="2787"/>
      <c r="I2" s="2787"/>
      <c r="J2" s="2787"/>
      <c r="K2" s="2787"/>
      <c r="L2" s="2787"/>
      <c r="M2" s="2787"/>
      <c r="N2" s="2787"/>
      <c r="O2" s="2787"/>
      <c r="P2" s="2787"/>
    </row>
    <row r="3" spans="1:16" ht="15.75">
      <c r="A3" s="2141" t="s">
        <v>2076</v>
      </c>
      <c r="B3" s="2596">
        <f ca="1">ROUND(B2*10000/E2,0)</f>
        <v>10979</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149</v>
      </c>
      <c r="C6" s="2141" t="s">
        <v>2074</v>
      </c>
      <c r="D6" s="2787"/>
      <c r="E6" s="2606">
        <f ca="1">SUMIF(INDIRECT("'"&amp;A6&amp;"'"&amp;"!C:C"),"建筑面积",INDIRECT("'"&amp;A6&amp;"'"&amp;"!D:D"))</f>
        <v>135.71</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90" zoomScaleNormal="70" zoomScaleSheetLayoutView="9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8">
        <f ca="1">ROUND(IF(D2="——",C52/10000,C52/10000-E2),4)</f>
        <v>224.9999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16579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1561147</v>
      </c>
      <c r="D5" s="210" t="s">
        <v>1469</v>
      </c>
      <c r="E5" s="211" t="s">
        <v>1470</v>
      </c>
      <c r="F5" s="211" t="s">
        <v>1471</v>
      </c>
      <c r="G5" s="212"/>
    </row>
    <row r="6" spans="1:8" s="213" customFormat="1" ht="13.5" customHeight="1">
      <c r="A6" s="776" t="s">
        <v>1472</v>
      </c>
      <c r="B6" s="214" t="s">
        <v>1473</v>
      </c>
      <c r="C6" s="215">
        <f>ROUND(基准地价修正!C33*基准地价修正!D33,0)</f>
        <v>1488603</v>
      </c>
      <c r="D6" s="216"/>
      <c r="E6" s="217"/>
      <c r="F6" s="217"/>
      <c r="G6" s="218"/>
    </row>
    <row r="7" spans="1:8" s="213" customFormat="1" ht="13.5" customHeight="1">
      <c r="A7" s="776" t="s">
        <v>1474</v>
      </c>
      <c r="B7" s="214" t="s">
        <v>1475</v>
      </c>
      <c r="C7" s="219">
        <f>ROUND(C6*F7,0)</f>
        <v>45402</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27142</v>
      </c>
      <c r="D8" s="221"/>
      <c r="E8" s="219"/>
      <c r="F8" s="220"/>
      <c r="G8" s="1852" t="s">
        <v>3516</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27142</v>
      </c>
      <c r="D10" s="843">
        <f ca="1">IF(B1="",'数据-汇总表'!E6,IF(INDIRECT("'数据-取费表'!c"&amp;$G$1)="住宅",INDIRECT("'数据-取费表'!s"&amp;$G$1),INDIRECT("'数据-取费表'!k"&amp;$G$1)+INDIRECT("'数据-取费表'!s"&amp;$G$1)))</f>
        <v>135.71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135.71</v>
      </c>
      <c r="E19" s="210">
        <f>'数据-取费表'!B31</f>
        <v>200</v>
      </c>
      <c r="F19" s="230"/>
      <c r="G19" s="1852" t="s">
        <v>3515</v>
      </c>
    </row>
    <row r="20" spans="1:7" s="213" customFormat="1" ht="13.5" customHeight="1">
      <c r="A20" s="254" t="s">
        <v>1574</v>
      </c>
      <c r="B20" s="209" t="s">
        <v>1575</v>
      </c>
      <c r="C20" s="231">
        <f ca="1">ROUND((C5+C19)*F20,0)</f>
        <v>31223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68589</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67910</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679</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79619</v>
      </c>
      <c r="D27" s="234">
        <f ca="1">C29</f>
        <v>1E-3</v>
      </c>
      <c r="E27" s="235" t="s">
        <v>1514</v>
      </c>
      <c r="F27" s="245">
        <f ca="1">IF(B1="",'数据-取费表'!Q16,INDIRECT("'数据-取费表'!q"&amp;$G$1))</f>
        <v>0.05</v>
      </c>
      <c r="G27" s="246" t="s">
        <v>1515</v>
      </c>
    </row>
    <row r="28" spans="1:7" s="213" customFormat="1" ht="13.5" customHeight="1">
      <c r="A28" s="778" t="s">
        <v>346</v>
      </c>
      <c r="B28" s="247" t="s">
        <v>1516</v>
      </c>
      <c r="C28" s="248">
        <f ca="1">ROUND((C5+C19+C20)*F27,0)</f>
        <v>79619</v>
      </c>
      <c r="D28" s="234"/>
      <c r="E28" s="235"/>
      <c r="F28" s="245"/>
      <c r="G28" s="246"/>
    </row>
    <row r="29" spans="1:7" s="213" customFormat="1" ht="13.5" customHeight="1">
      <c r="A29" s="778"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1879268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523502</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474985</v>
      </c>
      <c r="D34" s="216"/>
      <c r="E34" s="219"/>
      <c r="F34" s="256"/>
      <c r="G34" s="218"/>
    </row>
    <row r="35" spans="1:7" ht="13.5" customHeight="1">
      <c r="A35" s="778" t="s">
        <v>351</v>
      </c>
      <c r="B35" s="214" t="s">
        <v>1527</v>
      </c>
      <c r="C35" s="219">
        <f ca="1">ROUND(C34*F35,0)</f>
        <v>14250</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27142</v>
      </c>
      <c r="D37" s="216">
        <f ca="1">D19</f>
        <v>135.71</v>
      </c>
      <c r="E37" s="248">
        <f>'数据-取费表'!B35</f>
        <v>200</v>
      </c>
      <c r="F37" s="258"/>
      <c r="G37" s="260"/>
    </row>
    <row r="38" spans="1:7" ht="13.5" customHeight="1">
      <c r="A38" s="778" t="s">
        <v>354</v>
      </c>
      <c r="B38" s="214" t="s">
        <v>1533</v>
      </c>
      <c r="C38" s="219">
        <f ca="1">ROUND(C34*F38,0)</f>
        <v>7125</v>
      </c>
      <c r="D38" s="219"/>
      <c r="E38" s="219"/>
      <c r="F38" s="258">
        <f>'数据-取费表'!B36</f>
        <v>1.4999999999999999E-2</v>
      </c>
      <c r="G38" s="218" t="s">
        <v>1528</v>
      </c>
    </row>
    <row r="39" spans="1:7" s="213" customFormat="1" ht="13.5" customHeight="1">
      <c r="A39" s="254" t="s">
        <v>1534</v>
      </c>
      <c r="B39" s="209" t="s">
        <v>1535</v>
      </c>
      <c r="C39" s="231">
        <f ca="1">ROUND(C33*F20,0)</f>
        <v>10470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11614</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11386</v>
      </c>
      <c r="D42" s="237"/>
      <c r="E42" s="237"/>
      <c r="F42" s="238"/>
      <c r="G42" s="3766" t="s">
        <v>1591</v>
      </c>
    </row>
    <row r="43" spans="1:7" ht="13.5" customHeight="1">
      <c r="A43" s="778" t="s">
        <v>347</v>
      </c>
      <c r="B43" s="214" t="s">
        <v>1545</v>
      </c>
      <c r="C43" s="237">
        <f ca="1">ROUND(IF('数据-取费表'!B22&lt;=1,C39*F22*'数据-取费表'!B20/2,C39*(POWER((1+F22),'数据-取费表'!B20/2)-1)),0)</f>
        <v>228</v>
      </c>
      <c r="D43" s="237"/>
      <c r="E43" s="237"/>
      <c r="F43" s="238"/>
      <c r="G43" s="3767"/>
    </row>
    <row r="44" spans="1:7" ht="13.5" customHeight="1">
      <c r="A44" s="778" t="s">
        <v>348</v>
      </c>
      <c r="B44" s="214" t="s">
        <v>1546</v>
      </c>
      <c r="C44" s="237">
        <f ca="1">ROUND(IF('数据-取费表'!B22&lt;=1,C40*F22*'数据-取费表'!B20/2,C40*(POWER((1+F22),'数据-取费表'!B20/2)-1)),4)</f>
        <v>4.0000000000000002E-4</v>
      </c>
      <c r="D44" s="237"/>
      <c r="E44" s="237"/>
      <c r="F44" s="238"/>
      <c r="G44" s="3768"/>
    </row>
    <row r="45" spans="1:7" s="213" customFormat="1" ht="13.5" customHeight="1">
      <c r="A45" s="254" t="s">
        <v>1547</v>
      </c>
      <c r="B45" s="243" t="s">
        <v>1513</v>
      </c>
      <c r="C45" s="244">
        <f ca="1">C46</f>
        <v>26699</v>
      </c>
      <c r="D45" s="234">
        <f ca="1">C47</f>
        <v>1E-3</v>
      </c>
      <c r="E45" s="235" t="s">
        <v>1539</v>
      </c>
      <c r="F45" s="245">
        <f ca="1">F27</f>
        <v>0.05</v>
      </c>
      <c r="G45" s="246" t="s">
        <v>1548</v>
      </c>
    </row>
    <row r="46" spans="1:7" s="213" customFormat="1" ht="13.5" customHeight="1">
      <c r="A46" s="778" t="s">
        <v>346</v>
      </c>
      <c r="B46" s="247" t="s">
        <v>1549</v>
      </c>
      <c r="C46" s="248">
        <f ca="1">ROUND((C33+C39)*F27,0)</f>
        <v>26699</v>
      </c>
      <c r="D46" s="262"/>
      <c r="E46" s="235"/>
      <c r="F46" s="245"/>
      <c r="G46" s="246"/>
    </row>
    <row r="47" spans="1:7" s="213" customFormat="1" ht="13.5" customHeight="1">
      <c r="A47" s="778"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617885</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370731</v>
      </c>
      <c r="D51" s="231"/>
      <c r="E51" s="231"/>
      <c r="F51" s="263"/>
      <c r="G51" s="233" t="s">
        <v>1560</v>
      </c>
    </row>
    <row r="52" spans="1:7" s="207" customFormat="1" ht="16.5" thickBot="1">
      <c r="A52" s="264" t="s">
        <v>1561</v>
      </c>
      <c r="B52" s="265"/>
      <c r="C52" s="266">
        <f ca="1">C31+C51</f>
        <v>2249999</v>
      </c>
      <c r="D52" s="265"/>
      <c r="E52" s="265"/>
      <c r="F52" s="265"/>
      <c r="G52" s="267"/>
    </row>
    <row r="55" spans="1:7" ht="15">
      <c r="B55" s="269" t="s">
        <v>1562</v>
      </c>
      <c r="C55" s="270"/>
    </row>
    <row r="56" spans="1:7">
      <c r="B56" s="272" t="s">
        <v>802</v>
      </c>
      <c r="C56" s="274">
        <f ca="1">1-C57</f>
        <v>0.83499999999999996</v>
      </c>
    </row>
    <row r="57" spans="1:7">
      <c r="B57" s="272" t="s">
        <v>803</v>
      </c>
      <c r="C57" s="273">
        <f ca="1">ROUND(C51/C52,3)</f>
        <v>0.16500000000000001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D6:K27"/>
  <sheetViews>
    <sheetView topLeftCell="A46" workbookViewId="0">
      <selection activeCell="L60" sqref="L60"/>
    </sheetView>
  </sheetViews>
  <sheetFormatPr defaultRowHeight="13.5"/>
  <cols>
    <col min="9" max="9" width="12.125" customWidth="1"/>
  </cols>
  <sheetData>
    <row r="6" spans="4:9">
      <c r="D6" s="3530" t="s">
        <v>3581</v>
      </c>
      <c r="E6" s="3530" t="s">
        <v>3590</v>
      </c>
      <c r="F6">
        <v>160</v>
      </c>
      <c r="G6">
        <v>2</v>
      </c>
      <c r="I6" t="s">
        <v>3591</v>
      </c>
    </row>
    <row r="7" spans="4:9">
      <c r="D7" s="3530" t="s">
        <v>3581</v>
      </c>
      <c r="E7" s="3530" t="s">
        <v>3588</v>
      </c>
      <c r="F7">
        <v>2000</v>
      </c>
      <c r="G7">
        <v>2.8</v>
      </c>
      <c r="I7" t="s">
        <v>3589</v>
      </c>
    </row>
    <row r="8" spans="4:9">
      <c r="D8" s="3530" t="s">
        <v>3583</v>
      </c>
      <c r="E8" s="3530" t="s">
        <v>3600</v>
      </c>
      <c r="F8">
        <v>300</v>
      </c>
      <c r="G8">
        <v>2.8</v>
      </c>
      <c r="I8" t="s">
        <v>3601</v>
      </c>
    </row>
    <row r="9" spans="4:9">
      <c r="D9" s="3533" t="s">
        <v>3583</v>
      </c>
      <c r="E9" s="3533" t="s">
        <v>3569</v>
      </c>
      <c r="F9" s="3533">
        <v>74</v>
      </c>
      <c r="G9" s="3533">
        <v>1.85</v>
      </c>
      <c r="I9" t="s">
        <v>3570</v>
      </c>
    </row>
    <row r="10" spans="4:9">
      <c r="D10" s="3533" t="s">
        <v>3582</v>
      </c>
      <c r="E10" s="3533" t="s">
        <v>3571</v>
      </c>
      <c r="F10" s="3533">
        <v>69</v>
      </c>
      <c r="G10" s="3533">
        <v>1.84</v>
      </c>
      <c r="I10" t="s">
        <v>3572</v>
      </c>
    </row>
    <row r="11" spans="4:9">
      <c r="D11" s="3533" t="s">
        <v>3580</v>
      </c>
      <c r="E11" s="3533" t="s">
        <v>3574</v>
      </c>
      <c r="F11" s="3533">
        <v>550</v>
      </c>
      <c r="G11" s="3533">
        <v>1.7</v>
      </c>
      <c r="I11" t="s">
        <v>3573</v>
      </c>
    </row>
    <row r="12" spans="4:9">
      <c r="D12" t="s">
        <v>3580</v>
      </c>
      <c r="E12" s="3530" t="s">
        <v>3598</v>
      </c>
      <c r="F12">
        <v>200</v>
      </c>
      <c r="G12">
        <v>2</v>
      </c>
      <c r="I12" t="s">
        <v>3599</v>
      </c>
    </row>
    <row r="13" spans="4:9">
      <c r="D13" s="3529" t="s">
        <v>3581</v>
      </c>
      <c r="E13" s="3529" t="s">
        <v>3574</v>
      </c>
      <c r="F13" s="3529">
        <v>1100</v>
      </c>
      <c r="G13" s="3529">
        <v>1.7</v>
      </c>
      <c r="I13" t="s">
        <v>3575</v>
      </c>
    </row>
    <row r="14" spans="4:9">
      <c r="D14" s="3530" t="s">
        <v>3579</v>
      </c>
      <c r="E14" s="3530" t="s">
        <v>3577</v>
      </c>
      <c r="F14">
        <v>1500</v>
      </c>
      <c r="G14">
        <v>2.8</v>
      </c>
      <c r="H14" s="3530" t="s">
        <v>3578</v>
      </c>
      <c r="I14" t="s">
        <v>3576</v>
      </c>
    </row>
    <row r="15" spans="4:9">
      <c r="D15" s="3530" t="s">
        <v>3579</v>
      </c>
      <c r="E15" s="3530" t="s">
        <v>3585</v>
      </c>
      <c r="F15">
        <v>1500</v>
      </c>
      <c r="G15">
        <v>2.2000000000000002</v>
      </c>
      <c r="H15" s="3530"/>
      <c r="I15" t="s">
        <v>3595</v>
      </c>
    </row>
    <row r="16" spans="4:9">
      <c r="D16" s="3533" t="s">
        <v>3579</v>
      </c>
      <c r="E16" s="3533" t="s">
        <v>3585</v>
      </c>
      <c r="F16" s="3533">
        <v>270</v>
      </c>
      <c r="G16" s="3533">
        <v>1.48</v>
      </c>
      <c r="I16" t="s">
        <v>3584</v>
      </c>
    </row>
    <row r="17" spans="4:11">
      <c r="D17" s="3530" t="s">
        <v>3579</v>
      </c>
      <c r="E17" s="3530" t="s">
        <v>3586</v>
      </c>
      <c r="F17">
        <v>800</v>
      </c>
      <c r="G17">
        <v>2.5</v>
      </c>
      <c r="I17" t="s">
        <v>3594</v>
      </c>
    </row>
    <row r="18" spans="4:11">
      <c r="D18" s="3530" t="s">
        <v>3579</v>
      </c>
      <c r="E18" s="3530" t="s">
        <v>3586</v>
      </c>
      <c r="F18">
        <v>12000</v>
      </c>
      <c r="G18">
        <v>2.5</v>
      </c>
      <c r="I18" t="s">
        <v>3587</v>
      </c>
    </row>
    <row r="19" spans="4:11">
      <c r="D19" s="3530" t="s">
        <v>3579</v>
      </c>
      <c r="E19" t="s">
        <v>3592</v>
      </c>
      <c r="F19">
        <v>300</v>
      </c>
      <c r="G19">
        <v>2.8</v>
      </c>
      <c r="I19" t="s">
        <v>3593</v>
      </c>
    </row>
    <row r="20" spans="4:11">
      <c r="D20" s="3533" t="s">
        <v>3579</v>
      </c>
      <c r="E20" s="3533" t="s">
        <v>3597</v>
      </c>
      <c r="F20" s="3533">
        <v>300</v>
      </c>
      <c r="G20" s="3533">
        <v>1.5</v>
      </c>
      <c r="H20" s="3530" t="s">
        <v>3578</v>
      </c>
      <c r="I20" t="s">
        <v>3596</v>
      </c>
    </row>
    <row r="24" spans="4:11">
      <c r="J24" s="3530" t="s">
        <v>3603</v>
      </c>
      <c r="K24" s="3530" t="s">
        <v>3608</v>
      </c>
    </row>
    <row r="25" spans="4:11">
      <c r="I25" s="3530" t="s">
        <v>3602</v>
      </c>
      <c r="J25" s="3530" t="s">
        <v>3604</v>
      </c>
      <c r="K25" s="3530" t="s">
        <v>3604</v>
      </c>
    </row>
    <row r="26" spans="4:11">
      <c r="I26" s="3530" t="s">
        <v>3605</v>
      </c>
      <c r="J26" s="3530" t="s">
        <v>3604</v>
      </c>
      <c r="K26" s="3530" t="s">
        <v>3604</v>
      </c>
    </row>
    <row r="27" spans="4:11">
      <c r="I27" s="3530" t="s">
        <v>3606</v>
      </c>
      <c r="J27" s="3530" t="s">
        <v>3607</v>
      </c>
      <c r="K27" s="3530" t="s">
        <v>3607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135.71</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149</v>
      </c>
      <c r="C2" s="1995" t="s">
        <v>1935</v>
      </c>
      <c r="D2" s="1996" t="s">
        <v>1936</v>
      </c>
      <c r="E2" s="3416"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5">
        <f>ROUND(SUMPRODUCT((B106:B110=R2)*(C105:N105=G2)*(C106:N110)),4)</f>
        <v>1.5019</v>
      </c>
      <c r="T2" s="3355">
        <f t="shared" ref="T2:T16" si="0">ROUND($C$5*$C$22*$C$23*$C$24*S2*$C$28,0)</f>
        <v>13550</v>
      </c>
      <c r="U2" s="1210"/>
      <c r="V2" s="3355">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10979</v>
      </c>
      <c r="C3" s="1995" t="s">
        <v>1941</v>
      </c>
      <c r="D3" s="1996" t="s">
        <v>1942</v>
      </c>
      <c r="E3" s="3414" t="s">
        <v>3610</v>
      </c>
      <c r="F3" s="2000" t="s">
        <v>3507</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5">
        <f>ROUND(SUMPRODUCT((B106:B110=R3)*(C105:N105=G2)*(C106:N110)),4)</f>
        <v>1.1838</v>
      </c>
      <c r="T3" s="3355">
        <f t="shared" si="0"/>
        <v>10680</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874"/>
      <c r="B4" s="3875"/>
      <c r="C4" s="3875"/>
      <c r="D4" s="3876"/>
      <c r="E4" s="3876"/>
      <c r="F4" s="3876"/>
      <c r="G4" s="3876"/>
      <c r="H4" s="3876"/>
      <c r="I4" s="3876"/>
      <c r="J4" s="3877"/>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5">
        <f>ROUND(SUMPRODUCT((B106:B110=R4)*(C105:N105=G2)*(C106:N110)),4)</f>
        <v>1.0004999999999999</v>
      </c>
      <c r="T4" s="3355">
        <f t="shared" si="0"/>
        <v>9026</v>
      </c>
      <c r="U4" s="1210"/>
      <c r="V4" s="3355">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8630</v>
      </c>
      <c r="D5" s="1336">
        <f>ROUND(C6*C17+C20,0)</f>
        <v>8630</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5">
        <f>ROUND(SUMPRODUCT((B106:B110=R5)*(C105:N105=G2)*(C106:N110)),4)</f>
        <v>0.88239999999999996</v>
      </c>
      <c r="T5" s="3355">
        <f t="shared" si="0"/>
        <v>7961</v>
      </c>
      <c r="U5" s="1210"/>
      <c r="V5" s="3355">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8630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5">
        <f>ROUND(SUMPRODUCT((B106:B110=R6)*(C105:N105=G2)*(C106:N110)),4)</f>
        <v>0.84799999999999998</v>
      </c>
      <c r="T6" s="3355">
        <f t="shared" si="0"/>
        <v>7650</v>
      </c>
      <c r="U6" s="1210"/>
      <c r="V6" s="3355">
        <f t="shared" si="1"/>
        <v>0</v>
      </c>
      <c r="W6" s="1213"/>
      <c r="X6" s="1213"/>
      <c r="Y6" s="1213"/>
      <c r="Z6" s="1213"/>
      <c r="AA6" s="1213"/>
      <c r="AB6" s="1213"/>
      <c r="AC6" s="2007"/>
      <c r="AD6" s="2008"/>
      <c r="AE6" s="2008"/>
      <c r="AF6" s="2008"/>
      <c r="AG6" s="2008"/>
      <c r="AH6" s="2008"/>
      <c r="AI6" s="2008"/>
      <c r="AJ6" s="2009"/>
    </row>
    <row r="7" spans="1:36" ht="24.75" thickBot="1">
      <c r="A7" s="3298"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8630</v>
      </c>
      <c r="N7" s="864">
        <f>SUMPRODUCT((因素修正幅度!B190:B233=I2)*(因素修正幅度!C3:G3=E2)*(因素修正幅度!C190:G233))</f>
        <v>0.13</v>
      </c>
      <c r="O7" s="1116"/>
      <c r="P7" s="1116"/>
      <c r="Q7" s="1116"/>
      <c r="R7" s="1209">
        <v>6</v>
      </c>
      <c r="S7" s="3413"/>
      <c r="T7" s="3355">
        <f t="shared" si="0"/>
        <v>0</v>
      </c>
      <c r="U7" s="1210"/>
      <c r="V7" s="3355">
        <f t="shared" si="1"/>
        <v>0</v>
      </c>
      <c r="W7" s="1355" t="s">
        <v>1955</v>
      </c>
      <c r="X7" s="1211" t="str">
        <f>G2</f>
        <v>七级</v>
      </c>
      <c r="Y7" s="1211" t="s">
        <v>1956</v>
      </c>
      <c r="Z7" s="1212">
        <f>G3</f>
        <v>1</v>
      </c>
      <c r="AA7" s="1213"/>
      <c r="AB7" s="1213"/>
      <c r="AC7" s="1214"/>
      <c r="AD7" s="1215"/>
      <c r="AE7" s="1215"/>
      <c r="AF7" s="1215"/>
      <c r="AG7" s="1215"/>
      <c r="AH7" s="1215"/>
      <c r="AI7" s="1215"/>
      <c r="AJ7" s="1216"/>
    </row>
    <row r="8" spans="1:36" ht="25.5">
      <c r="A8" s="3293"/>
      <c r="B8" s="169" t="s">
        <v>1957</v>
      </c>
      <c r="C8" s="2022" t="s">
        <v>3508</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5">
        <f t="shared" si="0"/>
        <v>0</v>
      </c>
      <c r="U8" s="1210"/>
      <c r="V8" s="3355">
        <f t="shared" si="1"/>
        <v>0</v>
      </c>
      <c r="W8" s="3871" t="s">
        <v>1960</v>
      </c>
      <c r="X8" s="387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3"/>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5">
        <f t="shared" si="0"/>
        <v>0</v>
      </c>
      <c r="U9" s="1210"/>
      <c r="V9" s="3355">
        <f t="shared" si="1"/>
        <v>0</v>
      </c>
      <c r="W9" s="3873"/>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5">
        <f t="shared" si="0"/>
        <v>0</v>
      </c>
      <c r="U10" s="1210"/>
      <c r="V10" s="3355">
        <f t="shared" si="1"/>
        <v>0</v>
      </c>
      <c r="W10" s="38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5">
        <f t="shared" si="0"/>
        <v>0</v>
      </c>
      <c r="U11" s="1210"/>
      <c r="V11" s="3355">
        <f t="shared" si="1"/>
        <v>0</v>
      </c>
      <c r="W11" s="1213"/>
      <c r="X11" s="1213"/>
      <c r="Y11" s="1213"/>
      <c r="Z11" s="1213"/>
      <c r="AA11" s="1213"/>
      <c r="AB11" s="1213"/>
      <c r="AC11" s="1214"/>
      <c r="AD11" s="2783"/>
      <c r="AE11" s="2783"/>
      <c r="AF11" s="2783"/>
      <c r="AG11" s="2783"/>
      <c r="AH11" s="2783"/>
      <c r="AI11" s="2783"/>
      <c r="AJ11" s="2784"/>
    </row>
    <row r="12" spans="1:36" ht="25.5" thickBot="1">
      <c r="A12" s="3298" t="s">
        <v>3237</v>
      </c>
      <c r="B12" s="3299" t="s">
        <v>3238</v>
      </c>
      <c r="C12" s="3300">
        <v>1</v>
      </c>
      <c r="D12" s="3301" t="s">
        <v>3239</v>
      </c>
      <c r="E12" s="3302" t="s">
        <v>3240</v>
      </c>
      <c r="F12" s="3303"/>
      <c r="G12" s="3304"/>
      <c r="H12" s="3304"/>
      <c r="I12" s="3304"/>
      <c r="J12" s="3305"/>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5">
        <f t="shared" si="0"/>
        <v>0</v>
      </c>
      <c r="U12" s="1210"/>
      <c r="V12" s="3355">
        <f t="shared" si="1"/>
        <v>0</v>
      </c>
      <c r="W12" s="1213"/>
      <c r="X12" s="1213"/>
      <c r="Y12" s="1213"/>
      <c r="Z12" s="1213"/>
      <c r="AA12" s="1213"/>
      <c r="AB12" s="1213"/>
      <c r="AC12" s="1214"/>
      <c r="AD12" s="2783"/>
      <c r="AE12" s="2783"/>
      <c r="AF12" s="2783"/>
      <c r="AG12" s="2783"/>
      <c r="AH12" s="2783"/>
      <c r="AI12" s="2783"/>
      <c r="AJ12" s="2784"/>
    </row>
    <row r="13" spans="1:36" ht="15.75" thickBot="1">
      <c r="A13" s="3298" t="s">
        <v>3241</v>
      </c>
      <c r="B13" s="2030" t="s">
        <v>1982</v>
      </c>
      <c r="C13" s="753">
        <f>ROUND(C16*D16*E16*F16*G16*H16*I16*J16,4)</f>
        <v>1</v>
      </c>
      <c r="D13" s="2031" t="s">
        <v>1983</v>
      </c>
      <c r="E13" s="2032"/>
      <c r="F13" s="2032"/>
      <c r="G13" s="2033"/>
      <c r="H13" s="2033"/>
      <c r="I13" s="2033"/>
      <c r="J13" s="2034"/>
      <c r="K13" s="1116"/>
      <c r="L13" s="3294"/>
      <c r="M13" s="3295"/>
      <c r="N13" s="3296"/>
      <c r="O13" s="1116"/>
      <c r="P13" s="1116"/>
      <c r="Q13" s="1116"/>
      <c r="R13" s="1209">
        <v>12</v>
      </c>
      <c r="S13" s="1210"/>
      <c r="T13" s="3355">
        <f t="shared" si="0"/>
        <v>0</v>
      </c>
      <c r="U13" s="1210"/>
      <c r="V13" s="3355">
        <f t="shared" si="1"/>
        <v>0</v>
      </c>
      <c r="W13" s="1213"/>
      <c r="X13" s="1213"/>
      <c r="Y13" s="1213"/>
      <c r="Z13" s="1213"/>
      <c r="AA13" s="1213"/>
      <c r="AB13" s="1213"/>
      <c r="AC13" s="1214"/>
      <c r="AD13" s="2783"/>
      <c r="AE13" s="2783"/>
      <c r="AF13" s="2783"/>
      <c r="AG13" s="2783"/>
      <c r="AH13" s="2783"/>
      <c r="AI13" s="2783"/>
      <c r="AJ13" s="2784"/>
    </row>
    <row r="14" spans="1:36" ht="15">
      <c r="A14" s="3292"/>
      <c r="B14" s="2036" t="s">
        <v>1985</v>
      </c>
      <c r="C14" s="2037" t="s">
        <v>1986</v>
      </c>
      <c r="D14" s="1347" t="s">
        <v>1987</v>
      </c>
      <c r="E14" s="27" t="s">
        <v>1988</v>
      </c>
      <c r="F14" s="3306" t="s">
        <v>3242</v>
      </c>
      <c r="G14" s="3306" t="s">
        <v>3242</v>
      </c>
      <c r="H14" s="3306" t="s">
        <v>3242</v>
      </c>
      <c r="I14" s="3306" t="s">
        <v>3242</v>
      </c>
      <c r="J14" s="3306" t="s">
        <v>3242</v>
      </c>
      <c r="K14" s="1116"/>
      <c r="L14" s="1116"/>
      <c r="M14" s="1116"/>
      <c r="N14" s="1116"/>
      <c r="O14" s="1116"/>
      <c r="P14" s="1116"/>
      <c r="Q14" s="1116"/>
      <c r="R14" s="1209">
        <v>13</v>
      </c>
      <c r="S14" s="1210"/>
      <c r="T14" s="3355">
        <f t="shared" si="0"/>
        <v>0</v>
      </c>
      <c r="U14" s="1210"/>
      <c r="V14" s="3355">
        <f t="shared" si="1"/>
        <v>0</v>
      </c>
      <c r="W14" s="1213"/>
      <c r="X14" s="1213"/>
      <c r="Y14" s="1213"/>
      <c r="Z14" s="1213"/>
      <c r="AA14" s="1213"/>
      <c r="AB14" s="1213"/>
      <c r="AC14" s="1214"/>
      <c r="AD14" s="2783"/>
      <c r="AE14" s="2783"/>
      <c r="AF14" s="2783"/>
      <c r="AG14" s="2783"/>
      <c r="AH14" s="2783"/>
      <c r="AI14" s="2783"/>
      <c r="AJ14" s="2784"/>
    </row>
    <row r="15" spans="1:36" ht="15">
      <c r="A15" s="3292"/>
      <c r="B15" s="2038"/>
      <c r="C15" s="2039"/>
      <c r="D15" s="2040"/>
      <c r="E15" s="2041"/>
      <c r="F15" s="3307" t="s">
        <v>3243</v>
      </c>
      <c r="G15" s="3308"/>
      <c r="H15" s="3309"/>
      <c r="I15" s="3310"/>
      <c r="J15" s="3311"/>
      <c r="K15" s="1116"/>
      <c r="L15" s="1116"/>
      <c r="M15" s="1116"/>
      <c r="N15" s="1116"/>
      <c r="O15" s="1116"/>
      <c r="P15" s="1116"/>
      <c r="Q15" s="1116"/>
      <c r="R15" s="1209">
        <v>14</v>
      </c>
      <c r="S15" s="1210"/>
      <c r="T15" s="3355">
        <f t="shared" si="0"/>
        <v>0</v>
      </c>
      <c r="U15" s="1210"/>
      <c r="V15" s="3355">
        <f t="shared" si="1"/>
        <v>0</v>
      </c>
      <c r="W15" s="1213"/>
      <c r="X15" s="1213"/>
      <c r="Y15" s="1213"/>
      <c r="Z15" s="1213"/>
      <c r="AA15" s="1213"/>
      <c r="AB15" s="1213"/>
      <c r="AC15" s="1214"/>
      <c r="AD15" s="2783"/>
      <c r="AE15" s="2783"/>
      <c r="AF15" s="2783"/>
      <c r="AG15" s="2783"/>
      <c r="AH15" s="2783"/>
      <c r="AI15" s="2783"/>
      <c r="AJ15" s="2784"/>
    </row>
    <row r="16" spans="1:36" ht="15.75" thickBot="1">
      <c r="A16" s="3292"/>
      <c r="B16" s="3314" t="s">
        <v>1989</v>
      </c>
      <c r="C16" s="3312">
        <v>1</v>
      </c>
      <c r="D16" s="3312">
        <v>1</v>
      </c>
      <c r="E16" s="3312">
        <v>1</v>
      </c>
      <c r="F16" s="3312">
        <v>1</v>
      </c>
      <c r="G16" s="3312">
        <v>1</v>
      </c>
      <c r="H16" s="3312">
        <v>1</v>
      </c>
      <c r="I16" s="3312">
        <v>1</v>
      </c>
      <c r="J16" s="3313">
        <v>1</v>
      </c>
      <c r="K16" s="1116"/>
      <c r="L16" s="1993"/>
      <c r="M16" s="1993"/>
      <c r="N16" s="1993"/>
      <c r="O16" s="1993"/>
      <c r="P16" s="1993"/>
      <c r="Q16" s="1116"/>
      <c r="R16" s="1209">
        <v>15</v>
      </c>
      <c r="S16" s="1210"/>
      <c r="T16" s="3355">
        <f t="shared" si="0"/>
        <v>0</v>
      </c>
      <c r="U16" s="1210"/>
      <c r="V16" s="3355">
        <f t="shared" si="1"/>
        <v>0</v>
      </c>
      <c r="W16" s="1213"/>
      <c r="X16" s="1213"/>
      <c r="Y16" s="1213"/>
      <c r="Z16" s="1213"/>
      <c r="AA16" s="1213"/>
      <c r="AB16" s="1213"/>
      <c r="AC16" s="1214"/>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f>ROUND(G18/I18,2)</f>
        <v>0</v>
      </c>
      <c r="F17" s="3316" t="s">
        <v>3249</v>
      </c>
      <c r="G17" s="3325" t="e">
        <f>ROUND(E19/G19,2)</f>
        <v>#DIV/0!</v>
      </c>
      <c r="H17" s="3325"/>
      <c r="I17" s="3325"/>
      <c r="J17" s="3326"/>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7"/>
      <c r="B18" s="3004"/>
      <c r="C18" s="3322"/>
      <c r="D18" s="3317" t="s">
        <v>3247</v>
      </c>
      <c r="E18" s="3323"/>
      <c r="F18" s="3318" t="s">
        <v>3250</v>
      </c>
      <c r="G18" s="3322">
        <f>ROUND(1-(1/(POWER(1+G24,E18))),4)</f>
        <v>0</v>
      </c>
      <c r="H18" s="3318" t="s">
        <v>3252</v>
      </c>
      <c r="I18" s="3322">
        <f>ROUND(1-(1/(POWER(1+G24,J24))),4)</f>
        <v>0.93120000000000003</v>
      </c>
      <c r="J18" s="3328"/>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2"/>
    </row>
    <row r="19" spans="1:37" s="2010" customFormat="1" ht="15" thickBot="1">
      <c r="A19" s="3329"/>
      <c r="B19" s="3330"/>
      <c r="C19" s="3331"/>
      <c r="D19" s="3331" t="s">
        <v>3248</v>
      </c>
      <c r="E19" s="3332"/>
      <c r="F19" s="3333" t="s">
        <v>3251</v>
      </c>
      <c r="G19" s="3332"/>
      <c r="H19" s="3331"/>
      <c r="I19" s="3331"/>
      <c r="J19" s="3334"/>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5"/>
      <c r="AH19" s="2137"/>
      <c r="AI19" s="2786"/>
      <c r="AJ19" s="2786"/>
      <c r="AK19" s="2053"/>
    </row>
    <row r="20" spans="1:37" s="2010" customFormat="1" ht="14.25">
      <c r="A20" s="3878" t="s">
        <v>3253</v>
      </c>
      <c r="B20" s="166" t="s">
        <v>1994</v>
      </c>
      <c r="C20" s="3319">
        <f>ROUND(IF(F21="与级别开发程度一致",0,(G21-E21)/C21),0)</f>
        <v>0</v>
      </c>
      <c r="D20" s="3335" t="s">
        <v>1998</v>
      </c>
      <c r="E20" s="3336"/>
      <c r="F20" s="3884" t="s">
        <v>1995</v>
      </c>
      <c r="G20" s="3885"/>
      <c r="H20" s="3320"/>
      <c r="I20" s="3320"/>
      <c r="J20" s="3321"/>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0" customFormat="1" ht="26.25" thickBot="1">
      <c r="A21" s="3879"/>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3509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0" customFormat="1" ht="15.75" thickBot="1">
      <c r="A22" s="2154" t="s">
        <v>363</v>
      </c>
      <c r="B22" s="2155" t="s">
        <v>2000</v>
      </c>
      <c r="C22" s="2156">
        <f>SUMIF(修正!C20:C51,E3,修正!E20:E51)</f>
        <v>1</v>
      </c>
      <c r="D22" s="2157"/>
      <c r="E22" s="2158"/>
      <c r="F22" s="2158"/>
      <c r="G22" s="2158"/>
      <c r="H22" s="2158"/>
      <c r="I22" s="2158"/>
      <c r="J22" s="2159"/>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0" t="s">
        <v>2002</v>
      </c>
      <c r="E23" s="759">
        <v>44197</v>
      </c>
      <c r="F23" s="2050" t="s">
        <v>2003</v>
      </c>
      <c r="G23" s="760">
        <f>'数据-取费表'!B2</f>
        <v>45097</v>
      </c>
      <c r="H23" s="3337" t="s">
        <v>3255</v>
      </c>
      <c r="I23" s="3338" t="str">
        <f>IF(H23="季度增幅（自定义）",SUMIF(N25:N28,E2,O25:O28),"")</f>
        <v/>
      </c>
      <c r="J23" s="3440" t="s">
        <v>3254</v>
      </c>
      <c r="K23" s="1122"/>
      <c r="L23" s="2051" t="s">
        <v>2004</v>
      </c>
      <c r="M23" s="1325">
        <f>ROUND(SUMIF(地价!B2:G2,E2,地价!B16:G16),0)</f>
        <v>350</v>
      </c>
      <c r="N23" s="2052" t="s">
        <v>2005</v>
      </c>
      <c r="O23" s="761">
        <f>ROUNDDOWN(DATEDIF(E23,G23,"M")/3,0)</f>
        <v>9</v>
      </c>
      <c r="P23" s="1119"/>
      <c r="Q23" s="2782"/>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1" t="s">
        <v>366</v>
      </c>
      <c r="B25" s="2062" t="s">
        <v>3612</v>
      </c>
      <c r="C25" s="769">
        <f>IF(B25="容积率修正",IF(G3&lt;10,D26,J26),C27)</f>
        <v>1.2158</v>
      </c>
      <c r="D25" s="2063"/>
      <c r="E25" s="2063"/>
      <c r="F25" s="2063"/>
      <c r="G25" s="2063"/>
      <c r="H25" s="2063"/>
      <c r="I25" s="2063"/>
      <c r="J25" s="2064"/>
      <c r="K25" s="1122"/>
      <c r="L25" s="2782"/>
      <c r="M25" s="2782"/>
      <c r="N25" s="2065" t="s">
        <v>2013</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9" t="s">
        <v>3256</v>
      </c>
      <c r="D26" s="1349">
        <f>IF(E26=G26,F26,IF(G3&lt;10,ROUND(F26+(H26-F26)*(G3-E26)/(G26-E26),4),"——"))</f>
        <v>1.2158</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9" t="s">
        <v>3257</v>
      </c>
      <c r="J26" s="770" t="str">
        <f>IF(G3&gt;=10,D115,"——")</f>
        <v>——</v>
      </c>
      <c r="K26" s="1122"/>
      <c r="L26" s="2782"/>
      <c r="M26" s="2782"/>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1.0246</v>
      </c>
      <c r="D28" s="2048"/>
      <c r="E28" s="2073"/>
      <c r="F28" s="2073"/>
      <c r="G28" s="2073"/>
      <c r="H28" s="2073"/>
      <c r="I28" s="2073"/>
      <c r="J28" s="2074"/>
      <c r="K28" s="1122"/>
      <c r="L28" s="2782"/>
      <c r="M28" s="2782"/>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9" t="s">
        <v>2023</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149</v>
      </c>
      <c r="D30" s="2079"/>
      <c r="E30" s="2042"/>
      <c r="F30" s="2080"/>
      <c r="G30" s="2042"/>
      <c r="H30" s="2042"/>
      <c r="I30" s="2042"/>
      <c r="J30" s="2081"/>
      <c r="K30" s="1116"/>
      <c r="L30" s="3345" t="s">
        <v>1936</v>
      </c>
      <c r="M30" s="3346" t="s">
        <v>1990</v>
      </c>
      <c r="N30" s="3346" t="s">
        <v>1991</v>
      </c>
      <c r="O30" s="3346" t="s">
        <v>1992</v>
      </c>
      <c r="P30" s="3346" t="s">
        <v>1993</v>
      </c>
      <c r="Q30" s="3349"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7" t="s">
        <v>1996</v>
      </c>
      <c r="M31" s="1996">
        <v>0.25</v>
      </c>
      <c r="N31" s="1996">
        <v>0.2</v>
      </c>
      <c r="O31" s="1996">
        <v>0.15</v>
      </c>
      <c r="P31" s="1996">
        <v>0.1</v>
      </c>
      <c r="Q31" s="3342">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8" t="s">
        <v>1999</v>
      </c>
      <c r="M32" s="2564">
        <f>ROUND($E$24*(1+M31),3)</f>
        <v>5.3999999999999999E-2</v>
      </c>
      <c r="N32" s="2564">
        <f>ROUND($E$24*(1+N31),3)</f>
        <v>5.1999999999999998E-2</v>
      </c>
      <c r="O32" s="2564">
        <f>ROUND($E$24*(1+O31),3)</f>
        <v>0.05</v>
      </c>
      <c r="P32" s="2564">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10969</v>
      </c>
      <c r="D33" s="2094">
        <f>'数据-汇总表'!F19</f>
        <v>135.71</v>
      </c>
      <c r="E33" s="771">
        <f>ROUND(C33*D33/10000,0)</f>
        <v>149</v>
      </c>
      <c r="F33" s="3340" t="s">
        <v>3259</v>
      </c>
      <c r="G33" s="2095"/>
      <c r="H33" s="2095"/>
      <c r="I33" s="2095"/>
      <c r="J33" s="2096"/>
      <c r="K33" s="1116"/>
      <c r="L33" s="3343" t="s">
        <v>3262</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2742</v>
      </c>
      <c r="D34" s="2099"/>
      <c r="E34" s="771">
        <f>ROUND(IF(B25="楼层修正",SUM(V2:V16)*M40,C34*D34/10000),0)</f>
        <v>0</v>
      </c>
      <c r="F34" s="2100" t="s">
        <v>2032</v>
      </c>
      <c r="G34" s="2101"/>
      <c r="H34" s="2101"/>
      <c r="I34" s="2101"/>
      <c r="J34" s="2102"/>
      <c r="K34" s="1116"/>
      <c r="L34" s="3343" t="s">
        <v>3263</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1"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1" t="s">
        <v>3264</v>
      </c>
      <c r="L36" s="3441">
        <f ca="1">'数据-取费表'!B40</f>
        <v>4.3499999999999997E-2</v>
      </c>
      <c r="M36" s="3352">
        <f ca="1">ROUND($L$36*(1+M31),3)</f>
        <v>5.3999999999999999E-2</v>
      </c>
      <c r="N36" s="3352">
        <f ca="1">ROUND($L$36*(1+N31),3)</f>
        <v>5.1999999999999998E-2</v>
      </c>
      <c r="O36" s="3352">
        <f ca="1">ROUND($L$36*(1+O31),3)</f>
        <v>0.05</v>
      </c>
      <c r="P36" s="3352">
        <f ca="1">ROUND($L$36*(1+P31),3)</f>
        <v>4.8000000000000001E-2</v>
      </c>
      <c r="Q36" s="3352">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82"/>
      <c r="B37" s="2109" t="s">
        <v>2036</v>
      </c>
      <c r="C37" s="174">
        <f>ROUND(D5*C22*C23*C24*C28*F37,0)</f>
        <v>5413</v>
      </c>
      <c r="D37" s="2094"/>
      <c r="E37" s="170">
        <f>ROUND(C37*D37/10000,0)</f>
        <v>0</v>
      </c>
      <c r="F37" s="170">
        <f>SUMIF(修正!A57:A68,G2,修正!B57:B68)</f>
        <v>0.6</v>
      </c>
      <c r="G37" s="170">
        <f>ROUND(IF(E2="工业",C37*$M$42,C37*$M$41),0)</f>
        <v>1353</v>
      </c>
      <c r="H37" s="170">
        <f>D37</f>
        <v>0</v>
      </c>
      <c r="I37" s="170">
        <f>ROUND(G37*H37/10000,0)</f>
        <v>0</v>
      </c>
      <c r="J37" s="3006"/>
      <c r="K37" s="3353" t="s">
        <v>3265</v>
      </c>
      <c r="L37" s="3351">
        <f ca="1">L36+K38</f>
        <v>4.8499999999999995E-2</v>
      </c>
      <c r="M37" s="3352">
        <f ca="1">ROUND($L$37*(1+M31),3)</f>
        <v>6.0999999999999999E-2</v>
      </c>
      <c r="N37" s="3352">
        <f t="shared" ref="N37:Q37" ca="1" si="3">ROUND($L$37*(1+N31),3)</f>
        <v>5.8000000000000003E-2</v>
      </c>
      <c r="O37" s="3352">
        <f t="shared" ca="1" si="3"/>
        <v>5.6000000000000001E-2</v>
      </c>
      <c r="P37" s="3352">
        <f t="shared" ca="1" si="3"/>
        <v>5.2999999999999999E-2</v>
      </c>
      <c r="Q37" s="3352">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83"/>
      <c r="B38" s="2037" t="s">
        <v>2037</v>
      </c>
      <c r="C38" s="174">
        <f>ROUND(D5*C22*C23*C24*C28*F38,0)</f>
        <v>2707</v>
      </c>
      <c r="D38" s="2094"/>
      <c r="E38" s="170">
        <f t="shared" ref="E38:E42" si="4">ROUND(C38*D38/10000,0)</f>
        <v>0</v>
      </c>
      <c r="F38" s="170">
        <f>SUMIF(修正!A57:A68,G2,修正!C57:C68)</f>
        <v>0.3</v>
      </c>
      <c r="G38" s="170">
        <f>ROUND(IF(E2="工业",C38*$M$42,C38*$M$41),0)</f>
        <v>677</v>
      </c>
      <c r="H38" s="170">
        <f t="shared" ref="H38:H42" si="5">D38</f>
        <v>0</v>
      </c>
      <c r="I38" s="170">
        <f t="shared" ref="I38:I42" si="6">ROUND(G38*H38/10000,0)</f>
        <v>0</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883"/>
      <c r="B39" s="2037" t="s">
        <v>3258</v>
      </c>
      <c r="C39" s="174">
        <f>ROUND(D5*C22*C23*C24*C28*F39,0)</f>
        <v>2255</v>
      </c>
      <c r="D39" s="2094"/>
      <c r="E39" s="170">
        <f t="shared" si="4"/>
        <v>0</v>
      </c>
      <c r="F39" s="170">
        <f>SUMIF(修正!A57:A68,G2,修正!D57:D68)</f>
        <v>0.25</v>
      </c>
      <c r="G39" s="170">
        <f>ROUND(IF(E2="工业",C39*$M$42,C39*$M$41),0)</f>
        <v>564</v>
      </c>
      <c r="H39" s="170">
        <f t="shared" si="5"/>
        <v>0</v>
      </c>
      <c r="I39" s="170">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2255</v>
      </c>
      <c r="D40" s="2094"/>
      <c r="E40" s="170">
        <f t="shared" si="4"/>
        <v>0</v>
      </c>
      <c r="F40" s="174">
        <f>SUMIF(修正!A57:A68,G2,修正!E57:E68)</f>
        <v>0.25</v>
      </c>
      <c r="G40" s="170">
        <f>ROUND(IF(E2="工业",C40*$M$42,C40*$M$41),0)</f>
        <v>564</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0.25</v>
      </c>
      <c r="G41" s="170">
        <f>ROUND(IF(E2="工业",C41*$M$42,C41*$M$41),0)</f>
        <v>0</v>
      </c>
      <c r="H41" s="170">
        <f t="shared" si="5"/>
        <v>0</v>
      </c>
      <c r="I41" s="170">
        <f t="shared" si="6"/>
        <v>0</v>
      </c>
      <c r="J41" s="2110"/>
      <c r="L41" s="3354"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0.15</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3511</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1">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估价对象周边有M1、M25、M27、336、370、383、快速公交4线等多条公交线路，周边道路网线较密集，通达度较好。综合评价交通便捷度较好。</v>
      </c>
      <c r="C51" s="2040" t="s">
        <v>3511</v>
      </c>
      <c r="D51" s="1062">
        <f t="shared" si="7"/>
        <v>1.04E-2</v>
      </c>
      <c r="E51" s="743"/>
      <c r="F51" s="1810"/>
      <c r="G51" s="1060">
        <v>1.04E-2</v>
      </c>
      <c r="H51" s="1063" t="str">
        <f t="shared" si="8"/>
        <v>——</v>
      </c>
      <c r="I51" s="3361">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3" t="s">
        <v>3268</v>
      </c>
      <c r="B52" s="2130">
        <f>估价对象房地状况!C19</f>
        <v>0</v>
      </c>
      <c r="C52" s="2040" t="s">
        <v>3511</v>
      </c>
      <c r="D52" s="1062">
        <f t="shared" si="7"/>
        <v>5.7000000000000002E-3</v>
      </c>
      <c r="E52" s="743"/>
      <c r="F52" s="1810"/>
      <c r="G52" s="1060">
        <v>5.7000000000000002E-3</v>
      </c>
      <c r="H52" s="1063" t="str">
        <f t="shared" si="8"/>
        <v>——</v>
      </c>
      <c r="I52" s="3361">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3511</v>
      </c>
      <c r="D53" s="1062">
        <f t="shared" si="7"/>
        <v>2.3E-3</v>
      </c>
      <c r="E53" s="743"/>
      <c r="F53" s="1810"/>
      <c r="G53" s="1060">
        <v>2.3E-3</v>
      </c>
      <c r="H53" s="1063" t="str">
        <f t="shared" si="8"/>
        <v>——</v>
      </c>
      <c r="I53" s="3361">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次干道-新桥大街</v>
      </c>
      <c r="C54" s="2040" t="s">
        <v>3510</v>
      </c>
      <c r="D54" s="1062">
        <f t="shared" si="7"/>
        <v>0</v>
      </c>
      <c r="E54" s="743"/>
      <c r="F54" s="1810"/>
      <c r="G54" s="1060">
        <v>3.8E-3</v>
      </c>
      <c r="H54" s="1063" t="str">
        <f t="shared" si="8"/>
        <v>——</v>
      </c>
      <c r="I54" s="3361">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3511</v>
      </c>
      <c r="D55" s="1062">
        <f t="shared" si="7"/>
        <v>2.3E-3</v>
      </c>
      <c r="E55" s="743"/>
      <c r="F55" s="1810"/>
      <c r="G55" s="1060">
        <v>2.3E-3</v>
      </c>
      <c r="H55" s="1063" t="str">
        <f t="shared" si="8"/>
        <v>——</v>
      </c>
      <c r="I55" s="3361">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56" s="2040" t="s">
        <v>3514</v>
      </c>
      <c r="D56" s="1062">
        <f t="shared" si="7"/>
        <v>4.5999999999999999E-3</v>
      </c>
      <c r="E56" s="743"/>
      <c r="F56" s="1810"/>
      <c r="G56" s="1060">
        <v>2.3E-3</v>
      </c>
      <c r="H56" s="1063" t="str">
        <f t="shared" si="8"/>
        <v>——</v>
      </c>
      <c r="I56" s="3361">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3514</v>
      </c>
      <c r="D57" s="1062">
        <f t="shared" si="7"/>
        <v>7.6E-3</v>
      </c>
      <c r="E57" s="743"/>
      <c r="F57" s="1810"/>
      <c r="G57" s="1060">
        <v>3.8E-3</v>
      </c>
      <c r="H57" s="1063" t="str">
        <f t="shared" si="8"/>
        <v>——</v>
      </c>
      <c r="I57" s="3361">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39" hidden="1" thickBot="1">
      <c r="A58" s="2134" t="s">
        <v>2061</v>
      </c>
      <c r="B58" s="2135" t="str">
        <f>估价对象房地状况!C20</f>
        <v>估价对象周边有滨河世纪广场公园、永定河、黑山公园、门头沟体育馆等自然、人文场所，综合评价环境状况较好。</v>
      </c>
      <c r="C58" s="2040" t="s">
        <v>3511</v>
      </c>
      <c r="D58" s="1062">
        <f t="shared" si="7"/>
        <v>2.3E-3</v>
      </c>
      <c r="E58" s="744"/>
      <c r="F58" s="1810"/>
      <c r="G58" s="1060">
        <v>2.3E-3</v>
      </c>
      <c r="H58" s="1063" t="str">
        <f t="shared" si="8"/>
        <v>——</v>
      </c>
      <c r="I58" s="3362">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1.0246</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周边有少量相似物业，综合物业集聚程度一般。</v>
      </c>
      <c r="C61" s="2040" t="s">
        <v>3609</v>
      </c>
      <c r="D61" s="1062">
        <f t="shared" ref="D61:D69" si="12">SUMIF($J$60:$N$60,C61,J61:N61)</f>
        <v>-1.6199999999999999E-2</v>
      </c>
      <c r="E61" s="742">
        <f>ROUND(SUM(D61:D69),4)</f>
        <v>2.46E-2</v>
      </c>
      <c r="F61" s="1810">
        <f>IF(E2="办公",SUMIF(L1:L12,G2,N1:N12),"——")</f>
        <v>0.13</v>
      </c>
      <c r="G61" s="1060">
        <v>1.6199999999999999E-2</v>
      </c>
      <c r="H61" s="1063">
        <f t="shared" ref="H61:H69" si="13">IFERROR(ROUNDDOWN($F$61*I61/2,4),"——")</f>
        <v>1.6199999999999999E-2</v>
      </c>
      <c r="I61" s="3361">
        <v>0.25</v>
      </c>
      <c r="J61" s="1061">
        <f t="shared" ref="J61:J69" si="14">K61+$G61</f>
        <v>3.2399999999999998E-2</v>
      </c>
      <c r="K61" s="1061">
        <f t="shared" ref="K61:K69" si="15">$L61+$G61</f>
        <v>1.6199999999999999E-2</v>
      </c>
      <c r="L61" s="1061">
        <v>0</v>
      </c>
      <c r="M61" s="1061">
        <f t="shared" ref="M61:N69" si="16">L61-$G61</f>
        <v>-1.6199999999999999E-2</v>
      </c>
      <c r="N61" s="1061">
        <f t="shared" si="16"/>
        <v>-3.2399999999999998E-2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估价对象周边有M1、M25、M27、336、370、383、快速公交4线等多条公交线路，周边道路网线较密集，通达度较好。综合评价交通便捷度较好。</v>
      </c>
      <c r="C62" s="2040" t="s">
        <v>3511</v>
      </c>
      <c r="D62" s="1062">
        <f t="shared" si="12"/>
        <v>1.6899999999999998E-2</v>
      </c>
      <c r="E62" s="743"/>
      <c r="F62" s="1810"/>
      <c r="G62" s="1060">
        <v>1.6899999999999998E-2</v>
      </c>
      <c r="H62" s="1063">
        <f t="shared" si="13"/>
        <v>1.6899999999999998E-2</v>
      </c>
      <c r="I62" s="3361">
        <v>0.26</v>
      </c>
      <c r="J62" s="1061">
        <f t="shared" si="14"/>
        <v>3.3799999999999997E-2</v>
      </c>
      <c r="K62" s="1061">
        <f t="shared" si="15"/>
        <v>1.6899999999999998E-2</v>
      </c>
      <c r="L62" s="1061">
        <v>0</v>
      </c>
      <c r="M62" s="1061">
        <f t="shared" si="16"/>
        <v>-1.6899999999999998E-2</v>
      </c>
      <c r="N62" s="1061">
        <f t="shared" si="16"/>
        <v>-3.3799999999999997E-2</v>
      </c>
      <c r="AA62" s="1117"/>
      <c r="AB62" s="1117"/>
      <c r="AC62" s="1117"/>
      <c r="AD62" s="1117"/>
      <c r="AE62" s="1117"/>
      <c r="AF62" s="1117"/>
      <c r="AG62" s="1117"/>
      <c r="AH62" s="1117"/>
      <c r="AI62" s="1117"/>
      <c r="AJ62" s="1117"/>
      <c r="AK62" s="1117"/>
    </row>
    <row r="63" spans="1:37" s="1116" customFormat="1" ht="24" customHeight="1">
      <c r="A63" s="3363" t="s">
        <v>3268</v>
      </c>
      <c r="B63" s="2130">
        <f>估价对象房地状况!C19</f>
        <v>0</v>
      </c>
      <c r="C63" s="2040" t="s">
        <v>3510</v>
      </c>
      <c r="D63" s="1062">
        <f t="shared" si="12"/>
        <v>0</v>
      </c>
      <c r="E63" s="743"/>
      <c r="F63" s="1810"/>
      <c r="G63" s="1060">
        <v>7.1000000000000004E-3</v>
      </c>
      <c r="H63" s="1063">
        <f t="shared" si="13"/>
        <v>7.1000000000000004E-3</v>
      </c>
      <c r="I63" s="3361">
        <v>0.11</v>
      </c>
      <c r="J63" s="1061">
        <f t="shared" si="14"/>
        <v>1.4200000000000001E-2</v>
      </c>
      <c r="K63" s="1061">
        <f t="shared" si="15"/>
        <v>7.1000000000000004E-3</v>
      </c>
      <c r="L63" s="1061">
        <v>0</v>
      </c>
      <c r="M63" s="1061">
        <f t="shared" si="16"/>
        <v>-7.1000000000000004E-3</v>
      </c>
      <c r="N63" s="1061">
        <f t="shared" si="16"/>
        <v>-1.4200000000000001E-2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3511</v>
      </c>
      <c r="D64" s="1062">
        <f t="shared" si="12"/>
        <v>3.2000000000000002E-3</v>
      </c>
      <c r="E64" s="743"/>
      <c r="F64" s="1810"/>
      <c r="G64" s="1060">
        <v>3.2000000000000002E-3</v>
      </c>
      <c r="H64" s="1063">
        <f t="shared" si="13"/>
        <v>3.2000000000000002E-3</v>
      </c>
      <c r="I64" s="3361">
        <v>0.05</v>
      </c>
      <c r="J64" s="1061">
        <f t="shared" si="14"/>
        <v>6.4000000000000003E-3</v>
      </c>
      <c r="K64" s="1061">
        <f t="shared" si="15"/>
        <v>3.2000000000000002E-3</v>
      </c>
      <c r="L64" s="1061">
        <v>0</v>
      </c>
      <c r="M64" s="1061">
        <f t="shared" si="16"/>
        <v>-3.2000000000000002E-3</v>
      </c>
      <c r="N64" s="1061">
        <f t="shared" si="16"/>
        <v>-6.4000000000000003E-3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次干道-新桥大街</v>
      </c>
      <c r="C65" s="2040" t="s">
        <v>3609</v>
      </c>
      <c r="D65" s="1062">
        <f t="shared" si="12"/>
        <v>-3.2000000000000002E-3</v>
      </c>
      <c r="E65" s="743"/>
      <c r="F65" s="1810"/>
      <c r="G65" s="1060">
        <v>3.2000000000000002E-3</v>
      </c>
      <c r="H65" s="1063">
        <f t="shared" si="13"/>
        <v>3.2000000000000002E-3</v>
      </c>
      <c r="I65" s="3361">
        <v>0.05</v>
      </c>
      <c r="J65" s="1061">
        <f t="shared" si="14"/>
        <v>6.4000000000000003E-3</v>
      </c>
      <c r="K65" s="1061">
        <f t="shared" si="15"/>
        <v>3.2000000000000002E-3</v>
      </c>
      <c r="L65" s="1061">
        <v>0</v>
      </c>
      <c r="M65" s="1061">
        <f t="shared" si="16"/>
        <v>-3.2000000000000002E-3</v>
      </c>
      <c r="N65" s="1061">
        <f t="shared" si="16"/>
        <v>-6.4000000000000003E-3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3511</v>
      </c>
      <c r="D66" s="1062">
        <f t="shared" si="12"/>
        <v>3.8999999999999998E-3</v>
      </c>
      <c r="E66" s="743"/>
      <c r="F66" s="1810"/>
      <c r="G66" s="1060">
        <v>3.8999999999999998E-3</v>
      </c>
      <c r="H66" s="1063">
        <f t="shared" si="13"/>
        <v>3.8999999999999998E-3</v>
      </c>
      <c r="I66" s="3361">
        <v>0.06</v>
      </c>
      <c r="J66" s="1061">
        <f t="shared" si="14"/>
        <v>7.7999999999999996E-3</v>
      </c>
      <c r="K66" s="1061">
        <f t="shared" si="15"/>
        <v>3.8999999999999998E-3</v>
      </c>
      <c r="L66" s="1061">
        <v>0</v>
      </c>
      <c r="M66" s="1061">
        <f t="shared" si="16"/>
        <v>-3.8999999999999998E-3</v>
      </c>
      <c r="N66" s="1061">
        <f t="shared" si="16"/>
        <v>-7.7999999999999996E-3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67" s="2040" t="s">
        <v>3511</v>
      </c>
      <c r="D67" s="1062">
        <f t="shared" si="12"/>
        <v>3.8999999999999998E-3</v>
      </c>
      <c r="E67" s="743"/>
      <c r="F67" s="1810"/>
      <c r="G67" s="1060">
        <v>3.8999999999999998E-3</v>
      </c>
      <c r="H67" s="1063">
        <f t="shared" si="13"/>
        <v>3.8999999999999998E-3</v>
      </c>
      <c r="I67" s="3361">
        <v>0.06</v>
      </c>
      <c r="J67" s="1061">
        <f t="shared" si="14"/>
        <v>7.7999999999999996E-3</v>
      </c>
      <c r="K67" s="1061">
        <f t="shared" si="15"/>
        <v>3.8999999999999998E-3</v>
      </c>
      <c r="L67" s="1061">
        <v>0</v>
      </c>
      <c r="M67" s="1061">
        <f t="shared" si="16"/>
        <v>-3.8999999999999998E-3</v>
      </c>
      <c r="N67" s="1061">
        <f t="shared" si="16"/>
        <v>-7.7999999999999996E-3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3514</v>
      </c>
      <c r="D68" s="1062">
        <f t="shared" si="12"/>
        <v>1.1599999999999999E-2</v>
      </c>
      <c r="E68" s="743"/>
      <c r="F68" s="1810"/>
      <c r="G68" s="1060">
        <v>5.7999999999999996E-3</v>
      </c>
      <c r="H68" s="1063">
        <f t="shared" si="13"/>
        <v>5.7999999999999996E-3</v>
      </c>
      <c r="I68" s="3361">
        <v>0.09</v>
      </c>
      <c r="J68" s="1061">
        <f t="shared" si="14"/>
        <v>1.1599999999999999E-2</v>
      </c>
      <c r="K68" s="1061">
        <f t="shared" si="15"/>
        <v>5.7999999999999996E-3</v>
      </c>
      <c r="L68" s="1061">
        <v>0</v>
      </c>
      <c r="M68" s="1061">
        <f t="shared" si="16"/>
        <v>-5.7999999999999996E-3</v>
      </c>
      <c r="N68" s="1061">
        <f t="shared" si="16"/>
        <v>-1.1599999999999999E-2</v>
      </c>
      <c r="AA68" s="1117"/>
      <c r="AB68" s="1117"/>
      <c r="AC68" s="1117"/>
      <c r="AD68" s="1117"/>
      <c r="AE68" s="1117"/>
      <c r="AF68" s="1117"/>
      <c r="AG68" s="1117"/>
      <c r="AH68" s="1117"/>
      <c r="AI68" s="1117"/>
      <c r="AJ68" s="1117"/>
      <c r="AK68" s="1117"/>
    </row>
    <row r="69" spans="1:37" s="1116" customFormat="1" ht="51.75" thickBot="1">
      <c r="A69" s="2134" t="s">
        <v>2061</v>
      </c>
      <c r="B69" s="2136" t="str">
        <f>估价对象房地状况!C20</f>
        <v>估价对象周边有滨河世纪广场公园、永定河、黑山公园、门头沟体育馆等自然、人文场所，综合评价环境状况较好。</v>
      </c>
      <c r="C69" s="2040" t="s">
        <v>3511</v>
      </c>
      <c r="D69" s="1062">
        <f t="shared" si="12"/>
        <v>4.4999999999999997E-3</v>
      </c>
      <c r="E69" s="744"/>
      <c r="F69" s="1810"/>
      <c r="G69" s="1060">
        <v>4.4999999999999997E-3</v>
      </c>
      <c r="H69" s="1063">
        <f t="shared" si="13"/>
        <v>4.4999999999999997E-3</v>
      </c>
      <c r="I69" s="3362">
        <v>7.0000000000000007E-2</v>
      </c>
      <c r="J69" s="1061">
        <f t="shared" si="14"/>
        <v>8.9999999999999993E-3</v>
      </c>
      <c r="K69" s="1061">
        <f t="shared" si="15"/>
        <v>4.4999999999999997E-3</v>
      </c>
      <c r="L69" s="1061">
        <v>0</v>
      </c>
      <c r="M69" s="1061">
        <f t="shared" si="16"/>
        <v>-4.4999999999999997E-3</v>
      </c>
      <c r="N69" s="1061">
        <f t="shared" si="16"/>
        <v>-8.9999999999999993E-3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1">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6" t="s">
        <v>2053</v>
      </c>
      <c r="B73" s="2130" t="str">
        <f>估价对象房地状况!C18</f>
        <v>估价对象周边有M1、M25、M27、336、370、383、快速公交4线等多条公交线路，周边道路网线较密集，通达度较好。综合评价交通便捷度较好。</v>
      </c>
      <c r="C73" s="2040"/>
      <c r="D73" s="1062">
        <f t="shared" si="17"/>
        <v>0</v>
      </c>
      <c r="E73" s="745"/>
      <c r="F73" s="1810"/>
      <c r="G73" s="1060"/>
      <c r="H73" s="1063" t="str">
        <f t="shared" si="18"/>
        <v>——</v>
      </c>
      <c r="I73" s="3361">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3" t="s">
        <v>3268</v>
      </c>
      <c r="B74" s="2130">
        <f>估价对象房地状况!C19</f>
        <v>0</v>
      </c>
      <c r="C74" s="2040"/>
      <c r="D74" s="1062">
        <f t="shared" si="17"/>
        <v>0</v>
      </c>
      <c r="E74" s="745"/>
      <c r="F74" s="1810"/>
      <c r="G74" s="1060"/>
      <c r="H74" s="1063" t="str">
        <f t="shared" si="18"/>
        <v>——</v>
      </c>
      <c r="I74" s="3361">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次干道-新桥大街</v>
      </c>
      <c r="C75" s="2040"/>
      <c r="D75" s="1062">
        <f t="shared" si="17"/>
        <v>0</v>
      </c>
      <c r="E75" s="745"/>
      <c r="F75" s="1810"/>
      <c r="G75" s="1060"/>
      <c r="H75" s="1063" t="str">
        <f t="shared" si="18"/>
        <v>——</v>
      </c>
      <c r="I75" s="3361">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127.5">
      <c r="A76" s="2126" t="s">
        <v>2059</v>
      </c>
      <c r="B76" s="1323"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76" s="2040"/>
      <c r="D76" s="1062">
        <f t="shared" si="17"/>
        <v>0</v>
      </c>
      <c r="E76" s="745"/>
      <c r="F76" s="1810"/>
      <c r="G76" s="1060"/>
      <c r="H76" s="1063" t="str">
        <f t="shared" si="18"/>
        <v>——</v>
      </c>
      <c r="I76" s="3361">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1">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1">
        <v>0.05</v>
      </c>
      <c r="J78" s="1061">
        <f t="shared" si="19"/>
        <v>0</v>
      </c>
      <c r="K78" s="1061">
        <f t="shared" si="20"/>
        <v>0</v>
      </c>
      <c r="L78" s="1061">
        <v>0</v>
      </c>
      <c r="M78" s="1061">
        <f t="shared" si="21"/>
        <v>0</v>
      </c>
      <c r="N78" s="1061">
        <f t="shared" si="21"/>
        <v>0</v>
      </c>
      <c r="O78" s="1993"/>
      <c r="P78" s="1993"/>
      <c r="Z78" s="1994"/>
      <c r="AA78" s="2049"/>
      <c r="AG78" s="1118"/>
      <c r="AK78" s="2049"/>
    </row>
    <row r="79" spans="1:37" ht="38.25">
      <c r="A79" s="2126" t="s">
        <v>2061</v>
      </c>
      <c r="B79" s="2129" t="str">
        <f>估价对象房地状况!C20</f>
        <v>估价对象周边有滨河世纪广场公园、永定河、黑山公园、门头沟体育馆等自然、人文场所，综合评价环境状况较好。</v>
      </c>
      <c r="C79" s="2040"/>
      <c r="D79" s="1062">
        <f t="shared" si="17"/>
        <v>0</v>
      </c>
      <c r="E79" s="745"/>
      <c r="F79" s="1810"/>
      <c r="G79" s="1060"/>
      <c r="H79" s="1063" t="str">
        <f t="shared" si="18"/>
        <v>——</v>
      </c>
      <c r="I79" s="3361">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2">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1">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1">
        <v>0.3</v>
      </c>
      <c r="J84" s="1061">
        <f t="shared" si="24"/>
        <v>0</v>
      </c>
      <c r="K84" s="1061">
        <f t="shared" si="25"/>
        <v>0</v>
      </c>
      <c r="L84" s="1061">
        <v>0</v>
      </c>
      <c r="M84" s="1061">
        <f t="shared" si="26"/>
        <v>0</v>
      </c>
      <c r="N84" s="1061">
        <f t="shared" si="26"/>
        <v>0</v>
      </c>
      <c r="Z84" s="1994"/>
      <c r="AA84" s="2049"/>
      <c r="AG84" s="1118"/>
      <c r="AK84" s="2049"/>
    </row>
    <row r="85" spans="1:37" ht="36">
      <c r="A85" s="3363" t="s">
        <v>3269</v>
      </c>
      <c r="B85" s="2130">
        <f>估价对象房地状况!G17</f>
        <v>0</v>
      </c>
      <c r="C85" s="2040"/>
      <c r="D85" s="1062">
        <f t="shared" si="22"/>
        <v>0</v>
      </c>
      <c r="E85" s="745"/>
      <c r="F85" s="1810"/>
      <c r="G85" s="1060"/>
      <c r="H85" s="1063" t="str">
        <f t="shared" si="23"/>
        <v>——</v>
      </c>
      <c r="I85" s="3361">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1">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1">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1">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1">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2">
        <v>0.05</v>
      </c>
      <c r="J90" s="1061">
        <f t="shared" si="24"/>
        <v>0</v>
      </c>
      <c r="K90" s="1061">
        <f t="shared" si="25"/>
        <v>0</v>
      </c>
      <c r="L90" s="1061">
        <v>0</v>
      </c>
      <c r="M90" s="1061">
        <f t="shared" si="26"/>
        <v>0</v>
      </c>
      <c r="N90" s="1061">
        <f t="shared" si="26"/>
        <v>0</v>
      </c>
    </row>
    <row r="91" spans="1:37" ht="15">
      <c r="A91" s="3371" t="s">
        <v>2609</v>
      </c>
      <c r="B91" s="3372">
        <f>1+E93</f>
        <v>1</v>
      </c>
      <c r="C91" s="3365"/>
      <c r="D91" s="3366"/>
      <c r="E91" s="1810"/>
      <c r="F91" s="1810"/>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3"/>
      <c r="C93" s="2040"/>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63.75">
      <c r="A94" s="3373" t="s">
        <v>3272</v>
      </c>
      <c r="B94" s="3364" t="str">
        <f>估价对象房地状况!C18</f>
        <v>估价对象周边有M1、M25、M27、336、370、383、快速公交4线等多条公交线路，周边道路网线较密集，通达度较好。综合评价交通便捷度较好。</v>
      </c>
      <c r="C94" s="2040"/>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0"/>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0"/>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t="str">
        <f>估价对象房地状况!C24</f>
        <v>次干道-新桥大街</v>
      </c>
      <c r="C97" s="2040"/>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0"/>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127.5">
      <c r="A99" s="3373" t="s">
        <v>3276</v>
      </c>
      <c r="B99" s="3364"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99" s="2040"/>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3277</v>
      </c>
      <c r="B100" s="3364" t="str">
        <f>估价对象房地状况!C22</f>
        <v>估价对象所在区域基础设施水平-七通</v>
      </c>
      <c r="C100" s="2040"/>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39" thickBot="1">
      <c r="A101" s="3374" t="s">
        <v>3278</v>
      </c>
      <c r="B101" s="3381" t="str">
        <f>估价对象房地状况!C20</f>
        <v>估价对象周边有滨河世纪广场公园、永定河、黑山公园、门头沟体育馆等自然、人文场所，综合评价环境状况较好。</v>
      </c>
      <c r="C101" s="2040"/>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80" t="s">
        <v>3293</v>
      </c>
      <c r="B103" s="3880"/>
      <c r="C103" s="3880"/>
      <c r="D103" s="3880"/>
      <c r="E103" s="3880"/>
      <c r="F103" s="3880"/>
      <c r="G103" s="3880"/>
      <c r="H103" s="3880"/>
      <c r="I103" s="3880"/>
      <c r="J103" s="3880"/>
      <c r="K103" s="3384"/>
      <c r="L103" s="3384"/>
      <c r="M103" s="3384"/>
      <c r="N103" s="3384"/>
    </row>
    <row r="104" spans="1:14">
      <c r="A104" s="3881" t="s">
        <v>3294</v>
      </c>
      <c r="B104" s="3881" t="s">
        <v>3295</v>
      </c>
      <c r="C104" s="3385" t="s">
        <v>3296</v>
      </c>
      <c r="D104" s="3386"/>
      <c r="E104" s="3386"/>
      <c r="F104" s="3386"/>
      <c r="G104" s="3386"/>
      <c r="H104" s="3386"/>
      <c r="I104" s="3386"/>
      <c r="J104" s="3387"/>
      <c r="K104" s="3388"/>
      <c r="L104" s="3388"/>
      <c r="M104" s="3388"/>
      <c r="N104" s="3388"/>
    </row>
    <row r="105" spans="1:14">
      <c r="A105" s="3881"/>
      <c r="B105" s="3881"/>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867"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68"/>
      <c r="B111" s="3389" t="s">
        <v>3267</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869"/>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870" t="s">
        <v>3310</v>
      </c>
      <c r="B113" s="3870"/>
      <c r="C113" s="3870"/>
      <c r="D113" s="3870"/>
      <c r="E113" s="3870"/>
      <c r="F113" s="3870"/>
      <c r="G113" s="3870"/>
      <c r="H113" s="3870"/>
      <c r="I113" s="3870"/>
      <c r="J113" s="38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1</v>
      </c>
      <c r="C116" s="3394" t="s">
        <v>3312</v>
      </c>
      <c r="D116" s="3395">
        <f>SUMPRODUCT((A118:A122=F116)*(B117:M117=H116)*B118:M122)</f>
        <v>0.92730000000000001</v>
      </c>
      <c r="E116" s="1996" t="s">
        <v>3313</v>
      </c>
      <c r="F116" s="3396" t="str">
        <f>E2</f>
        <v>办公</v>
      </c>
      <c r="G116" s="1996" t="s">
        <v>3314</v>
      </c>
      <c r="H116" s="3396" t="str">
        <f>G2</f>
        <v>七级</v>
      </c>
      <c r="I116" s="1996"/>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35">I118</f>
        <v>0.8306</v>
      </c>
      <c r="K118" s="3382">
        <f t="shared" si="35"/>
        <v>0.8306</v>
      </c>
      <c r="L118" s="3382">
        <f t="shared" si="35"/>
        <v>0.8306</v>
      </c>
      <c r="M118" s="3405">
        <f t="shared" si="35"/>
        <v>0.8306</v>
      </c>
      <c r="N118" s="3392"/>
    </row>
    <row r="119" spans="1:14">
      <c r="A119" s="3404" t="s">
        <v>3328</v>
      </c>
      <c r="B119" s="3382">
        <f>ROUND(0.993-0.0112*B116,4)</f>
        <v>0.98180000000000001</v>
      </c>
      <c r="C119" s="3382">
        <f>B119</f>
        <v>0.98180000000000001</v>
      </c>
      <c r="D119" s="3382">
        <f>ROUND(0.9415-0.0142*B116,4)</f>
        <v>0.92730000000000001</v>
      </c>
      <c r="E119" s="3382">
        <f t="shared" ref="E119:H120" si="36">D119</f>
        <v>0.92730000000000001</v>
      </c>
      <c r="F119" s="3382">
        <f t="shared" si="36"/>
        <v>0.92730000000000001</v>
      </c>
      <c r="G119" s="3382">
        <f t="shared" si="36"/>
        <v>0.92730000000000001</v>
      </c>
      <c r="H119" s="3382">
        <f t="shared" si="36"/>
        <v>0.92730000000000001</v>
      </c>
      <c r="I119" s="3382">
        <f>ROUND(0.838-0.0182*B116,4)</f>
        <v>0.81979999999999997</v>
      </c>
      <c r="J119" s="3382">
        <f t="shared" si="35"/>
        <v>0.81979999999999997</v>
      </c>
      <c r="K119" s="3382">
        <f t="shared" si="35"/>
        <v>0.81979999999999997</v>
      </c>
      <c r="L119" s="3382">
        <f t="shared" si="35"/>
        <v>0.81979999999999997</v>
      </c>
      <c r="M119" s="3405">
        <f t="shared" si="35"/>
        <v>0.81979999999999997</v>
      </c>
      <c r="N119" s="3392"/>
    </row>
    <row r="120" spans="1:14">
      <c r="A120" s="3404" t="s">
        <v>3329</v>
      </c>
      <c r="B120" s="3382">
        <f>ROUND(0.9448-0.0115*B116,4)</f>
        <v>0.93330000000000002</v>
      </c>
      <c r="C120" s="3382">
        <f>B120</f>
        <v>0.93330000000000002</v>
      </c>
      <c r="D120" s="3382">
        <f>ROUND(0.937-0.0145*B116,4)</f>
        <v>0.92249999999999999</v>
      </c>
      <c r="E120" s="3382">
        <f t="shared" si="36"/>
        <v>0.92249999999999999</v>
      </c>
      <c r="F120" s="3382">
        <f t="shared" si="36"/>
        <v>0.92249999999999999</v>
      </c>
      <c r="G120" s="3382">
        <f t="shared" si="36"/>
        <v>0.92249999999999999</v>
      </c>
      <c r="H120" s="3382">
        <f t="shared" si="36"/>
        <v>0.92249999999999999</v>
      </c>
      <c r="I120" s="3382">
        <f>ROUND(0.7965-0.0185*B116,4)</f>
        <v>0.77800000000000002</v>
      </c>
      <c r="J120" s="3382">
        <f t="shared" si="35"/>
        <v>0.77800000000000002</v>
      </c>
      <c r="K120" s="3382">
        <f t="shared" si="35"/>
        <v>0.77800000000000002</v>
      </c>
      <c r="L120" s="3382">
        <f t="shared" si="35"/>
        <v>0.77800000000000002</v>
      </c>
      <c r="M120" s="3405">
        <f t="shared" si="35"/>
        <v>0.77800000000000002</v>
      </c>
      <c r="N120" s="3392"/>
    </row>
    <row r="121" spans="1:14" ht="13.5" thickBot="1">
      <c r="A121" s="3406" t="s">
        <v>3330</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35"/>
        <v>0.57150000000000001</v>
      </c>
      <c r="K121" s="3407">
        <f t="shared" si="35"/>
        <v>0.57150000000000001</v>
      </c>
      <c r="L121" s="3407">
        <f t="shared" si="35"/>
        <v>0.57150000000000001</v>
      </c>
      <c r="M121" s="3408">
        <f t="shared" si="35"/>
        <v>0.57150000000000001</v>
      </c>
      <c r="N121" s="3392"/>
    </row>
    <row r="122" spans="1:14">
      <c r="A122" s="3409" t="s">
        <v>2609</v>
      </c>
      <c r="B122" s="3382">
        <f>ROUND(0.9404-0.0106*B116,4)</f>
        <v>0.92979999999999996</v>
      </c>
      <c r="C122" s="3382">
        <f>B122</f>
        <v>0.92979999999999996</v>
      </c>
      <c r="D122" s="3382">
        <f>ROUND(0.8955-0.0135*B116,4)</f>
        <v>0.88200000000000001</v>
      </c>
      <c r="E122" s="3382">
        <f t="shared" ref="E122:H122" si="37">D122</f>
        <v>0.88200000000000001</v>
      </c>
      <c r="F122" s="3382">
        <f t="shared" si="37"/>
        <v>0.88200000000000001</v>
      </c>
      <c r="G122" s="3382">
        <f t="shared" si="37"/>
        <v>0.88200000000000001</v>
      </c>
      <c r="H122" s="3382">
        <f t="shared" si="37"/>
        <v>0.88200000000000001</v>
      </c>
      <c r="I122" s="3382">
        <f>ROUND(0.7632-0.0166*B116,4)</f>
        <v>0.74660000000000004</v>
      </c>
      <c r="J122" s="3382">
        <f t="shared" si="35"/>
        <v>0.74660000000000004</v>
      </c>
      <c r="K122" s="3382">
        <f t="shared" si="35"/>
        <v>0.74660000000000004</v>
      </c>
      <c r="L122" s="3382">
        <f t="shared" si="35"/>
        <v>0.74660000000000004</v>
      </c>
      <c r="M122" s="3405">
        <f t="shared" si="35"/>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spans="1:5" ht="18">
      <c r="A3" s="3542" t="str">
        <f>IF(项目基本情况!B9="房地产市场价值","估价结果一览表（市场价值不需“结果表-1”）","估价结果一览表")</f>
        <v>估价结果一览表（市场价值不需“结果表-1”）</v>
      </c>
      <c r="B3" s="3542"/>
      <c r="C3" s="3542"/>
      <c r="D3" s="3542"/>
      <c r="E3" s="3542"/>
    </row>
    <row r="4" spans="1:5" ht="19.5" thickBot="1">
      <c r="A4" s="1490"/>
      <c r="B4" s="3540" t="s">
        <v>917</v>
      </c>
      <c r="C4" s="3540"/>
      <c r="D4" s="3540"/>
      <c r="E4" s="1490"/>
    </row>
    <row r="5" spans="1:5" ht="16.5" thickTop="1">
      <c r="A5" s="1488"/>
      <c r="B5" s="3538" t="s">
        <v>909</v>
      </c>
      <c r="C5" s="1491" t="s">
        <v>910</v>
      </c>
      <c r="D5" s="848" t="e">
        <f ca="1">结果表!H101</f>
        <v>#REF!</v>
      </c>
      <c r="E5" s="1488"/>
    </row>
    <row r="6" spans="1:5" ht="15.75">
      <c r="A6" s="1488"/>
      <c r="B6" s="3538"/>
      <c r="C6" s="1491" t="s">
        <v>911</v>
      </c>
      <c r="D6" s="848" t="e">
        <f ca="1">NUMBERSTRING(INT(D5*10000),2)&amp;"元整"</f>
        <v>#REF!</v>
      </c>
      <c r="E6" s="1488"/>
    </row>
    <row r="7" spans="1:5" ht="15.75">
      <c r="A7" s="1488"/>
      <c r="B7" s="3543"/>
      <c r="C7" s="1492" t="s">
        <v>912</v>
      </c>
      <c r="D7" s="849" t="e">
        <f ca="1">结果表!H102</f>
        <v>#REF!</v>
      </c>
      <c r="E7" s="1488"/>
    </row>
    <row r="8" spans="1:5" ht="15.75">
      <c r="A8" s="1488"/>
      <c r="B8" s="3544" t="str">
        <f>结果表!E103</f>
        <v>2.估价师知悉的法定优先受偿款</v>
      </c>
      <c r="C8" s="1493" t="s">
        <v>913</v>
      </c>
      <c r="D8" s="849">
        <f>结果表!H103</f>
        <v>0</v>
      </c>
      <c r="E8" s="1488"/>
    </row>
    <row r="9" spans="1:5" ht="15.75">
      <c r="A9" s="1488"/>
      <c r="B9" s="3546"/>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37" t="str">
        <f>结果表!E107</f>
        <v>3.房地产抵押价值</v>
      </c>
      <c r="C13" s="1496" t="s">
        <v>910</v>
      </c>
      <c r="D13" s="851" t="e">
        <f ca="1">结果表!H107</f>
        <v>#REF!</v>
      </c>
      <c r="E13" s="1488"/>
    </row>
    <row r="14" spans="1:5" ht="15.75">
      <c r="A14" s="1488"/>
      <c r="B14" s="3538"/>
      <c r="C14" s="1491" t="s">
        <v>911</v>
      </c>
      <c r="D14" s="848" t="e">
        <f ca="1">NUMBERSTRING(INT(D13*10000),2)&amp;"元整"</f>
        <v>#REF!</v>
      </c>
      <c r="E14" s="1488"/>
    </row>
    <row r="15" spans="1:5" ht="15">
      <c r="A15" s="1488"/>
      <c r="B15" s="3543"/>
      <c r="C15" s="1492" t="s">
        <v>921</v>
      </c>
      <c r="D15" s="857" t="e">
        <f ca="1">结果表!H108</f>
        <v>#REF!</v>
      </c>
      <c r="E15" s="1488"/>
    </row>
    <row r="16" spans="1:5" ht="15">
      <c r="A16" s="1488"/>
      <c r="B16" s="3544" t="str">
        <f>结果表!E109</f>
        <v>——</v>
      </c>
      <c r="C16" s="1496" t="s">
        <v>922</v>
      </c>
      <c r="D16" s="1497" t="str">
        <f>结果表!H109</f>
        <v>——</v>
      </c>
      <c r="E16" s="1488"/>
    </row>
    <row r="17" spans="1:5" ht="15.75">
      <c r="A17" s="1488"/>
      <c r="B17" s="3545"/>
      <c r="C17" s="1491" t="s">
        <v>923</v>
      </c>
      <c r="D17" s="848" t="e">
        <f>NUMBERSTRING(INT(D16*10000),2)&amp;"元整"</f>
        <v>#VALUE!</v>
      </c>
      <c r="E17" s="1488"/>
    </row>
    <row r="18" spans="1:5" ht="15">
      <c r="A18" s="1488"/>
      <c r="B18" s="3546"/>
      <c r="C18" s="1492" t="s">
        <v>912</v>
      </c>
      <c r="D18" s="857" t="str">
        <f>结果表!H110</f>
        <v>——</v>
      </c>
      <c r="E18" s="1488"/>
    </row>
    <row r="19" spans="1:5" ht="15.75">
      <c r="A19" s="1488"/>
      <c r="B19" s="3537" t="str">
        <f>结果表!E111</f>
        <v>——</v>
      </c>
      <c r="C19" s="1496" t="s">
        <v>910</v>
      </c>
      <c r="D19" s="849" t="str">
        <f>结果表!H111</f>
        <v>——</v>
      </c>
      <c r="E19" s="1488"/>
    </row>
    <row r="20" spans="1:5" ht="15.75">
      <c r="A20" s="1488"/>
      <c r="B20" s="3538"/>
      <c r="C20" s="1491" t="s">
        <v>923</v>
      </c>
      <c r="D20" s="848" t="e">
        <f>NUMBERSTRING(INT(D19*10000),2)&amp;"元整"</f>
        <v>#VALUE!</v>
      </c>
      <c r="E20" s="1488"/>
    </row>
    <row r="21" spans="1:5" ht="15.75" thickBot="1">
      <c r="A21" s="1488"/>
      <c r="B21" s="3539"/>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895" t="s">
        <v>2604</v>
      </c>
      <c r="B20" s="3890" t="s">
        <v>2625</v>
      </c>
      <c r="C20" s="3097" t="s">
        <v>2436</v>
      </c>
      <c r="D20" s="3098"/>
      <c r="E20" s="3099">
        <v>1</v>
      </c>
      <c r="F20" s="3100" t="s">
        <v>2437</v>
      </c>
      <c r="G20" s="3100"/>
    </row>
    <row r="21" spans="1:13" ht="19.5" customHeight="1">
      <c r="A21" s="3896"/>
      <c r="B21" s="3889"/>
      <c r="C21" s="3101" t="s">
        <v>2438</v>
      </c>
      <c r="D21" s="3102"/>
      <c r="E21" s="3103">
        <v>1</v>
      </c>
      <c r="F21" s="3100" t="s">
        <v>2439</v>
      </c>
      <c r="G21" s="3100"/>
    </row>
    <row r="22" spans="1:13" ht="19.5" customHeight="1">
      <c r="A22" s="3896"/>
      <c r="B22" s="3889"/>
      <c r="C22" s="3101" t="s">
        <v>2440</v>
      </c>
      <c r="D22" s="3102"/>
      <c r="E22" s="3103">
        <v>0.9</v>
      </c>
      <c r="F22" s="3100" t="s">
        <v>2441</v>
      </c>
      <c r="G22" s="3100"/>
    </row>
    <row r="23" spans="1:13" ht="19.5" customHeight="1">
      <c r="A23" s="3896"/>
      <c r="B23" s="3889"/>
      <c r="C23" s="3101" t="s">
        <v>2442</v>
      </c>
      <c r="D23" s="3102"/>
      <c r="E23" s="3103">
        <v>0.9</v>
      </c>
      <c r="F23" s="3100" t="s">
        <v>2443</v>
      </c>
      <c r="G23" s="3100"/>
    </row>
    <row r="24" spans="1:13" ht="19.5" customHeight="1">
      <c r="A24" s="3896"/>
      <c r="B24" s="3889"/>
      <c r="C24" s="3101" t="s">
        <v>2444</v>
      </c>
      <c r="D24" s="3102"/>
      <c r="E24" s="3103">
        <v>0.8</v>
      </c>
      <c r="F24" s="3100" t="s">
        <v>2445</v>
      </c>
      <c r="G24" s="3100"/>
    </row>
    <row r="25" spans="1:13" ht="19.5" customHeight="1" thickBot="1">
      <c r="A25" s="3897"/>
      <c r="B25" s="3891"/>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892" t="s">
        <v>2628</v>
      </c>
      <c r="B27" s="3890" t="s">
        <v>2609</v>
      </c>
      <c r="C27" s="3097" t="s">
        <v>2449</v>
      </c>
      <c r="D27" s="3098"/>
      <c r="E27" s="3099">
        <v>1</v>
      </c>
      <c r="F27" s="3100" t="s">
        <v>2450</v>
      </c>
      <c r="G27" s="3100"/>
    </row>
    <row r="28" spans="1:13" ht="19.5" customHeight="1">
      <c r="A28" s="3893"/>
      <c r="B28" s="3889"/>
      <c r="C28" s="3101" t="s">
        <v>2451</v>
      </c>
      <c r="D28" s="3102"/>
      <c r="E28" s="3103">
        <v>1</v>
      </c>
      <c r="F28" s="3100" t="s">
        <v>2452</v>
      </c>
      <c r="G28" s="3100"/>
    </row>
    <row r="29" spans="1:13" ht="19.5" customHeight="1">
      <c r="A29" s="3893"/>
      <c r="B29" s="3889"/>
      <c r="C29" s="3101" t="s">
        <v>2453</v>
      </c>
      <c r="D29" s="3102"/>
      <c r="E29" s="3103">
        <v>0.8</v>
      </c>
      <c r="F29" s="3100" t="s">
        <v>2454</v>
      </c>
      <c r="G29" s="3100"/>
    </row>
    <row r="30" spans="1:13" ht="19.5" customHeight="1">
      <c r="A30" s="3893"/>
      <c r="B30" s="3889"/>
      <c r="C30" s="3101" t="s">
        <v>2455</v>
      </c>
      <c r="D30" s="3102"/>
      <c r="E30" s="3103">
        <v>0.8</v>
      </c>
      <c r="F30" s="3100" t="s">
        <v>2456</v>
      </c>
      <c r="G30" s="3100"/>
    </row>
    <row r="31" spans="1:13" ht="19.5" customHeight="1">
      <c r="A31" s="3893"/>
      <c r="B31" s="3889"/>
      <c r="C31" s="3101" t="s">
        <v>2457</v>
      </c>
      <c r="D31" s="3102"/>
      <c r="E31" s="3103">
        <v>0.8</v>
      </c>
      <c r="F31" s="3100" t="s">
        <v>2458</v>
      </c>
      <c r="G31" s="3100"/>
    </row>
    <row r="32" spans="1:13" ht="19.5" customHeight="1">
      <c r="A32" s="3893"/>
      <c r="B32" s="3889"/>
      <c r="C32" s="3101" t="s">
        <v>2459</v>
      </c>
      <c r="D32" s="3102"/>
      <c r="E32" s="3103">
        <v>0.7</v>
      </c>
      <c r="F32" s="3100" t="s">
        <v>2460</v>
      </c>
      <c r="G32" s="3100"/>
    </row>
    <row r="33" spans="1:7" ht="19.5" customHeight="1">
      <c r="A33" s="3893"/>
      <c r="B33" s="3889"/>
      <c r="C33" s="3101" t="s">
        <v>2461</v>
      </c>
      <c r="D33" s="3102"/>
      <c r="E33" s="3103">
        <v>0.8</v>
      </c>
      <c r="F33" s="3100" t="s">
        <v>2462</v>
      </c>
      <c r="G33" s="3100"/>
    </row>
    <row r="34" spans="1:7" ht="19.5" customHeight="1">
      <c r="A34" s="3893"/>
      <c r="B34" s="3889"/>
      <c r="C34" s="3101" t="s">
        <v>2463</v>
      </c>
      <c r="D34" s="3102"/>
      <c r="E34" s="3103">
        <v>0.6</v>
      </c>
      <c r="F34" s="3100" t="s">
        <v>2464</v>
      </c>
      <c r="G34" s="3100"/>
    </row>
    <row r="35" spans="1:7" ht="19.5" customHeight="1">
      <c r="A35" s="3893"/>
      <c r="B35" s="3889"/>
      <c r="C35" s="3101" t="s">
        <v>2465</v>
      </c>
      <c r="D35" s="3102"/>
      <c r="E35" s="3103">
        <v>0.2</v>
      </c>
      <c r="F35" s="3100" t="s">
        <v>2466</v>
      </c>
      <c r="G35" s="3100"/>
    </row>
    <row r="36" spans="1:7" ht="19.5" customHeight="1">
      <c r="A36" s="3893"/>
      <c r="B36" s="3889"/>
      <c r="C36" s="3101" t="s">
        <v>2467</v>
      </c>
      <c r="D36" s="3102"/>
      <c r="E36" s="3103">
        <v>0.2</v>
      </c>
      <c r="F36" s="3100" t="s">
        <v>2468</v>
      </c>
      <c r="G36" s="3100"/>
    </row>
    <row r="37" spans="1:7" ht="19.5" customHeight="1">
      <c r="A37" s="3893"/>
      <c r="B37" s="3887" t="s">
        <v>2629</v>
      </c>
      <c r="C37" s="3101" t="s">
        <v>2469</v>
      </c>
      <c r="D37" s="3102"/>
      <c r="E37" s="3103">
        <v>0.6</v>
      </c>
      <c r="F37" s="3100" t="s">
        <v>2470</v>
      </c>
      <c r="G37" s="3100"/>
    </row>
    <row r="38" spans="1:7" ht="19.5" customHeight="1">
      <c r="A38" s="3893"/>
      <c r="B38" s="3889"/>
      <c r="C38" s="3101" t="s">
        <v>2471</v>
      </c>
      <c r="D38" s="3102"/>
      <c r="E38" s="3103">
        <v>0.6</v>
      </c>
      <c r="F38" s="3100" t="s">
        <v>2472</v>
      </c>
      <c r="G38" s="3100"/>
    </row>
    <row r="39" spans="1:7" ht="19.5" customHeight="1" thickBot="1">
      <c r="A39" s="3894"/>
      <c r="B39" s="3891"/>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895" t="s">
        <v>2607</v>
      </c>
      <c r="B41" s="3890" t="s">
        <v>2631</v>
      </c>
      <c r="C41" s="3097" t="s">
        <v>2476</v>
      </c>
      <c r="D41" s="3098"/>
      <c r="E41" s="3099">
        <v>1</v>
      </c>
      <c r="F41" s="3100" t="s">
        <v>2477</v>
      </c>
      <c r="G41" s="3100"/>
    </row>
    <row r="42" spans="1:7" ht="19.5" customHeight="1">
      <c r="A42" s="3896"/>
      <c r="B42" s="3889"/>
      <c r="C42" s="3101" t="s">
        <v>2478</v>
      </c>
      <c r="D42" s="3102"/>
      <c r="E42" s="3103">
        <v>1</v>
      </c>
      <c r="F42" s="3100" t="s">
        <v>2479</v>
      </c>
      <c r="G42" s="3100"/>
    </row>
    <row r="43" spans="1:7" ht="19.5" customHeight="1">
      <c r="A43" s="3896"/>
      <c r="B43" s="3888"/>
      <c r="C43" s="3101" t="s">
        <v>2480</v>
      </c>
      <c r="D43" s="3102"/>
      <c r="E43" s="3103">
        <v>1.5</v>
      </c>
      <c r="F43" s="3100" t="s">
        <v>2481</v>
      </c>
      <c r="G43" s="3100"/>
    </row>
    <row r="44" spans="1:7" ht="19.5" customHeight="1">
      <c r="A44" s="3896"/>
      <c r="B44" s="3112" t="s">
        <v>2632</v>
      </c>
      <c r="C44" s="3101" t="s">
        <v>2633</v>
      </c>
      <c r="D44" s="3102"/>
      <c r="E44" s="3103">
        <v>2</v>
      </c>
      <c r="F44" s="3100" t="s">
        <v>2482</v>
      </c>
      <c r="G44" s="3100"/>
    </row>
    <row r="45" spans="1:7" ht="19.5" customHeight="1">
      <c r="A45" s="3896"/>
      <c r="B45" s="3887" t="s">
        <v>2634</v>
      </c>
      <c r="C45" s="3101" t="s">
        <v>2483</v>
      </c>
      <c r="D45" s="3102"/>
      <c r="E45" s="3103">
        <v>1</v>
      </c>
      <c r="F45" s="3100" t="s">
        <v>2484</v>
      </c>
      <c r="G45" s="3100"/>
    </row>
    <row r="46" spans="1:7" ht="19.5" customHeight="1">
      <c r="A46" s="3896"/>
      <c r="B46" s="3889"/>
      <c r="C46" s="3101" t="s">
        <v>2485</v>
      </c>
      <c r="D46" s="3102"/>
      <c r="E46" s="3103">
        <v>1</v>
      </c>
      <c r="F46" s="3100" t="s">
        <v>2486</v>
      </c>
      <c r="G46" s="3100"/>
    </row>
    <row r="47" spans="1:7" ht="19.5" customHeight="1">
      <c r="A47" s="3896"/>
      <c r="B47" s="3889"/>
      <c r="C47" s="3101" t="s">
        <v>2487</v>
      </c>
      <c r="D47" s="3102"/>
      <c r="E47" s="3103">
        <v>1</v>
      </c>
      <c r="F47" s="3100" t="s">
        <v>2488</v>
      </c>
      <c r="G47" s="3100"/>
    </row>
    <row r="48" spans="1:7" ht="19.5" customHeight="1">
      <c r="A48" s="3896"/>
      <c r="B48" s="3889"/>
      <c r="C48" s="3101" t="s">
        <v>2489</v>
      </c>
      <c r="D48" s="3102"/>
      <c r="E48" s="3103">
        <v>1</v>
      </c>
      <c r="F48" s="3100" t="s">
        <v>2490</v>
      </c>
      <c r="G48" s="3100"/>
    </row>
    <row r="49" spans="1:7" ht="19.5" customHeight="1">
      <c r="A49" s="3896"/>
      <c r="B49" s="3889"/>
      <c r="C49" s="3101" t="s">
        <v>2491</v>
      </c>
      <c r="D49" s="3102"/>
      <c r="E49" s="3103">
        <v>1</v>
      </c>
      <c r="F49" s="3100" t="s">
        <v>2492</v>
      </c>
      <c r="G49" s="3100"/>
    </row>
    <row r="50" spans="1:7" ht="19.5" customHeight="1">
      <c r="A50" s="3896"/>
      <c r="B50" s="3889"/>
      <c r="C50" s="3101" t="s">
        <v>2493</v>
      </c>
      <c r="D50" s="3102"/>
      <c r="E50" s="3103">
        <v>1</v>
      </c>
      <c r="F50" s="3100" t="s">
        <v>2494</v>
      </c>
      <c r="G50" s="3100"/>
    </row>
    <row r="51" spans="1:7" ht="19.5" customHeight="1" thickBot="1">
      <c r="A51" s="3897"/>
      <c r="B51" s="3891"/>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887" t="s">
        <v>2648</v>
      </c>
      <c r="C73" s="3086" t="s">
        <v>2649</v>
      </c>
      <c r="D73" s="3086" t="s">
        <v>2650</v>
      </c>
      <c r="E73" s="3112">
        <v>0.2</v>
      </c>
      <c r="F73" s="3112">
        <v>25</v>
      </c>
    </row>
    <row r="74" spans="1:7" ht="24">
      <c r="A74" s="3112">
        <v>2</v>
      </c>
      <c r="B74" s="3889"/>
      <c r="C74" s="3086" t="s">
        <v>2651</v>
      </c>
      <c r="D74" s="3086" t="s">
        <v>2652</v>
      </c>
      <c r="E74" s="3112">
        <v>0.2</v>
      </c>
      <c r="F74" s="3112">
        <v>25</v>
      </c>
    </row>
    <row r="75" spans="1:7" ht="24">
      <c r="A75" s="3112">
        <v>3</v>
      </c>
      <c r="B75" s="3889"/>
      <c r="C75" s="3086" t="s">
        <v>2653</v>
      </c>
      <c r="D75" s="3086" t="s">
        <v>2654</v>
      </c>
      <c r="E75" s="3112">
        <v>0.2</v>
      </c>
      <c r="F75" s="3112">
        <v>25</v>
      </c>
    </row>
    <row r="76" spans="1:7" ht="13.5">
      <c r="A76" s="3112">
        <v>4</v>
      </c>
      <c r="B76" s="3889"/>
      <c r="C76" s="3086" t="s">
        <v>2655</v>
      </c>
      <c r="D76" s="3086" t="s">
        <v>2656</v>
      </c>
      <c r="E76" s="3112">
        <v>0.15</v>
      </c>
      <c r="F76" s="3112">
        <v>20</v>
      </c>
    </row>
    <row r="77" spans="1:7" ht="24">
      <c r="A77" s="3112">
        <v>5</v>
      </c>
      <c r="B77" s="3889"/>
      <c r="C77" s="3086" t="s">
        <v>2657</v>
      </c>
      <c r="D77" s="3086" t="s">
        <v>2658</v>
      </c>
      <c r="E77" s="3112">
        <v>0.15</v>
      </c>
      <c r="F77" s="3112">
        <v>20</v>
      </c>
    </row>
    <row r="78" spans="1:7" ht="24">
      <c r="A78" s="3112">
        <v>6</v>
      </c>
      <c r="B78" s="3889"/>
      <c r="C78" s="3086" t="s">
        <v>2659</v>
      </c>
      <c r="D78" s="3086" t="s">
        <v>2660</v>
      </c>
      <c r="E78" s="3112">
        <v>0.15</v>
      </c>
      <c r="F78" s="3112">
        <v>20</v>
      </c>
    </row>
    <row r="79" spans="1:7" ht="24">
      <c r="A79" s="3112">
        <v>7</v>
      </c>
      <c r="B79" s="3889"/>
      <c r="C79" s="3086" t="s">
        <v>2661</v>
      </c>
      <c r="D79" s="3086" t="s">
        <v>2662</v>
      </c>
      <c r="E79" s="3112">
        <v>0.15</v>
      </c>
      <c r="F79" s="3112">
        <v>20</v>
      </c>
    </row>
    <row r="80" spans="1:7" ht="24">
      <c r="A80" s="3112">
        <v>8</v>
      </c>
      <c r="B80" s="3889"/>
      <c r="C80" s="3086" t="s">
        <v>2663</v>
      </c>
      <c r="D80" s="3086" t="s">
        <v>2664</v>
      </c>
      <c r="E80" s="3112">
        <v>0.1</v>
      </c>
      <c r="F80" s="3112">
        <v>15</v>
      </c>
    </row>
    <row r="81" spans="1:6" ht="24">
      <c r="A81" s="3112">
        <v>9</v>
      </c>
      <c r="B81" s="3889"/>
      <c r="C81" s="3086" t="s">
        <v>2665</v>
      </c>
      <c r="D81" s="3086" t="s">
        <v>2666</v>
      </c>
      <c r="E81" s="3112">
        <v>0.1</v>
      </c>
      <c r="F81" s="3112">
        <v>15</v>
      </c>
    </row>
    <row r="82" spans="1:6" ht="24">
      <c r="A82" s="3112">
        <v>10</v>
      </c>
      <c r="B82" s="3889"/>
      <c r="C82" s="3086" t="s">
        <v>2667</v>
      </c>
      <c r="D82" s="3086" t="s">
        <v>2668</v>
      </c>
      <c r="E82" s="3112">
        <v>0.1</v>
      </c>
      <c r="F82" s="3112">
        <v>15</v>
      </c>
    </row>
    <row r="83" spans="1:6" ht="24">
      <c r="A83" s="3112">
        <v>11</v>
      </c>
      <c r="B83" s="3889"/>
      <c r="C83" s="3086" t="s">
        <v>2669</v>
      </c>
      <c r="D83" s="3086" t="s">
        <v>2670</v>
      </c>
      <c r="E83" s="3112">
        <v>0.1</v>
      </c>
      <c r="F83" s="3112">
        <v>15</v>
      </c>
    </row>
    <row r="84" spans="1:6" ht="24">
      <c r="A84" s="3112">
        <v>12</v>
      </c>
      <c r="B84" s="3889"/>
      <c r="C84" s="3086" t="s">
        <v>2671</v>
      </c>
      <c r="D84" s="3086" t="s">
        <v>2672</v>
      </c>
      <c r="E84" s="3112">
        <v>0.1</v>
      </c>
      <c r="F84" s="3112">
        <v>15</v>
      </c>
    </row>
    <row r="85" spans="1:6" ht="13.5">
      <c r="A85" s="3112">
        <v>13</v>
      </c>
      <c r="B85" s="3889"/>
      <c r="C85" s="3086" t="s">
        <v>2673</v>
      </c>
      <c r="D85" s="3086" t="s">
        <v>2674</v>
      </c>
      <c r="E85" s="3112">
        <v>0.1</v>
      </c>
      <c r="F85" s="3112">
        <v>15</v>
      </c>
    </row>
    <row r="86" spans="1:6" ht="13.5">
      <c r="A86" s="3112">
        <v>14</v>
      </c>
      <c r="B86" s="3889"/>
      <c r="C86" s="3086" t="s">
        <v>2675</v>
      </c>
      <c r="D86" s="3086" t="s">
        <v>2676</v>
      </c>
      <c r="E86" s="3112">
        <v>0.1</v>
      </c>
      <c r="F86" s="3112">
        <v>15</v>
      </c>
    </row>
    <row r="87" spans="1:6" ht="13.5">
      <c r="A87" s="3112">
        <v>15</v>
      </c>
      <c r="B87" s="3889"/>
      <c r="C87" s="3086" t="s">
        <v>2677</v>
      </c>
      <c r="D87" s="3086" t="s">
        <v>2678</v>
      </c>
      <c r="E87" s="3112">
        <v>0.1</v>
      </c>
      <c r="F87" s="3112">
        <v>15</v>
      </c>
    </row>
    <row r="88" spans="1:6" ht="24">
      <c r="A88" s="3112">
        <v>16</v>
      </c>
      <c r="B88" s="3889"/>
      <c r="C88" s="3086" t="s">
        <v>2679</v>
      </c>
      <c r="D88" s="3086" t="s">
        <v>2680</v>
      </c>
      <c r="E88" s="3112">
        <v>0.1</v>
      </c>
      <c r="F88" s="3112">
        <v>15</v>
      </c>
    </row>
    <row r="89" spans="1:6" ht="24">
      <c r="A89" s="3112">
        <v>17</v>
      </c>
      <c r="B89" s="3888"/>
      <c r="C89" s="3086" t="s">
        <v>2681</v>
      </c>
      <c r="D89" s="3086" t="s">
        <v>2682</v>
      </c>
      <c r="E89" s="3112">
        <v>0.1</v>
      </c>
      <c r="F89" s="3112">
        <v>15</v>
      </c>
    </row>
    <row r="90" spans="1:6" ht="13.5">
      <c r="A90" s="3112">
        <v>18</v>
      </c>
      <c r="B90" s="3887" t="s">
        <v>2683</v>
      </c>
      <c r="C90" s="3086" t="s">
        <v>2684</v>
      </c>
      <c r="D90" s="3086" t="s">
        <v>2685</v>
      </c>
      <c r="E90" s="3112">
        <v>0.2</v>
      </c>
      <c r="F90" s="3112">
        <v>25</v>
      </c>
    </row>
    <row r="91" spans="1:6" ht="24">
      <c r="A91" s="3112">
        <v>19</v>
      </c>
      <c r="B91" s="3889"/>
      <c r="C91" s="3086" t="s">
        <v>2686</v>
      </c>
      <c r="D91" s="3086" t="s">
        <v>2687</v>
      </c>
      <c r="E91" s="3112">
        <v>0.2</v>
      </c>
      <c r="F91" s="3112">
        <v>25</v>
      </c>
    </row>
    <row r="92" spans="1:6" ht="13.5">
      <c r="A92" s="3112">
        <v>20</v>
      </c>
      <c r="B92" s="3889"/>
      <c r="C92" s="3086" t="s">
        <v>2688</v>
      </c>
      <c r="D92" s="3086" t="s">
        <v>2689</v>
      </c>
      <c r="E92" s="3112">
        <v>0.15</v>
      </c>
      <c r="F92" s="3112">
        <v>20</v>
      </c>
    </row>
    <row r="93" spans="1:6" ht="13.5">
      <c r="A93" s="3112">
        <v>21</v>
      </c>
      <c r="B93" s="3889"/>
      <c r="C93" s="3086" t="s">
        <v>2690</v>
      </c>
      <c r="D93" s="3086" t="s">
        <v>2691</v>
      </c>
      <c r="E93" s="3112">
        <v>0.15</v>
      </c>
      <c r="F93" s="3112">
        <v>20</v>
      </c>
    </row>
    <row r="94" spans="1:6" ht="13.5">
      <c r="A94" s="3112">
        <v>22</v>
      </c>
      <c r="B94" s="3889"/>
      <c r="C94" s="3086" t="s">
        <v>2692</v>
      </c>
      <c r="D94" s="3086" t="s">
        <v>2693</v>
      </c>
      <c r="E94" s="3112">
        <v>0.15</v>
      </c>
      <c r="F94" s="3112">
        <v>20</v>
      </c>
    </row>
    <row r="95" spans="1:6" ht="36">
      <c r="A95" s="3112">
        <v>23</v>
      </c>
      <c r="B95" s="3889"/>
      <c r="C95" s="3086" t="s">
        <v>2694</v>
      </c>
      <c r="D95" s="3086" t="s">
        <v>2695</v>
      </c>
      <c r="E95" s="3112">
        <v>0.15</v>
      </c>
      <c r="F95" s="3112">
        <v>20</v>
      </c>
    </row>
    <row r="96" spans="1:6" ht="13.5">
      <c r="A96" s="3112">
        <v>24</v>
      </c>
      <c r="B96" s="3889"/>
      <c r="C96" s="3086" t="s">
        <v>2696</v>
      </c>
      <c r="D96" s="3086" t="s">
        <v>2697</v>
      </c>
      <c r="E96" s="3112">
        <v>0.1</v>
      </c>
      <c r="F96" s="3112">
        <v>15</v>
      </c>
    </row>
    <row r="97" spans="1:6" ht="13.5">
      <c r="A97" s="3112">
        <v>25</v>
      </c>
      <c r="B97" s="3889"/>
      <c r="C97" s="3086" t="s">
        <v>2698</v>
      </c>
      <c r="D97" s="3086" t="s">
        <v>2699</v>
      </c>
      <c r="E97" s="3112">
        <v>0.1</v>
      </c>
      <c r="F97" s="3112">
        <v>15</v>
      </c>
    </row>
    <row r="98" spans="1:6" ht="24">
      <c r="A98" s="3112">
        <v>26</v>
      </c>
      <c r="B98" s="3889"/>
      <c r="C98" s="3086" t="s">
        <v>2700</v>
      </c>
      <c r="D98" s="3086" t="s">
        <v>2701</v>
      </c>
      <c r="E98" s="3112">
        <v>0.1</v>
      </c>
      <c r="F98" s="3112">
        <v>15</v>
      </c>
    </row>
    <row r="99" spans="1:6" ht="24">
      <c r="A99" s="3112">
        <v>27</v>
      </c>
      <c r="B99" s="3889"/>
      <c r="C99" s="3086" t="s">
        <v>2702</v>
      </c>
      <c r="D99" s="3086" t="s">
        <v>2703</v>
      </c>
      <c r="E99" s="3112">
        <v>0.1</v>
      </c>
      <c r="F99" s="3112">
        <v>15</v>
      </c>
    </row>
    <row r="100" spans="1:6" ht="13.5">
      <c r="A100" s="3112">
        <v>28</v>
      </c>
      <c r="B100" s="3889"/>
      <c r="C100" s="3086" t="s">
        <v>2704</v>
      </c>
      <c r="D100" s="3086" t="s">
        <v>2705</v>
      </c>
      <c r="E100" s="3112">
        <v>0.1</v>
      </c>
      <c r="F100" s="3112">
        <v>15</v>
      </c>
    </row>
    <row r="101" spans="1:6" ht="13.5">
      <c r="A101" s="3112">
        <v>29</v>
      </c>
      <c r="B101" s="3889"/>
      <c r="C101" s="3086" t="s">
        <v>2706</v>
      </c>
      <c r="D101" s="3086" t="s">
        <v>2707</v>
      </c>
      <c r="E101" s="3112">
        <v>0.1</v>
      </c>
      <c r="F101" s="3112">
        <v>15</v>
      </c>
    </row>
    <row r="102" spans="1:6" ht="13.5">
      <c r="A102" s="3112">
        <v>30</v>
      </c>
      <c r="B102" s="3889"/>
      <c r="C102" s="3086" t="s">
        <v>2708</v>
      </c>
      <c r="D102" s="3086" t="s">
        <v>2709</v>
      </c>
      <c r="E102" s="3112">
        <v>0.1</v>
      </c>
      <c r="F102" s="3112">
        <v>15</v>
      </c>
    </row>
    <row r="103" spans="1:6" ht="24">
      <c r="A103" s="3112">
        <v>31</v>
      </c>
      <c r="B103" s="3889"/>
      <c r="C103" s="3086" t="s">
        <v>2710</v>
      </c>
      <c r="D103" s="3086" t="s">
        <v>2711</v>
      </c>
      <c r="E103" s="3112">
        <v>0.1</v>
      </c>
      <c r="F103" s="3112">
        <v>15</v>
      </c>
    </row>
    <row r="104" spans="1:6" ht="24">
      <c r="A104" s="3112">
        <v>32</v>
      </c>
      <c r="B104" s="3889"/>
      <c r="C104" s="3086" t="s">
        <v>2712</v>
      </c>
      <c r="D104" s="3086" t="s">
        <v>2713</v>
      </c>
      <c r="E104" s="3112">
        <v>0.1</v>
      </c>
      <c r="F104" s="3112">
        <v>15</v>
      </c>
    </row>
    <row r="105" spans="1:6" ht="24">
      <c r="A105" s="3112">
        <v>33</v>
      </c>
      <c r="B105" s="3889"/>
      <c r="C105" s="3086" t="s">
        <v>2714</v>
      </c>
      <c r="D105" s="3086" t="s">
        <v>2715</v>
      </c>
      <c r="E105" s="3112">
        <v>0.1</v>
      </c>
      <c r="F105" s="3112">
        <v>15</v>
      </c>
    </row>
    <row r="106" spans="1:6" ht="24">
      <c r="A106" s="3112">
        <v>34</v>
      </c>
      <c r="B106" s="3888"/>
      <c r="C106" s="3086" t="s">
        <v>2716</v>
      </c>
      <c r="D106" s="3086" t="s">
        <v>2717</v>
      </c>
      <c r="E106" s="3112">
        <v>0.1</v>
      </c>
      <c r="F106" s="3112">
        <v>15</v>
      </c>
    </row>
    <row r="107" spans="1:6" ht="24">
      <c r="A107" s="3112">
        <v>35</v>
      </c>
      <c r="B107" s="3887" t="s">
        <v>2718</v>
      </c>
      <c r="C107" s="3112" t="s">
        <v>2719</v>
      </c>
      <c r="D107" s="3086" t="s">
        <v>2720</v>
      </c>
      <c r="E107" s="3112">
        <v>0.15</v>
      </c>
      <c r="F107" s="3112">
        <v>20</v>
      </c>
    </row>
    <row r="108" spans="1:6" ht="13.5">
      <c r="A108" s="3112">
        <v>36</v>
      </c>
      <c r="B108" s="3889"/>
      <c r="C108" s="3112" t="s">
        <v>2721</v>
      </c>
      <c r="D108" s="3086" t="s">
        <v>2722</v>
      </c>
      <c r="E108" s="3112">
        <v>0.15</v>
      </c>
      <c r="F108" s="3112">
        <v>20</v>
      </c>
    </row>
    <row r="109" spans="1:6" ht="13.5">
      <c r="A109" s="3112">
        <v>37</v>
      </c>
      <c r="B109" s="3889"/>
      <c r="C109" s="3112" t="s">
        <v>2723</v>
      </c>
      <c r="D109" s="3086" t="s">
        <v>2724</v>
      </c>
      <c r="E109" s="3112">
        <v>0.15</v>
      </c>
      <c r="F109" s="3112">
        <v>20</v>
      </c>
    </row>
    <row r="110" spans="1:6" ht="13.5">
      <c r="A110" s="3112">
        <v>38</v>
      </c>
      <c r="B110" s="3889"/>
      <c r="C110" s="3112" t="s">
        <v>2725</v>
      </c>
      <c r="D110" s="3086" t="s">
        <v>2726</v>
      </c>
      <c r="E110" s="3112">
        <v>0.1</v>
      </c>
      <c r="F110" s="3112">
        <v>15</v>
      </c>
    </row>
    <row r="111" spans="1:6" ht="24">
      <c r="A111" s="3112">
        <v>39</v>
      </c>
      <c r="B111" s="3889"/>
      <c r="C111" s="3112" t="s">
        <v>2727</v>
      </c>
      <c r="D111" s="3086" t="s">
        <v>2728</v>
      </c>
      <c r="E111" s="3112">
        <v>0.1</v>
      </c>
      <c r="F111" s="3112">
        <v>15</v>
      </c>
    </row>
    <row r="112" spans="1:6" ht="24">
      <c r="A112" s="3112">
        <v>40</v>
      </c>
      <c r="B112" s="3888"/>
      <c r="C112" s="3112" t="s">
        <v>2729</v>
      </c>
      <c r="D112" s="3086" t="s">
        <v>2730</v>
      </c>
      <c r="E112" s="3112">
        <v>0.1</v>
      </c>
      <c r="F112" s="3112">
        <v>15</v>
      </c>
    </row>
    <row r="113" spans="1:6" ht="13.5">
      <c r="A113" s="3112">
        <v>41</v>
      </c>
      <c r="B113" s="3886" t="s">
        <v>2731</v>
      </c>
      <c r="C113" s="3112" t="s">
        <v>2732</v>
      </c>
      <c r="D113" s="3086" t="s">
        <v>2733</v>
      </c>
      <c r="E113" s="3112">
        <v>0.1</v>
      </c>
      <c r="F113" s="3112">
        <v>15</v>
      </c>
    </row>
    <row r="114" spans="1:6" ht="13.5">
      <c r="A114" s="3112">
        <v>42</v>
      </c>
      <c r="B114" s="3886"/>
      <c r="C114" s="3112" t="s">
        <v>2734</v>
      </c>
      <c r="D114" s="3086" t="s">
        <v>2735</v>
      </c>
      <c r="E114" s="3112">
        <v>0.1</v>
      </c>
      <c r="F114" s="3112">
        <v>15</v>
      </c>
    </row>
    <row r="115" spans="1:6" ht="24">
      <c r="A115" s="3112">
        <v>43</v>
      </c>
      <c r="B115" s="3886"/>
      <c r="C115" s="3112" t="s">
        <v>2736</v>
      </c>
      <c r="D115" s="3086" t="s">
        <v>2737</v>
      </c>
      <c r="E115" s="3112">
        <v>0.1</v>
      </c>
      <c r="F115" s="3112">
        <v>15</v>
      </c>
    </row>
    <row r="116" spans="1:6" ht="13.5">
      <c r="A116" s="3112">
        <v>44</v>
      </c>
      <c r="B116" s="3887" t="s">
        <v>2738</v>
      </c>
      <c r="C116" s="3112" t="s">
        <v>2739</v>
      </c>
      <c r="D116" s="3086" t="s">
        <v>2740</v>
      </c>
      <c r="E116" s="3112">
        <v>0.1</v>
      </c>
      <c r="F116" s="3112">
        <v>15</v>
      </c>
    </row>
    <row r="117" spans="1:6" ht="24">
      <c r="A117" s="3112">
        <v>45</v>
      </c>
      <c r="B117" s="3888"/>
      <c r="C117" s="3086" t="s">
        <v>2741</v>
      </c>
      <c r="D117" s="3086" t="s">
        <v>2742</v>
      </c>
      <c r="E117" s="3112">
        <v>0.1</v>
      </c>
      <c r="F117" s="3112">
        <v>15</v>
      </c>
    </row>
    <row r="118" spans="1:6" ht="24">
      <c r="A118" s="3112">
        <v>46</v>
      </c>
      <c r="B118" s="3887" t="s">
        <v>2743</v>
      </c>
      <c r="C118" s="3112" t="s">
        <v>2744</v>
      </c>
      <c r="D118" s="3086" t="s">
        <v>2745</v>
      </c>
      <c r="E118" s="3112">
        <v>0.1</v>
      </c>
      <c r="F118" s="3112">
        <v>15</v>
      </c>
    </row>
    <row r="119" spans="1:6" ht="24">
      <c r="A119" s="3112">
        <v>47</v>
      </c>
      <c r="B119" s="3888"/>
      <c r="C119" s="3112" t="s">
        <v>2746</v>
      </c>
      <c r="D119" s="3086" t="s">
        <v>2747</v>
      </c>
      <c r="E119" s="3112">
        <v>0.1</v>
      </c>
      <c r="F119" s="3112">
        <v>15</v>
      </c>
    </row>
    <row r="120" spans="1:6" ht="13.5">
      <c r="A120" s="3112">
        <v>48</v>
      </c>
      <c r="B120" s="3887" t="s">
        <v>2748</v>
      </c>
      <c r="C120" s="3112" t="s">
        <v>2749</v>
      </c>
      <c r="D120" s="3086" t="s">
        <v>2750</v>
      </c>
      <c r="E120" s="3112">
        <v>0.1</v>
      </c>
      <c r="F120" s="3112">
        <v>15</v>
      </c>
    </row>
    <row r="121" spans="1:6" ht="13.5">
      <c r="A121" s="3112">
        <v>49</v>
      </c>
      <c r="B121" s="3888"/>
      <c r="C121" s="3112" t="s">
        <v>2751</v>
      </c>
      <c r="D121" s="3086" t="s">
        <v>2752</v>
      </c>
      <c r="E121" s="3112">
        <v>0.1</v>
      </c>
      <c r="F121" s="3112">
        <v>15</v>
      </c>
    </row>
    <row r="122" spans="1:6" ht="24">
      <c r="A122" s="3112">
        <v>50</v>
      </c>
      <c r="B122" s="3886" t="s">
        <v>2753</v>
      </c>
      <c r="C122" s="3112" t="s">
        <v>2754</v>
      </c>
      <c r="D122" s="3086" t="s">
        <v>2755</v>
      </c>
      <c r="E122" s="3112">
        <v>0.1</v>
      </c>
      <c r="F122" s="3112">
        <v>15</v>
      </c>
    </row>
    <row r="123" spans="1:6" ht="24">
      <c r="A123" s="3112">
        <v>51</v>
      </c>
      <c r="B123" s="3886"/>
      <c r="C123" s="3112" t="s">
        <v>2756</v>
      </c>
      <c r="D123" s="3086" t="s">
        <v>2757</v>
      </c>
      <c r="E123" s="3112">
        <v>0.1</v>
      </c>
      <c r="F123" s="3112">
        <v>15</v>
      </c>
    </row>
    <row r="124" spans="1:6" ht="24">
      <c r="A124" s="3112">
        <v>52</v>
      </c>
      <c r="B124" s="3886" t="s">
        <v>2758</v>
      </c>
      <c r="C124" s="3112" t="s">
        <v>2759</v>
      </c>
      <c r="D124" s="3086" t="s">
        <v>2760</v>
      </c>
      <c r="E124" s="3112">
        <v>0.1</v>
      </c>
      <c r="F124" s="3112">
        <v>15</v>
      </c>
    </row>
    <row r="125" spans="1:6" ht="24">
      <c r="A125" s="3112">
        <v>53</v>
      </c>
      <c r="B125" s="3886"/>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886" t="s">
        <v>2766</v>
      </c>
      <c r="C127" s="3112" t="s">
        <v>2767</v>
      </c>
      <c r="D127" s="3086" t="s">
        <v>2768</v>
      </c>
      <c r="E127" s="3112">
        <v>0.1</v>
      </c>
      <c r="F127" s="3112">
        <v>15</v>
      </c>
    </row>
    <row r="128" spans="1:6" ht="13.5">
      <c r="A128" s="3112">
        <v>56</v>
      </c>
      <c r="B128" s="3886"/>
      <c r="C128" s="3112" t="s">
        <v>2769</v>
      </c>
      <c r="D128" s="3086" t="s">
        <v>2770</v>
      </c>
      <c r="E128" s="3112">
        <v>0.1</v>
      </c>
      <c r="F128" s="3112">
        <v>15</v>
      </c>
    </row>
    <row r="129" spans="1:6" ht="24">
      <c r="A129" s="3112">
        <v>57</v>
      </c>
      <c r="B129" s="3886"/>
      <c r="C129" s="3112" t="s">
        <v>2771</v>
      </c>
      <c r="D129" s="3086" t="s">
        <v>2772</v>
      </c>
      <c r="E129" s="3112">
        <v>0.1</v>
      </c>
      <c r="F129" s="3112">
        <v>15</v>
      </c>
    </row>
    <row r="130" spans="1:6" ht="24">
      <c r="A130" s="3112">
        <v>58</v>
      </c>
      <c r="B130" s="3886" t="s">
        <v>2773</v>
      </c>
      <c r="C130" s="3112" t="s">
        <v>2774</v>
      </c>
      <c r="D130" s="3086" t="s">
        <v>2775</v>
      </c>
      <c r="E130" s="3112">
        <v>0.1</v>
      </c>
      <c r="F130" s="3112">
        <v>15</v>
      </c>
    </row>
    <row r="131" spans="1:6" ht="13.5">
      <c r="A131" s="3112">
        <v>59</v>
      </c>
      <c r="B131" s="3886"/>
      <c r="C131" s="3112" t="s">
        <v>2776</v>
      </c>
      <c r="D131" s="3086" t="s">
        <v>2777</v>
      </c>
      <c r="E131" s="3112">
        <v>0.1</v>
      </c>
      <c r="F131" s="3112">
        <v>15</v>
      </c>
    </row>
    <row r="132" spans="1:6" ht="13.5">
      <c r="A132" s="3112">
        <v>60</v>
      </c>
      <c r="B132" s="3887" t="s">
        <v>2778</v>
      </c>
      <c r="C132" s="3112" t="s">
        <v>2779</v>
      </c>
      <c r="D132" s="3086" t="s">
        <v>2780</v>
      </c>
      <c r="E132" s="3112">
        <v>0.1</v>
      </c>
      <c r="F132" s="3112">
        <v>15</v>
      </c>
    </row>
    <row r="133" spans="1:6" ht="13.5">
      <c r="A133" s="3112">
        <v>61</v>
      </c>
      <c r="B133" s="3888"/>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886" t="s">
        <v>2786</v>
      </c>
      <c r="C135" s="3112" t="s">
        <v>2787</v>
      </c>
      <c r="D135" s="3086" t="s">
        <v>2788</v>
      </c>
      <c r="E135" s="3112">
        <v>0.1</v>
      </c>
      <c r="F135" s="3112">
        <v>15</v>
      </c>
    </row>
    <row r="136" spans="1:6" ht="13.5">
      <c r="A136" s="3112">
        <v>64</v>
      </c>
      <c r="B136" s="3886"/>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2795</v>
      </c>
      <c r="B1" s="3121"/>
      <c r="C1" s="3121"/>
      <c r="D1" s="3121"/>
      <c r="E1" s="3121"/>
      <c r="F1" s="3121"/>
      <c r="G1" s="3121"/>
      <c r="H1" s="3121"/>
      <c r="I1" s="3121"/>
      <c r="J1" s="3121"/>
      <c r="K1" s="3121"/>
      <c r="L1" s="3121"/>
      <c r="M1" s="3121"/>
      <c r="N1" s="747"/>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48">
        <f>SUMPRODUCT((A95:A184=ROUNDDOWN(基准地价修正!G3,1))*(B94:M94=基准地价修正!G2)*(B95:M184))</f>
        <v>1.2158</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48">
        <f>SUMPRODUCT((A371:A460=ROUNDDOWN(基准地价修正!G3,1))*(B370:M370=基准地价修正!G2)*(B371:M460))</f>
        <v>1.1565000000000001</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24850</v>
      </c>
      <c r="C2" s="2" t="s">
        <v>106</v>
      </c>
      <c r="D2" s="198"/>
      <c r="E2" s="198"/>
      <c r="F2" s="198"/>
      <c r="G2" s="198"/>
    </row>
    <row r="3" spans="1:7" s="199" customFormat="1" ht="18" customHeight="1" thickBot="1">
      <c r="A3" s="202" t="s">
        <v>58</v>
      </c>
      <c r="B3" s="203">
        <f ca="1">ROUND(B2*10000/'数据-汇总表'!E3,0)</f>
        <v>1831110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3</v>
      </c>
      <c r="D10" s="843">
        <f>'数据-汇总表'!E6</f>
        <v>135.71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3</v>
      </c>
      <c r="D19" s="847">
        <f>'数据-汇总表'!E3</f>
        <v>135.71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906</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1051</v>
      </c>
      <c r="D27" s="234">
        <f>C29</f>
        <v>1E-3</v>
      </c>
      <c r="E27" s="235" t="s">
        <v>99</v>
      </c>
      <c r="F27" s="245">
        <f>'数据-取费表'!Q16</f>
        <v>0.05</v>
      </c>
      <c r="G27" s="246" t="s">
        <v>431</v>
      </c>
    </row>
    <row r="28" spans="1:7" s="213" customFormat="1" ht="13.5" customHeight="1">
      <c r="A28" s="778" t="s">
        <v>349</v>
      </c>
      <c r="B28" s="247" t="s">
        <v>424</v>
      </c>
      <c r="C28" s="248">
        <f>ROUND((C5+C19+C20)*F27*'数据-取费表'!B21/'数据-取费表'!B20,0)</f>
        <v>1051</v>
      </c>
      <c r="D28" s="234"/>
      <c r="E28" s="235"/>
      <c r="F28" s="245"/>
      <c r="G28" s="246"/>
    </row>
    <row r="29" spans="1:7" s="213" customFormat="1" ht="13.5" customHeight="1">
      <c r="A29" s="778" t="s">
        <v>347</v>
      </c>
      <c r="B29" s="247" t="s">
        <v>425</v>
      </c>
      <c r="C29" s="237">
        <f>ROUND(C21*F27*'数据-取费表'!B21/'数据-取费表'!B20,4)</f>
        <v>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24813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47</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3</v>
      </c>
      <c r="D37" s="216">
        <f>'数据-汇总表'!E3</f>
        <v>135.71</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1</v>
      </c>
      <c r="D42" s="237"/>
      <c r="E42" s="237"/>
      <c r="F42" s="238"/>
      <c r="G42" s="3766" t="s">
        <v>94</v>
      </c>
    </row>
    <row r="43" spans="1:7" ht="13.5" customHeight="1">
      <c r="A43" s="778" t="s">
        <v>347</v>
      </c>
      <c r="B43" s="214" t="s">
        <v>426</v>
      </c>
      <c r="C43" s="237">
        <f ca="1">ROUND(IF('数据-取费表'!B22&lt;=1,C39*F22*'数据-取费表'!B21/2,C39*(POWER((1+F22),'数据-取费表'!B21/2)-1)),0)</f>
        <v>0</v>
      </c>
      <c r="D43" s="237"/>
      <c r="E43" s="237"/>
      <c r="F43" s="238"/>
      <c r="G43" s="3767"/>
    </row>
    <row r="44" spans="1:7" ht="13.5" customHeight="1">
      <c r="A44" s="778" t="s">
        <v>348</v>
      </c>
      <c r="B44" s="214" t="s">
        <v>428</v>
      </c>
      <c r="C44" s="237">
        <f ca="1">ROUND(IF('数据-取费表'!B22&lt;=1,C40*F22*'数据-取费表'!B21/2,C40*(POWER((1+F22),'数据-取费表'!B21/2)-1)),4)</f>
        <v>4.0000000000000002E-4</v>
      </c>
      <c r="D44" s="237"/>
      <c r="E44" s="237"/>
      <c r="F44" s="238"/>
      <c r="G44" s="3768"/>
    </row>
    <row r="45" spans="1:7" s="213" customFormat="1" ht="13.5" customHeight="1">
      <c r="A45" s="775" t="s">
        <v>341</v>
      </c>
      <c r="B45" s="243" t="s">
        <v>85</v>
      </c>
      <c r="C45" s="244">
        <f>C46</f>
        <v>3</v>
      </c>
      <c r="D45" s="234">
        <f>C47</f>
        <v>1E-3</v>
      </c>
      <c r="E45" s="235" t="s">
        <v>102</v>
      </c>
      <c r="F45" s="245"/>
      <c r="G45" s="246" t="s">
        <v>434</v>
      </c>
    </row>
    <row r="46" spans="1:7" s="213" customFormat="1" ht="13.5" customHeight="1">
      <c r="A46" s="778" t="s">
        <v>349</v>
      </c>
      <c r="B46" s="247" t="s">
        <v>427</v>
      </c>
      <c r="C46" s="248">
        <f>ROUND((C33+C39)*F27,0)</f>
        <v>3</v>
      </c>
      <c r="D46" s="262"/>
      <c r="E46" s="235"/>
      <c r="F46" s="245"/>
      <c r="G46" s="246"/>
    </row>
    <row r="47" spans="1:7" s="213" customFormat="1" ht="13.5" customHeight="1">
      <c r="A47" s="778" t="s">
        <v>347</v>
      </c>
      <c r="B47" s="247" t="s">
        <v>429</v>
      </c>
      <c r="C47" s="237">
        <f>ROUND(C40*F27,4)</f>
        <v>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62</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37</v>
      </c>
      <c r="D51" s="231"/>
      <c r="E51" s="231"/>
      <c r="F51" s="263"/>
      <c r="G51" s="233" t="s">
        <v>37</v>
      </c>
    </row>
    <row r="52" spans="1:7" s="207" customFormat="1" ht="16.5" thickBot="1">
      <c r="A52" s="264" t="s">
        <v>38</v>
      </c>
      <c r="B52" s="265"/>
      <c r="C52" s="266">
        <f ca="1">C31+C51</f>
        <v>24850</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00" t="s">
        <v>2838</v>
      </c>
      <c r="B1" s="3900"/>
      <c r="C1" s="3900"/>
      <c r="D1" s="3900"/>
      <c r="E1" s="3900"/>
      <c r="F1" s="3900"/>
      <c r="G1" s="3901"/>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898" t="s">
        <v>2865</v>
      </c>
      <c r="B3" s="3224"/>
      <c r="C3" s="3225" t="s">
        <v>2808</v>
      </c>
      <c r="D3" s="3225" t="s">
        <v>2866</v>
      </c>
      <c r="E3" s="3225" t="s">
        <v>2810</v>
      </c>
      <c r="F3" s="3225" t="s">
        <v>2867</v>
      </c>
      <c r="G3" s="3225" t="s">
        <v>2628</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899"/>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02" t="s">
        <v>3180</v>
      </c>
      <c r="B1" s="3902"/>
    </row>
    <row r="2" spans="1:7" ht="14.25" thickBot="1">
      <c r="A2" s="3249"/>
      <c r="B2" s="3249"/>
    </row>
    <row r="3" spans="1:7" ht="14.25" thickBot="1">
      <c r="A3" s="3249"/>
      <c r="B3" s="3249"/>
      <c r="C3" s="3250" t="s">
        <v>2808</v>
      </c>
      <c r="D3" s="3250" t="s">
        <v>2866</v>
      </c>
      <c r="E3" s="3250" t="s">
        <v>2810</v>
      </c>
      <c r="F3" s="3250" t="s">
        <v>2867</v>
      </c>
      <c r="G3" s="3250" t="s">
        <v>2628</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4"/>
  </cols>
  <sheetData>
    <row r="1" spans="1:6" ht="15">
      <c r="A1" s="3903" t="s">
        <v>3231</v>
      </c>
      <c r="B1" s="3903"/>
      <c r="C1" s="3903"/>
      <c r="D1" s="3903"/>
      <c r="E1" s="3903"/>
      <c r="F1" s="3904"/>
    </row>
    <row r="2" spans="1:6" ht="15">
      <c r="A2" s="3285" t="s">
        <v>3232</v>
      </c>
      <c r="B2" s="3286"/>
      <c r="C2" s="3286"/>
      <c r="D2" s="3286"/>
      <c r="E2" s="3286"/>
      <c r="F2" s="3286"/>
    </row>
    <row r="3" spans="1:6" ht="15">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5">
        <f>基准地价修正!G23</f>
        <v>45097</v>
      </c>
      <c r="B1" s="3204" t="s">
        <v>2837</v>
      </c>
      <c r="C1" s="3205"/>
      <c r="D1" s="3205"/>
      <c r="E1" s="3205"/>
      <c r="F1" s="3205"/>
      <c r="G1" s="3205"/>
      <c r="H1" s="3205"/>
      <c r="I1" s="3205"/>
      <c r="J1" s="3159"/>
      <c r="K1" s="3205" t="s">
        <v>454</v>
      </c>
      <c r="L1" s="3205"/>
      <c r="M1" s="3205"/>
      <c r="N1" s="3205"/>
      <c r="O1" s="3205"/>
      <c r="P1" s="3205"/>
      <c r="Q1" s="3159"/>
      <c r="R1" s="3905" t="s">
        <v>456</v>
      </c>
      <c r="S1" s="3906"/>
      <c r="T1" s="3906"/>
      <c r="U1" s="3906"/>
      <c r="V1" s="3906"/>
      <c r="W1" s="3906"/>
      <c r="X1" s="3159"/>
      <c r="Y1" s="3905" t="s">
        <v>457</v>
      </c>
      <c r="Z1" s="3906"/>
      <c r="AA1" s="3906"/>
      <c r="AB1" s="3906"/>
      <c r="AC1" s="3906"/>
      <c r="AD1" s="3906"/>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3366</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3367</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3365</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3368</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3369</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3361</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3352</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3363</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905" t="s">
        <v>2825</v>
      </c>
      <c r="S21" s="3906"/>
      <c r="T21" s="3906"/>
      <c r="U21" s="3906"/>
      <c r="V21" s="3906"/>
      <c r="W21" s="3906"/>
      <c r="X21" s="3159"/>
      <c r="Y21" s="3905" t="s">
        <v>2826</v>
      </c>
      <c r="Z21" s="3906"/>
      <c r="AA21" s="3906"/>
      <c r="AB21" s="3906"/>
      <c r="AC21" s="3906"/>
      <c r="AD21" s="3906"/>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3366</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1.0344</v>
      </c>
      <c r="T25" s="3177">
        <f>ROUND(IF([3]项目基本情况!$B$8="出让",SUMPRODUCT(PRODUCT(1+M25:M$36)),SUMPRODUCT(PRODUCT(1+M25:M$35))),4)</f>
        <v>1.0224</v>
      </c>
      <c r="U25" s="3177">
        <f>ROUND(IF([3]项目基本情况!$B$8="出让",SUMPRODUCT(PRODUCT(1+N25:N$36)),SUMPRODUCT(PRODUCT(1+N25:N$35))),4)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3367</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1.0344</v>
      </c>
      <c r="T26" s="3177">
        <f>ROUND(IF([3]项目基本情况!$B$8="出让",SUMPRODUCT(PRODUCT(1+M26:M$36)),SUMPRODUCT(PRODUCT(1+M26:M$35))),4)</f>
        <v>1.0224</v>
      </c>
      <c r="U26" s="3177">
        <f>ROUND(IF([3]项目基本情况!$B$8="出让",SUMPRODUCT(PRODUCT(1+N26:N$36)),SUMPRODUCT(PRODUCT(1+N26:N$35))),4)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3365</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1.0344</v>
      </c>
      <c r="T27" s="3177">
        <f>ROUND(IF([3]项目基本情况!$B$8="出让",SUMPRODUCT(PRODUCT(1+M27:M$36)),SUMPRODUCT(PRODUCT(1+M27:M$35))),4)</f>
        <v>1.0224</v>
      </c>
      <c r="U27" s="3177">
        <f>ROUND(IF([3]项目基本情况!$B$8="出让",SUMPRODUCT(PRODUCT(1+N27:N$36)),SUMPRODUCT(PRODUCT(1+N27:N$35))),4)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3368</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ROUND(IF([3]项目基本情况!$B$8="出让",SUMPRODUCT(PRODUCT(1+L28:L$36)),SUMPRODUCT(PRODUCT(1+L28:L$35))),4)</f>
        <v>1.0344</v>
      </c>
      <c r="T28" s="3186">
        <f>ROUND(IF([3]项目基本情况!$B$8="出让",SUMPRODUCT(PRODUCT(1+M28:M$36)),SUMPRODUCT(PRODUCT(1+M28:M$35))),4)</f>
        <v>1.0224</v>
      </c>
      <c r="U28" s="3186">
        <f>ROUND(IF([3]项目基本情况!$B$8="出让",SUMPRODUCT(PRODUCT(1+N28:N$36)),SUMPRODUCT(PRODUCT(1+N28:N$35))),4)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3369</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3362</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3352</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12" t="s">
        <v>452</v>
      </c>
      <c r="C1" s="3912"/>
      <c r="D1" s="3912"/>
      <c r="E1" s="3912"/>
      <c r="F1" s="3912"/>
      <c r="G1" s="3911" t="s">
        <v>453</v>
      </c>
      <c r="H1" s="3911"/>
      <c r="I1" s="3911"/>
      <c r="J1" s="3911"/>
      <c r="K1" s="3911"/>
      <c r="L1" s="3911"/>
      <c r="N1" s="3911" t="s">
        <v>454</v>
      </c>
      <c r="O1" s="3911"/>
      <c r="P1" s="3911"/>
      <c r="Q1" s="3911"/>
      <c r="S1" s="3911" t="s">
        <v>455</v>
      </c>
      <c r="T1" s="3911"/>
      <c r="U1" s="3911"/>
      <c r="V1" s="3911"/>
      <c r="X1" s="3910" t="s">
        <v>456</v>
      </c>
      <c r="Y1" s="3911"/>
      <c r="Z1" s="3911"/>
      <c r="AA1" s="3911"/>
      <c r="AB1" s="3911"/>
      <c r="AD1" s="3910" t="s">
        <v>457</v>
      </c>
      <c r="AE1" s="3911"/>
      <c r="AF1" s="3911"/>
      <c r="AG1" s="3911"/>
      <c r="AH1" s="391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0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0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0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1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91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0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0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1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1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0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0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0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0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0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0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0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0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0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0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0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1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1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1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1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0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0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0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0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0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0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0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0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0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0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0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0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0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0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0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0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0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0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0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0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0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0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0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0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0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0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0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0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0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0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0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0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0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0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0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0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0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0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0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0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0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0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0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0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44795</v>
      </c>
      <c r="D13" s="2816">
        <v>3.65</v>
      </c>
      <c r="E13" s="2816">
        <f>D13</f>
        <v>3.65</v>
      </c>
      <c r="F13" s="2816">
        <f>D13</f>
        <v>3.65</v>
      </c>
      <c r="G13" s="2816">
        <f>D13</f>
        <v>3.65</v>
      </c>
      <c r="H13" s="2816">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44701</v>
      </c>
      <c r="D14" s="2811">
        <v>3.7</v>
      </c>
      <c r="E14" s="2811">
        <f>D14</f>
        <v>3.7</v>
      </c>
      <c r="F14" s="2811">
        <f>D14</f>
        <v>3.7</v>
      </c>
      <c r="G14" s="2811">
        <f>D14</f>
        <v>3.7</v>
      </c>
      <c r="H14" s="2811">
        <v>4.45</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44581</v>
      </c>
      <c r="D15" s="2811">
        <v>3.7</v>
      </c>
      <c r="E15" s="2811">
        <f>D15</f>
        <v>3.7</v>
      </c>
      <c r="F15" s="2811">
        <f>D15</f>
        <v>3.7</v>
      </c>
      <c r="G15" s="2811">
        <f>D15</f>
        <v>3.7</v>
      </c>
      <c r="H15" s="2811">
        <v>4.5999999999999996</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2">
        <v>44550</v>
      </c>
      <c r="D16" s="2811">
        <v>3.8</v>
      </c>
      <c r="E16" s="2811">
        <f>D16</f>
        <v>3.8</v>
      </c>
      <c r="F16" s="2811">
        <f>D16</f>
        <v>3.8</v>
      </c>
      <c r="G16" s="2811">
        <f>D16</f>
        <v>3.8</v>
      </c>
      <c r="H16" s="2811">
        <v>4.6500000000000004</v>
      </c>
      <c r="I16" s="2811"/>
      <c r="J16" s="2816"/>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2">
        <v>43941</v>
      </c>
      <c r="D17" s="2811">
        <v>3.85</v>
      </c>
      <c r="E17" s="2811">
        <v>3.85</v>
      </c>
      <c r="F17" s="2811">
        <v>3.85</v>
      </c>
      <c r="G17" s="2811">
        <v>3.85</v>
      </c>
      <c r="H17" s="2811">
        <v>4.6500000000000004</v>
      </c>
      <c r="I17" s="2811"/>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43789</v>
      </c>
      <c r="D19" s="2811">
        <v>4.1500000000000004</v>
      </c>
      <c r="E19" s="2811">
        <v>4.1500000000000004</v>
      </c>
      <c r="F19" s="2811">
        <v>4.1500000000000004</v>
      </c>
      <c r="G19" s="2811">
        <v>4.1500000000000004</v>
      </c>
      <c r="H19" s="2811">
        <v>4.8</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43728</v>
      </c>
      <c r="D20" s="2811">
        <v>4.2</v>
      </c>
      <c r="E20" s="2811">
        <v>4.2</v>
      </c>
      <c r="F20" s="2811">
        <v>4.2</v>
      </c>
      <c r="G20" s="2811">
        <v>4.2</v>
      </c>
      <c r="H20" s="2811">
        <v>4.8499999999999996</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0" t="s">
        <v>2307</v>
      </c>
      <c r="C21" s="2813">
        <v>43697</v>
      </c>
      <c r="D21" s="2814">
        <v>4.25</v>
      </c>
      <c r="E21" s="2814">
        <v>4.25</v>
      </c>
      <c r="F21" s="2814">
        <v>4.25</v>
      </c>
      <c r="G21" s="2814">
        <v>4.25</v>
      </c>
      <c r="H21" s="2814">
        <v>4.8499999999999996</v>
      </c>
      <c r="I21" s="2814"/>
      <c r="J21" s="2814"/>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7"/>
      <c r="B22" s="2818"/>
      <c r="C22" s="2819">
        <v>42301</v>
      </c>
      <c r="D22" s="2820">
        <v>4.3499999999999996</v>
      </c>
      <c r="E22" s="2820">
        <v>4.3499999999999996</v>
      </c>
      <c r="F22" s="2820">
        <v>4.75</v>
      </c>
      <c r="G22" s="2820">
        <v>4.75</v>
      </c>
      <c r="H22" s="2820">
        <v>4.9000000000000004</v>
      </c>
      <c r="I22" s="2820"/>
      <c r="J22" s="2820"/>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54" t="str">
        <f>IF(项目基本情况!B9="房地产市场价值","估价结果一览表","结果表-2")</f>
        <v>估价结果一览表</v>
      </c>
      <c r="B1" s="3554"/>
      <c r="C1" s="3554"/>
      <c r="D1" s="3554"/>
      <c r="E1" s="3554"/>
      <c r="F1" s="3554"/>
      <c r="G1" s="3554"/>
      <c r="H1" s="3554"/>
      <c r="I1" s="3554"/>
    </row>
    <row r="2" spans="1:9" ht="30" customHeight="1" thickTop="1">
      <c r="A2" s="3555" t="s">
        <v>928</v>
      </c>
      <c r="B2" s="3555" t="s">
        <v>929</v>
      </c>
      <c r="C2" s="3555" t="s">
        <v>930</v>
      </c>
      <c r="D2" s="3555" t="str">
        <f>结果表!D116</f>
        <v>出让国有建设用地使用权价值</v>
      </c>
      <c r="E2" s="3555"/>
      <c r="F2" s="3555" t="str">
        <f>结果表!F116</f>
        <v>在建建筑物价值</v>
      </c>
      <c r="G2" s="3555"/>
      <c r="H2" s="3555" t="str">
        <f>IF(项目基本情况!B9="房地产市场价值","房地产市场价值","房地产价值")</f>
        <v>房地产市场价值</v>
      </c>
      <c r="I2" s="3555"/>
    </row>
    <row r="3" spans="1:9" ht="15">
      <c r="A3" s="3550"/>
      <c r="B3" s="3550"/>
      <c r="C3" s="3550"/>
      <c r="D3" s="852" t="s">
        <v>925</v>
      </c>
      <c r="E3" s="852" t="s">
        <v>931</v>
      </c>
      <c r="F3" s="852" t="s">
        <v>925</v>
      </c>
      <c r="G3" s="852" t="s">
        <v>926</v>
      </c>
      <c r="H3" s="852" t="s">
        <v>925</v>
      </c>
      <c r="I3" s="852" t="s">
        <v>926</v>
      </c>
    </row>
    <row r="4" spans="1:9" ht="15">
      <c r="A4" s="1502" t="str">
        <f>项目基本情况!S2</f>
        <v>北京市房地产</v>
      </c>
      <c r="B4" s="852">
        <f>项目基本情况!C17</f>
        <v>135.71</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0" t="s">
        <v>927</v>
      </c>
      <c r="B5" s="3550"/>
      <c r="C5" s="3550"/>
      <c r="D5" s="3550" t="e">
        <f ca="1">结果表!D119</f>
        <v>#REF!</v>
      </c>
      <c r="E5" s="3550"/>
      <c r="F5" s="3550" t="e">
        <f ca="1">结果表!F119</f>
        <v>#REF!</v>
      </c>
      <c r="G5" s="3550"/>
      <c r="H5" s="3550" t="e">
        <f ca="1">结果表!H119</f>
        <v>#REF!</v>
      </c>
      <c r="I5" s="3550"/>
    </row>
    <row r="6" spans="1:9" ht="15.75">
      <c r="A6" s="3549" t="str">
        <f>结果表!A120</f>
        <v/>
      </c>
      <c r="B6" s="3549"/>
      <c r="C6" s="3549"/>
      <c r="D6" s="3549">
        <f>结果表!D120</f>
        <v>0</v>
      </c>
      <c r="E6" s="3549"/>
      <c r="F6" s="3549"/>
      <c r="G6" s="3549"/>
      <c r="H6" s="3549"/>
      <c r="I6" s="3549"/>
    </row>
    <row r="7" spans="1:9" ht="15">
      <c r="A7" s="3550" t="s">
        <v>927</v>
      </c>
      <c r="B7" s="3550"/>
      <c r="C7" s="3550"/>
      <c r="D7" s="3551" t="str">
        <f>结果表!D121</f>
        <v>零元整</v>
      </c>
      <c r="E7" s="3552"/>
      <c r="F7" s="3552"/>
      <c r="G7" s="3552"/>
      <c r="H7" s="3552"/>
      <c r="I7" s="3553"/>
    </row>
    <row r="8" spans="1:9" ht="15.75">
      <c r="A8" s="3549" t="str">
        <f>结果表!A122</f>
        <v/>
      </c>
      <c r="B8" s="3549"/>
      <c r="C8" s="3549"/>
      <c r="D8" s="3549" t="e">
        <f ca="1">结果表!D122</f>
        <v>#REF!</v>
      </c>
      <c r="E8" s="3549"/>
      <c r="F8" s="3549"/>
      <c r="G8" s="3549"/>
      <c r="H8" s="3549"/>
      <c r="I8" s="3549"/>
    </row>
    <row r="9" spans="1:9" ht="15">
      <c r="A9" s="3550" t="s">
        <v>927</v>
      </c>
      <c r="B9" s="3550"/>
      <c r="C9" s="3550"/>
      <c r="D9" s="3550" t="e">
        <f ca="1">结果表!D123</f>
        <v>#REF!</v>
      </c>
      <c r="E9" s="3550"/>
      <c r="F9" s="3550"/>
      <c r="G9" s="3550"/>
      <c r="H9" s="3550"/>
      <c r="I9" s="3550"/>
    </row>
    <row r="10" spans="1:9" ht="15.75">
      <c r="A10" s="3549" t="str">
        <f>结果表!A124</f>
        <v/>
      </c>
      <c r="B10" s="3549"/>
      <c r="C10" s="3549"/>
      <c r="D10" s="3549" t="str">
        <f>结果表!D124</f>
        <v>——</v>
      </c>
      <c r="E10" s="3549"/>
      <c r="F10" s="3549"/>
      <c r="G10" s="3549"/>
      <c r="H10" s="3549"/>
      <c r="I10" s="3549"/>
    </row>
    <row r="11" spans="1:9" ht="15">
      <c r="A11" s="3550" t="s">
        <v>927</v>
      </c>
      <c r="B11" s="3550"/>
      <c r="C11" s="3550"/>
      <c r="D11" s="3550" t="e">
        <f>结果表!D125</f>
        <v>#VALUE!</v>
      </c>
      <c r="E11" s="3550"/>
      <c r="F11" s="3550"/>
      <c r="G11" s="3550"/>
      <c r="H11" s="3550"/>
      <c r="I11" s="3550"/>
    </row>
    <row r="12" spans="1:9" ht="15.75">
      <c r="A12" s="3549" t="str">
        <f>结果表!A126</f>
        <v/>
      </c>
      <c r="B12" s="3549"/>
      <c r="C12" s="3549"/>
      <c r="D12" s="3549" t="str">
        <f>结果表!D126</f>
        <v>——</v>
      </c>
      <c r="E12" s="3549"/>
      <c r="F12" s="3549"/>
      <c r="G12" s="3549"/>
      <c r="H12" s="3549"/>
      <c r="I12" s="3549"/>
    </row>
    <row r="13" spans="1:9" ht="15.75" thickBot="1">
      <c r="A13" s="3547" t="s">
        <v>927</v>
      </c>
      <c r="B13" s="3547"/>
      <c r="C13" s="3547"/>
      <c r="D13" s="3547" t="e">
        <f>结果表!D127</f>
        <v>#VALUE!</v>
      </c>
      <c r="E13" s="3547"/>
      <c r="F13" s="3547"/>
      <c r="G13" s="3547"/>
      <c r="H13" s="3547"/>
      <c r="I13" s="3547"/>
    </row>
    <row r="14" spans="1:9" ht="15" thickTop="1">
      <c r="A14" s="3548" t="s">
        <v>932</v>
      </c>
      <c r="B14" s="3548"/>
      <c r="C14" s="3548"/>
      <c r="D14" s="3548"/>
      <c r="E14" s="3548"/>
      <c r="F14" s="3548"/>
      <c r="G14" s="3548"/>
      <c r="H14" s="3548"/>
      <c r="I14" s="354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62" t="s">
        <v>949</v>
      </c>
      <c r="B1" s="3562"/>
      <c r="C1" s="3562"/>
      <c r="D1" s="3562"/>
    </row>
    <row r="2" spans="1:4" ht="18">
      <c r="A2" s="3563" t="s">
        <v>933</v>
      </c>
      <c r="B2" s="3563"/>
      <c r="C2" s="3563"/>
      <c r="D2" s="3563"/>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63" t="s">
        <v>939</v>
      </c>
      <c r="B6" s="3563"/>
      <c r="C6" s="3563"/>
      <c r="D6" s="3563"/>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64" t="s">
        <v>942</v>
      </c>
      <c r="B11" s="3556"/>
      <c r="C11" s="3556"/>
      <c r="D11" s="3556"/>
    </row>
    <row r="12" spans="1:4" ht="15.75">
      <c r="A12" s="3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1"/>
      <c r="C12" s="3561"/>
      <c r="D12" s="3561"/>
    </row>
    <row r="13" spans="1:4" ht="30" customHeight="1">
      <c r="A13" s="3556" t="str">
        <f>IF(项目基本情况!B8="抵押","3.抵押双方在办理抵押登记手续时，应使用本公司出具的正式《房地产评估报告》，特提醒报告使用者注意。","——")</f>
        <v>——</v>
      </c>
      <c r="B13" s="3561"/>
      <c r="C13" s="3561"/>
      <c r="D13" s="3561"/>
    </row>
    <row r="14" spans="1:4" ht="15.75" customHeight="1">
      <c r="A14" s="3556" t="str">
        <f>IF(项目基本情况!B8="抵押","4.本次评估估价师所知悉的法定优先受偿款情况说明如下：","——")</f>
        <v>——</v>
      </c>
      <c r="B14" s="3561"/>
      <c r="C14" s="3561"/>
      <c r="D14" s="3561"/>
    </row>
    <row r="15" spans="1:4" ht="42" customHeight="1">
      <c r="A15" s="3556" t="str">
        <f>IF(项目基本情况!B8="抵押","（1）"&amp;CONCATENATE(项目基本情况!L20,项目基本情况!L21,项目基本情况!L22),"——")</f>
        <v>——</v>
      </c>
      <c r="B15" s="3556"/>
      <c r="C15" s="3556"/>
      <c r="D15" s="3556"/>
    </row>
    <row r="16" spans="1:4" ht="30" customHeight="1">
      <c r="A16" s="3558" t="s">
        <v>943</v>
      </c>
      <c r="B16" s="3558"/>
      <c r="C16" s="3558"/>
      <c r="D16" s="3558"/>
    </row>
    <row r="17" spans="1:4" ht="144" customHeight="1">
      <c r="A17" s="3558" t="s">
        <v>944</v>
      </c>
      <c r="B17" s="3558"/>
      <c r="C17" s="3558"/>
      <c r="D17" s="3558"/>
    </row>
    <row r="18" spans="1:4" ht="15.75" customHeight="1">
      <c r="A18" s="3556" t="str">
        <f>IF(项目基本情况!B8="抵押",结果表!K120,"——")</f>
        <v>——</v>
      </c>
      <c r="B18" s="3556"/>
      <c r="C18" s="3556"/>
      <c r="D18" s="3556"/>
    </row>
    <row r="19" spans="1:4" ht="46.5" customHeight="1">
      <c r="A19" s="3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6"/>
      <c r="C19" s="3556"/>
      <c r="D19" s="3556"/>
    </row>
    <row r="20" spans="1:4" ht="57.75" customHeight="1">
      <c r="A20" s="3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6"/>
      <c r="C20" s="3556"/>
      <c r="D20" s="3556"/>
    </row>
    <row r="21" spans="1:4" ht="57.75" customHeight="1">
      <c r="A21" s="3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9"/>
      <c r="C21" s="3559"/>
      <c r="D21" s="3559"/>
    </row>
    <row r="22" spans="1:4" ht="18.75" customHeight="1">
      <c r="A22" s="3560" t="s">
        <v>945</v>
      </c>
      <c r="B22" s="3560"/>
      <c r="C22" s="3560"/>
      <c r="D22" s="356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57">
        <v>42551</v>
      </c>
      <c r="D31" s="35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0" t="s">
        <v>956</v>
      </c>
      <c r="B15" s="3565" t="s">
        <v>109</v>
      </c>
      <c r="C15" s="3566"/>
    </row>
    <row r="16" spans="1:7" ht="13.5">
      <c r="A16" s="3571"/>
      <c r="B16" s="3565" t="s">
        <v>42</v>
      </c>
      <c r="C16" s="3566"/>
    </row>
    <row r="17" spans="1:3" ht="13.5">
      <c r="A17" s="3571"/>
      <c r="B17" s="3568" t="s">
        <v>957</v>
      </c>
      <c r="C17" s="1529" t="s">
        <v>956</v>
      </c>
    </row>
    <row r="18" spans="1:3" ht="13.5">
      <c r="A18" s="3571"/>
      <c r="B18" s="3568"/>
      <c r="C18" s="1529" t="s">
        <v>958</v>
      </c>
    </row>
    <row r="19" spans="1:3" ht="13.5">
      <c r="A19" s="3571"/>
      <c r="B19" s="3568"/>
      <c r="C19" s="1529" t="s">
        <v>959</v>
      </c>
    </row>
    <row r="20" spans="1:3" ht="13.5">
      <c r="A20" s="3572"/>
      <c r="B20" s="3567" t="s">
        <v>960</v>
      </c>
      <c r="C20" s="3566"/>
    </row>
    <row r="21" spans="1:3" ht="13.5">
      <c r="A21" s="1530" t="s">
        <v>961</v>
      </c>
      <c r="B21" s="1531"/>
      <c r="C21" s="1532"/>
    </row>
    <row r="22" spans="1:3" ht="13.5">
      <c r="A22" s="3569" t="s">
        <v>962</v>
      </c>
      <c r="B22" s="3567" t="s">
        <v>963</v>
      </c>
      <c r="C22" s="3566"/>
    </row>
    <row r="23" spans="1:3" ht="13.5">
      <c r="A23" s="3569"/>
      <c r="B23" s="3567" t="s">
        <v>964</v>
      </c>
      <c r="C23" s="3566"/>
    </row>
    <row r="24" spans="1:3" ht="13.5">
      <c r="A24" s="3569"/>
      <c r="B24" s="3567" t="s">
        <v>965</v>
      </c>
      <c r="C24" s="3566"/>
    </row>
    <row r="25" spans="1:3" ht="13.5">
      <c r="A25" s="3569"/>
      <c r="B25" s="3568" t="s">
        <v>966</v>
      </c>
      <c r="C25" s="1529" t="s">
        <v>967</v>
      </c>
    </row>
    <row r="26" spans="1:3" ht="13.5">
      <c r="A26" s="3569"/>
      <c r="B26" s="3568"/>
      <c r="C26" s="1529" t="s">
        <v>968</v>
      </c>
    </row>
    <row r="27" spans="1:3" ht="13.5">
      <c r="A27" s="3569"/>
      <c r="B27" s="3568"/>
      <c r="C27" s="1529" t="s">
        <v>969</v>
      </c>
    </row>
    <row r="28" spans="1:3" ht="13.5">
      <c r="A28" s="3569"/>
      <c r="B28" s="3568"/>
      <c r="C28" s="1529" t="s">
        <v>970</v>
      </c>
    </row>
    <row r="29" spans="1:3" ht="13.5">
      <c r="A29" s="3569"/>
      <c r="B29" s="3568"/>
      <c r="C29" s="1529" t="s">
        <v>971</v>
      </c>
    </row>
    <row r="30" spans="1:3" ht="13.5">
      <c r="A30" s="3569"/>
      <c r="B30" s="3568"/>
      <c r="C30" s="1529" t="s">
        <v>972</v>
      </c>
    </row>
    <row r="31" spans="1:3" ht="13.5">
      <c r="A31" s="3569"/>
      <c r="B31" s="3568"/>
      <c r="C31" s="1529" t="s">
        <v>973</v>
      </c>
    </row>
    <row r="32" spans="1:3" ht="13.5">
      <c r="A32" s="3569"/>
      <c r="B32" s="3568"/>
      <c r="C32" s="1529" t="s">
        <v>974</v>
      </c>
    </row>
    <row r="33" spans="1:3" ht="13.5">
      <c r="A33" s="3569"/>
      <c r="B33" s="356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45117</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2434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73" t="s">
        <v>2157</v>
      </c>
      <c r="B17" s="3573"/>
      <c r="C17" s="3573"/>
      <c r="D17" s="3573"/>
      <c r="E17" s="3573"/>
      <c r="F17" s="3573"/>
      <c r="G17" s="3573"/>
      <c r="H17" s="3573"/>
    </row>
    <row r="18" spans="1:8" ht="24" customHeight="1">
      <c r="A18" s="3574" t="s">
        <v>2158</v>
      </c>
      <c r="B18" s="3574"/>
      <c r="C18" s="3574"/>
      <c r="D18" s="2339"/>
      <c r="E18" s="3575" t="s">
        <v>2159</v>
      </c>
      <c r="F18" s="3574"/>
      <c r="G18" s="3574"/>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结果一览表-滑石道</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2023-07-10T02:18:02Z</dcterms:modified>
</cp:coreProperties>
</file>