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2026-1-0017北京市昌平区英才北三街16号院2号楼4层409、411、5层501、502、507、508、511、904共八套办公用房房地产抵押价值评估\F05-F02替换一套\最终\"/>
    </mc:Choice>
  </mc:AlternateContent>
  <xr:revisionPtr revIDLastSave="0" documentId="13_ncr:1_{CB2063B0-C344-4BAA-9D42-0B3929332055}"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2)" sheetId="88" r:id="rId12"/>
    <sheet name="Sheet1" sheetId="86"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fei" sheetId="69" state="hidden" r:id="rId22"/>
    <sheet name="收益法" sheetId="15" state="hidden" r:id="rId23"/>
    <sheet name="比较法-住宅" sheetId="21" state="hidden" r:id="rId24"/>
    <sheet name="中指成交" sheetId="85" r:id="rId25"/>
    <sheet name="比较法-办公" sheetId="34" r:id="rId26"/>
    <sheet name="收益法 (元)" sheetId="81" r:id="rId27"/>
    <sheet name="收益法 (元)fei" sheetId="67" state="hidden" r:id="rId28"/>
    <sheet name="收益法-酒店模型" sheetId="77" state="hidden" r:id="rId29"/>
    <sheet name="收益法（汇总）" sheetId="70" state="hidden" r:id="rId30"/>
    <sheet name="典型户型修正" sheetId="31"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 sheetId="80" state="hidden" r:id="rId40"/>
    <sheet name="基准地价修正" sheetId="43" state="hidden" r:id="rId41"/>
    <sheet name="租金" sheetId="87"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3" hidden="1">'比较法-住宅'!$A$1:$L$49</definedName>
    <definedName name="_xlnm._FilterDatabase" localSheetId="43" hidden="1">成本逼近法!$A$2:$G$33</definedName>
    <definedName name="_xlnm._FilterDatabase" localSheetId="14"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3" hidden="1">项目基本情况!$A$42:$N$42</definedName>
    <definedName name="_xlnm.Print_Area" localSheetId="12">Sheet1!$A$1:$H$24</definedName>
    <definedName name="_xlnm.Print_Area" localSheetId="11">'Sheet1 (2)'!$A$1:$J$23</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43">成本逼近法!$A$1:$G$36</definedName>
    <definedName name="_xlnm.Print_Area" localSheetId="20">成本法!$A$1:$G$64</definedName>
    <definedName name="_xlnm.Print_Area" localSheetId="39">'成本法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9">结果表!$A$1:$I$127</definedName>
    <definedName name="_xlnm.Print_Area" localSheetId="42">'剩余法（现房）'!$A$1:$K$34</definedName>
    <definedName name="_xlnm.Print_Area" localSheetId="22">收益法!$A$1:$F$49,收益法!$H$3:$M$33,收益法!$A$51:$F$79,收益法!$I$51:$N$70</definedName>
    <definedName name="_xlnm.Print_Area" localSheetId="26">'收益法 (元)'!$A$1:$F$49,'收益法 (元)'!$H$3:$M$33,'收益法 (元)'!$A$51:$F$79,'收益法 (元)'!$I$51:$N$70</definedName>
    <definedName name="_xlnm.Print_Area" localSheetId="27">'收益法 (元)fei'!$A$1:$F$43,'收益法 (元)fei'!$H$3:$M$29,'收益法 (元)fei'!$A$45:$F$71,'收益法 (元)fei'!$I$46:$N$65</definedName>
    <definedName name="_xlnm.Print_Area" localSheetId="29">'收益法（汇总）'!$A$1:$F$13</definedName>
    <definedName name="_xlnm.Print_Area" localSheetId="15">'数据-汇总表'!$A$1:$P$32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C20" i="9" l="1"/>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6" i="1"/>
  <c r="F20" i="81"/>
  <c r="C19" i="81"/>
  <c r="C14" i="81"/>
  <c r="C13" i="81"/>
  <c r="C24" i="81"/>
  <c r="F27" i="81"/>
  <c r="F25" i="81"/>
  <c r="L53" i="81"/>
  <c r="J58" i="81"/>
  <c r="F1" i="81"/>
  <c r="AE6"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R25" i="31"/>
  <c r="T25" i="31"/>
  <c r="D15" i="74"/>
  <c r="G15" i="74"/>
  <c r="R26" i="31"/>
  <c r="T26" i="31"/>
  <c r="D16" i="74"/>
  <c r="G16" i="74"/>
  <c r="R27" i="31"/>
  <c r="T27" i="31"/>
  <c r="D17" i="74"/>
  <c r="G17" i="74"/>
  <c r="R28" i="31"/>
  <c r="T28" i="31"/>
  <c r="D18" i="74"/>
  <c r="G18" i="74"/>
  <c r="R29" i="31"/>
  <c r="T29" i="31"/>
  <c r="D19" i="74"/>
  <c r="G19" i="74"/>
  <c r="R30" i="31"/>
  <c r="T30" i="31"/>
  <c r="D20" i="74"/>
  <c r="G20" i="74"/>
  <c r="T24" i="31"/>
  <c r="D14" i="74"/>
  <c r="G14" i="74"/>
  <c r="A15" i="74"/>
  <c r="B15" i="74"/>
  <c r="A16" i="74"/>
  <c r="B16" i="74"/>
  <c r="A17" i="74"/>
  <c r="B17" i="74"/>
  <c r="A18" i="74"/>
  <c r="B18" i="74"/>
  <c r="A19" i="74"/>
  <c r="B19" i="74"/>
  <c r="A20" i="74"/>
  <c r="B20" i="74"/>
  <c r="B14" i="74"/>
  <c r="A14" i="74"/>
  <c r="G25" i="31"/>
  <c r="I25" i="31"/>
  <c r="G26" i="31"/>
  <c r="I26" i="31"/>
  <c r="G27" i="31"/>
  <c r="I27" i="31"/>
  <c r="G28" i="31"/>
  <c r="I28" i="31"/>
  <c r="G29" i="31"/>
  <c r="I29" i="31"/>
  <c r="E30" i="31"/>
  <c r="G30" i="31"/>
  <c r="I30" i="31"/>
  <c r="T22" i="31"/>
  <c r="B30" i="31"/>
  <c r="A30" i="31"/>
  <c r="D105" i="34"/>
  <c r="E105" i="34"/>
  <c r="F105" i="34"/>
  <c r="G105" i="34"/>
  <c r="H105" i="34"/>
  <c r="I105" i="34"/>
  <c r="J105" i="34"/>
  <c r="K105" i="34"/>
  <c r="E104" i="34"/>
  <c r="F104" i="34"/>
  <c r="G104" i="34"/>
  <c r="H104" i="34"/>
  <c r="I104" i="34"/>
  <c r="J104" i="34"/>
  <c r="K104" i="34"/>
  <c r="K4" i="31"/>
  <c r="K3" i="31"/>
  <c r="E34" i="34"/>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4" i="34"/>
  <c r="F34" i="34"/>
  <c r="AA34" i="34"/>
  <c r="B71" i="34"/>
  <c r="F12" i="34"/>
  <c r="AA12" i="34"/>
  <c r="D112" i="34"/>
  <c r="E112" i="34"/>
  <c r="F112" i="34"/>
  <c r="N6" i="1"/>
  <c r="C37" i="34"/>
  <c r="E37" i="34"/>
  <c r="F37" i="34"/>
  <c r="AA37" i="34"/>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R49" i="34"/>
  <c r="G34" i="34"/>
  <c r="H34" i="34"/>
  <c r="AB34" i="34"/>
  <c r="H12" i="34"/>
  <c r="AB12" i="34"/>
  <c r="G37" i="34"/>
  <c r="H37" i="34"/>
  <c r="AB37" i="34"/>
  <c r="G48" i="34"/>
  <c r="T48" i="34"/>
  <c r="G7" i="34"/>
  <c r="H7" i="34"/>
  <c r="AB7" i="34"/>
  <c r="H8" i="34"/>
  <c r="AB8" i="34"/>
  <c r="H9" i="34"/>
  <c r="AB9" i="34"/>
  <c r="H10" i="34"/>
  <c r="AB10" i="34"/>
  <c r="H11" i="34"/>
  <c r="AB11"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I34" i="34"/>
  <c r="J34" i="34"/>
  <c r="AC34" i="34"/>
  <c r="J12" i="34"/>
  <c r="AC12" i="34"/>
  <c r="G112" i="34"/>
  <c r="I37" i="34"/>
  <c r="J37" i="34"/>
  <c r="AC37" i="34"/>
  <c r="I48" i="34"/>
  <c r="V48" i="34"/>
  <c r="I7" i="34"/>
  <c r="J7" i="34"/>
  <c r="AC7" i="34"/>
  <c r="J8" i="34"/>
  <c r="AC8" i="34"/>
  <c r="J9" i="34"/>
  <c r="AC9" i="34"/>
  <c r="J10" i="34"/>
  <c r="AC10" i="34"/>
  <c r="J11" i="34"/>
  <c r="AC11"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A6" i="1"/>
  <c r="G1" i="81"/>
  <c r="U6" i="1"/>
  <c r="F19" i="6"/>
  <c r="E19" i="6"/>
  <c r="K6" i="1"/>
  <c r="C1" i="73"/>
  <c r="L1" i="73"/>
  <c r="L6" i="1"/>
  <c r="BQ5" i="3"/>
  <c r="BS5" i="3"/>
  <c r="F28" i="6"/>
  <c r="BR5" i="3"/>
  <c r="BT5" i="3"/>
  <c r="G28" i="6"/>
  <c r="E28" i="6"/>
  <c r="E20" i="6"/>
  <c r="E21" i="6"/>
  <c r="E22" i="6"/>
  <c r="E23" i="6"/>
  <c r="E24" i="6"/>
  <c r="E25" i="6"/>
  <c r="E26" i="6"/>
  <c r="BA5" i="3"/>
  <c r="E27" i="6"/>
  <c r="K19" i="6"/>
  <c r="S6" i="1"/>
  <c r="F33" i="81"/>
  <c r="M6" i="1"/>
  <c r="F35" i="81"/>
  <c r="F36" i="81"/>
  <c r="F37" i="81"/>
  <c r="F38" i="81"/>
  <c r="J1" i="73"/>
  <c r="F13" i="73"/>
  <c r="B22" i="1"/>
  <c r="E1" i="73"/>
  <c r="F41" i="81"/>
  <c r="F39" i="81"/>
  <c r="C46" i="81"/>
  <c r="Y6" i="1"/>
  <c r="B44" i="1"/>
  <c r="F15" i="81"/>
  <c r="F18"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19" i="6"/>
  <c r="L19" i="6"/>
  <c r="M19" i="6"/>
  <c r="I19" i="6"/>
  <c r="H19" i="6"/>
  <c r="R19" i="6"/>
  <c r="B53" i="1"/>
  <c r="F19" i="81"/>
  <c r="E15" i="4"/>
  <c r="F6" i="1"/>
  <c r="M52" i="81"/>
  <c r="J55" i="81"/>
  <c r="J56" i="81"/>
  <c r="E28" i="81"/>
  <c r="F28" i="81"/>
  <c r="C17" i="9"/>
  <c r="D17" i="9"/>
  <c r="C18" i="9"/>
  <c r="D18" i="9"/>
  <c r="B24" i="31"/>
  <c r="H3" i="31"/>
  <c r="D3" i="31"/>
  <c r="F3" i="31"/>
  <c r="E3" i="31"/>
  <c r="D4" i="31"/>
  <c r="B25" i="31"/>
  <c r="C3" i="31"/>
  <c r="C4" i="31"/>
  <c r="C25" i="31"/>
  <c r="D6" i="31"/>
  <c r="E6" i="31"/>
  <c r="F6" i="31"/>
  <c r="E25" i="31"/>
  <c r="K25" i="31"/>
  <c r="M25" i="31"/>
  <c r="O25" i="31"/>
  <c r="D18" i="31"/>
  <c r="Q25" i="31"/>
  <c r="B26" i="31"/>
  <c r="C26" i="31"/>
  <c r="E26" i="31"/>
  <c r="K26" i="31"/>
  <c r="M26" i="31"/>
  <c r="O26" i="31"/>
  <c r="Q26" i="31"/>
  <c r="E4" i="31"/>
  <c r="B27" i="31"/>
  <c r="C27" i="31"/>
  <c r="E27" i="31"/>
  <c r="K27" i="31"/>
  <c r="M27" i="31"/>
  <c r="O27" i="31"/>
  <c r="Q27" i="31"/>
  <c r="B28" i="31"/>
  <c r="C28" i="31"/>
  <c r="E28" i="31"/>
  <c r="K28" i="31"/>
  <c r="M28" i="31"/>
  <c r="O28" i="31"/>
  <c r="Q28" i="31"/>
  <c r="B29" i="31"/>
  <c r="C29" i="31"/>
  <c r="E29" i="31"/>
  <c r="K29" i="31"/>
  <c r="M29" i="31"/>
  <c r="O29" i="31"/>
  <c r="Q29" i="31"/>
  <c r="C30" i="31"/>
  <c r="K30" i="31"/>
  <c r="M30" i="31"/>
  <c r="O30" i="31"/>
  <c r="Q30" i="31"/>
  <c r="B22" i="31"/>
  <c r="U22" i="31"/>
  <c r="N103" i="34"/>
  <c r="I2" i="88"/>
  <c r="G17" i="88"/>
  <c r="F4" i="31"/>
  <c r="G4" i="31"/>
  <c r="H4" i="31"/>
  <c r="I4" i="31"/>
  <c r="J4" i="31"/>
  <c r="A25" i="31"/>
  <c r="A26" i="31"/>
  <c r="A27" i="31"/>
  <c r="A28" i="31"/>
  <c r="A29" i="31"/>
  <c r="A24" i="31"/>
  <c r="C13" i="3"/>
  <c r="G3" i="31"/>
  <c r="I3" i="31"/>
  <c r="J3" i="31"/>
  <c r="F2" i="88"/>
  <c r="F3" i="88"/>
  <c r="F4" i="88"/>
  <c r="F5" i="88"/>
  <c r="F6" i="88"/>
  <c r="F7" i="88"/>
  <c r="F8" i="88"/>
  <c r="F24" i="88"/>
  <c r="C24" i="88"/>
  <c r="H24" i="88"/>
  <c r="G2" i="88"/>
  <c r="H8" i="88"/>
  <c r="H3" i="88"/>
  <c r="H4" i="88"/>
  <c r="H5" i="88"/>
  <c r="H6" i="88"/>
  <c r="H7" i="88"/>
  <c r="H2" i="88"/>
  <c r="G9" i="88"/>
  <c r="E18" i="31"/>
  <c r="BB5" i="3"/>
  <c r="BB10" i="3"/>
  <c r="BC10" i="3"/>
  <c r="BD10" i="3"/>
  <c r="BE10" i="3"/>
  <c r="BF10" i="3"/>
  <c r="BG10" i="3"/>
  <c r="BH10" i="3"/>
  <c r="BI10" i="3"/>
  <c r="BJ10" i="3"/>
  <c r="BK10" i="3"/>
  <c r="BC5" i="3"/>
  <c r="BD5" i="3"/>
  <c r="BE5" i="3"/>
  <c r="BF5" i="3"/>
  <c r="BG5" i="3"/>
  <c r="BH5" i="3"/>
  <c r="BI5" i="3"/>
  <c r="BJ5" i="3"/>
  <c r="BK5" i="3"/>
  <c r="E8" i="6"/>
  <c r="F27" i="6"/>
  <c r="C31" i="31"/>
  <c r="E31" i="31"/>
  <c r="G31" i="31"/>
  <c r="I31" i="31"/>
  <c r="K31" i="31"/>
  <c r="M31" i="31"/>
  <c r="O31" i="31"/>
  <c r="Q31" i="31"/>
  <c r="R31" i="31"/>
  <c r="I5" i="3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AC5" i="3"/>
  <c r="BP5" i="3"/>
  <c r="BN5" i="3"/>
  <c r="G29" i="6"/>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A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A00-000005000000}">
      <text>
        <r>
          <rPr>
            <sz val="11"/>
            <color indexed="81"/>
            <rFont val="宋体"/>
            <family val="3"/>
            <charset val="134"/>
          </rPr>
          <t>在建项目均选择“是”</t>
        </r>
      </text>
    </comment>
    <comment ref="F64" authorId="1"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A00-000007000000}">
      <text>
        <r>
          <rPr>
            <sz val="10"/>
            <color indexed="81"/>
            <rFont val="宋体"/>
            <family val="3"/>
            <charset val="134"/>
          </rPr>
          <t xml:space="preserve">在建
</t>
        </r>
      </text>
    </comment>
    <comment ref="N64" authorId="0" shapeId="0" xr:uid="{00000000-0006-0000-1A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D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D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D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D00-000005000000}">
      <text>
        <r>
          <rPr>
            <sz val="12"/>
            <color indexed="81"/>
            <rFont val="宋体"/>
            <family val="3"/>
            <charset val="134"/>
          </rPr>
          <t xml:space="preserve">名称在右侧单元格录入
</t>
        </r>
      </text>
    </comment>
    <comment ref="B16" authorId="0" shapeId="0" xr:uid="{00000000-0006-0000-0D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D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D00-000008000000}">
      <text>
        <r>
          <rPr>
            <sz val="11"/>
            <color indexed="81"/>
            <rFont val="宋体"/>
            <family val="3"/>
            <charset val="134"/>
          </rPr>
          <t xml:space="preserve">有相同面积依据时，仅在土地面积依据处录入。
</t>
        </r>
      </text>
    </comment>
    <comment ref="C28" authorId="1" shapeId="0" xr:uid="{00000000-0006-0000-0D00-000009000000}">
      <text>
        <r>
          <rPr>
            <sz val="11"/>
            <color indexed="81"/>
            <rFont val="楷体_GB2312"/>
            <family val="3"/>
            <charset val="134"/>
          </rPr>
          <t>其他特殊项请在右侧录入</t>
        </r>
      </text>
    </comment>
    <comment ref="C30" authorId="1" shapeId="0" xr:uid="{00000000-0006-0000-0D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D00-00000B000000}">
      <text>
        <r>
          <rPr>
            <sz val="11"/>
            <color indexed="81"/>
            <rFont val="宋体"/>
            <family val="3"/>
            <charset val="134"/>
          </rPr>
          <t xml:space="preserve">工程停工、土地闲置、年久失修等
</t>
        </r>
      </text>
    </comment>
    <comment ref="E32" authorId="1" shapeId="0" xr:uid="{00000000-0006-0000-0D00-00000C000000}">
      <text>
        <r>
          <rPr>
            <sz val="11"/>
            <color indexed="81"/>
            <rFont val="宋体"/>
            <family val="3"/>
            <charset val="134"/>
          </rPr>
          <t xml:space="preserve">工程停工、土地闲置、年久失修等
</t>
        </r>
      </text>
    </comment>
    <comment ref="E33" authorId="1" shapeId="0" xr:uid="{00000000-0006-0000-0D00-00000D000000}">
      <text>
        <r>
          <rPr>
            <sz val="11"/>
            <color indexed="81"/>
            <rFont val="宋体"/>
            <family val="3"/>
            <charset val="134"/>
          </rPr>
          <t xml:space="preserve">工程停工、土地闲置、年久失修等
</t>
        </r>
      </text>
    </comment>
    <comment ref="K42" authorId="1" shapeId="0" xr:uid="{00000000-0006-0000-0D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D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D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D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D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D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D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D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D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D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D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color indexed="81"/>
            <rFont val="宋体"/>
            <family val="3"/>
            <charset val="134"/>
          </rPr>
          <t>依据一般经验，应比建筑物资本化率高0.5%</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600-000005000000}">
      <text>
        <r>
          <rPr>
            <sz val="9"/>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<sst xmlns="http://schemas.openxmlformats.org/spreadsheetml/2006/main" count="9073" uniqueCount="3874">
  <si>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</si>
  <si>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</si>
  <si>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</si>
  <si>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</si>
  <si>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</si>
  <si>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</si>
  <si>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</si>
  <si>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</si>
  <si>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</si>
  <si>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</si>
  <si>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</si>
  <si>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</si>
  <si>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</si>
  <si>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</si>
  <si>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</si>
  <si>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</si>
  <si>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</si>
  <si>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</si>
  <si>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</si>
  <si>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</si>
  <si>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</si>
  <si>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</si>
  <si>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</si>
  <si>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</si>
  <si>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</si>
  <si>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</si>
  <si>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</si>
  <si>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</si>
  <si>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</si>
  <si>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</si>
  <si>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</si>
  <si>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</si>
  <si>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</si>
  <si>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</si>
  <si>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</si>
  <si>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</si>
  <si>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</si>
  <si>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</si>
  <si>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</si>
  <si>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</si>
  <si>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</si>
  <si>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</si>
  <si>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</si>
  <si>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</si>
  <si>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</si>
  <si>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</si>
  <si>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</si>
  <si>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</si>
  <si>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</si>
  <si>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</si>
  <si>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</si>
  <si>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</si>
  <si>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</si>
  <si>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</si>
  <si>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</si>
  <si>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</si>
  <si>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</si>
  <si>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</si>
  <si>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</si>
  <si>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</si>
  <si>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</si>
  <si>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</si>
  <si>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</si>
  <si>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</si>
  <si>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</si>
  <si>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</si>
  <si>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</si>
  <si>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</si>
  <si>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</si>
  <si>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</si>
  <si>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</si>
  <si>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</si>
  <si>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</si>
  <si>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</si>
  <si>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</si>
  <si>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</si>
  <si>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</si>
  <si>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</si>
  <si>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</si>
  <si>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</si>
  <si>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</si>
  <si>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</si>
  <si>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</si>
  <si>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</si>
  <si>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</si>
  <si>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</si>
  <si>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</si>
  <si>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</si>
  <si>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</si>
  <si>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</si>
  <si>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</si>
  <si>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</si>
  <si>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</si>
  <si>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</si>
  <si>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</si>
  <si>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</si>
  <si>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</si>
  <si>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</si>
  <si>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</si>
  <si>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</si>
  <si>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</si>
  <si>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</si>
  <si>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</si>
  <si>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</si>
  <si>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</si>
  <si>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</si>
  <si>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</si>
  <si>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</si>
  <si>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</si>
  <si>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</si>
  <si>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</si>
  <si>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</si>
  <si>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</si>
  <si>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</si>
  <si>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</si>
  <si>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</si>
  <si>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</si>
  <si>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</si>
  <si>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</si>
  <si>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</si>
  <si>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</si>
  <si>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</si>
  <si>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</si>
  <si>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</si>
  <si>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</si>
  <si>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</si>
  <si>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</si>
  <si>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</si>
  <si>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</si>
  <si>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</si>
  <si>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</si>
  <si>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</si>
  <si>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</si>
  <si>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</si>
  <si>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</si>
  <si>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</si>
  <si>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</si>
  <si>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</si>
  <si>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</si>
  <si>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</si>
  <si>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</si>
  <si>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</si>
  <si>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</si>
  <si>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</si>
  <si>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</si>
  <si>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</si>
  <si>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</si>
  <si>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</si>
  <si>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</si>
  <si>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</si>
  <si>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</si>
  <si>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</si>
  <si>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</si>
  <si>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</si>
  <si>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</si>
  <si>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</si>
  <si>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</si>
  <si>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</si>
  <si>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</si>
  <si>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</si>
  <si>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</si>
  <si>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</si>
  <si>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</si>
  <si>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</si>
  <si>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</si>
  <si>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</si>
  <si>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</si>
  <si>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</si>
  <si>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</si>
  <si>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</si>
  <si>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</si>
  <si>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</si>
  <si>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</si>
  <si>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</si>
  <si>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</si>
  <si>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</si>
  <si>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</si>
  <si>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</si>
  <si>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</si>
  <si>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</si>
  <si>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</si>
  <si>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</si>
  <si>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</si>
  <si>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</si>
  <si>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</si>
  <si>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</si>
  <si>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</si>
  <si>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</si>
  <si>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</si>
  <si>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</si>
  <si>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</si>
  <si>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</si>
  <si>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</si>
  <si>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</si>
  <si>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</si>
  <si>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</si>
  <si>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</si>
  <si>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</si>
  <si>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</si>
  <si>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</si>
  <si>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</si>
  <si>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</si>
  <si>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</si>
  <si>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</si>
  <si>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</si>
  <si>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</si>
  <si>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</si>
  <si>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</si>
  <si>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</si>
  <si>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</si>
  <si>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</si>
  <si>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</si>
  <si>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</si>
  <si>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</si>
  <si>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</si>
  <si>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</si>
  <si>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</si>
  <si>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</si>
  <si>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</si>
  <si>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</si>
  <si>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</si>
  <si>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</si>
  <si>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</si>
  <si>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</si>
  <si>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</si>
  <si>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</si>
  <si>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</si>
  <si>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</si>
  <si>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</si>
  <si>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</si>
  <si>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</si>
  <si>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</si>
  <si>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</si>
  <si>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</si>
  <si>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</si>
  <si>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</si>
  <si>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</si>
  <si>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</si>
  <si>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</si>
  <si>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</si>
  <si>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</si>
  <si>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</si>
  <si>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</si>
  <si>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</si>
  <si>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</si>
  <si>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</si>
  <si>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</si>
  <si>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</si>
  <si>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</si>
  <si>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</si>
  <si>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</si>
  <si>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</si>
  <si>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</si>
  <si>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</si>
  <si>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</si>
  <si>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</si>
  <si>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</si>
  <si>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</si>
  <si>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</si>
  <si>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</si>
  <si>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</si>
  <si>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</si>
  <si>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</si>
  <si>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</si>
  <si>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</si>
  <si>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</si>
  <si>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</si>
  <si>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</si>
  <si>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</si>
  <si>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</si>
  <si>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</si>
  <si>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</si>
  <si>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</si>
  <si>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</si>
  <si>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</si>
  <si>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</si>
  <si>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</si>
  <si>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</si>
  <si>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</si>
  <si>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</si>
  <si>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</si>
  <si>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</si>
  <si>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</si>
  <si>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</si>
  <si>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</si>
  <si>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</si>
  <si>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</si>
  <si>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</si>
  <si>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</si>
  <si>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</si>
  <si>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</si>
  <si>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</si>
  <si>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</si>
  <si>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</si>
  <si>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</si>
  <si>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</si>
  <si>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</si>
  <si>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</si>
  <si>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</si>
  <si>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</si>
  <si>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</si>
  <si>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</si>
  <si>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</si>
  <si>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</si>
  <si>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</si>
  <si>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</si>
  <si>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</si>
  <si>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</si>
  <si>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</si>
  <si>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</si>
  <si>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</si>
  <si>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</si>
  <si>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</si>
  <si>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</si>
  <si>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</si>
  <si>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</si>
  <si>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</si>
  <si>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</si>
  <si>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</si>
  <si>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</si>
  <si>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</si>
  <si>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</si>
  <si>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</si>
  <si>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</si>
  <si>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</si>
  <si>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</si>
  <si>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</si>
  <si>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</si>
  <si>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</si>
  <si>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</si>
  <si>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</si>
  <si>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</si>
  <si>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</si>
  <si>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</si>
  <si>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</si>
  <si>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</si>
  <si>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</si>
  <si>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</si>
  <si>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</si>
  <si>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</si>
  <si>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</si>
  <si>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</si>
  <si>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</si>
  <si>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</si>
  <si>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</si>
  <si>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</si>
  <si>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</si>
  <si>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</si>
  <si>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</si>
  <si>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</si>
  <si>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</si>
  <si>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</si>
  <si>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</si>
  <si>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</si>
  <si>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</si>
  <si>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</si>
  <si>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</si>
  <si>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</si>
  <si>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</si>
  <si>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</si>
  <si>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</si>
  <si>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</si>
  <si>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</si>
  <si>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</si>
  <si>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</si>
  <si>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</si>
  <si>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</si>
  <si>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</si>
  <si>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</si>
  <si>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</si>
  <si>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</si>
  <si>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</si>
  <si>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</si>
  <si>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</si>
  <si>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</si>
  <si>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</si>
  <si>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</si>
  <si>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</si>
  <si>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</si>
  <si>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</si>
  <si>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</si>
  <si>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</si>
  <si>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</si>
  <si>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</si>
  <si>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</si>
  <si>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</si>
  <si>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</si>
  <si>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</si>
  <si>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</si>
  <si>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</si>
  <si>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</si>
  <si>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</si>
  <si>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</si>
  <si>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</si>
  <si>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</si>
  <si>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</si>
  <si>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</si>
  <si>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</si>
  <si>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</si>
  <si>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</si>
  <si>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</si>
  <si>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</si>
  <si>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</si>
  <si>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</si>
  <si>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</si>
  <si>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</si>
  <si>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</si>
  <si>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</si>
  <si>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</si>
  <si>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</si>
  <si>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</si>
  <si>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</si>
  <si>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</si>
  <si>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</si>
  <si>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</si>
  <si>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</si>
  <si>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</si>
  <si>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</si>
  <si>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</si>
  <si>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</si>
  <si>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</si>
  <si>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</si>
  <si>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</si>
  <si>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</si>
  <si>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</si>
  <si>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</si>
  <si>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</si>
  <si>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</si>
  <si>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</si>
  <si>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</si>
  <si>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</si>
  <si>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</si>
  <si>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</si>
  <si>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</si>
  <si>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</si>
  <si>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</si>
  <si>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</si>
  <si>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</si>
  <si>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</si>
  <si>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</si>
  <si>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</si>
  <si>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</si>
  <si>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</si>
  <si>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</si>
  <si>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</si>
  <si>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</si>
  <si>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</si>
  <si>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</si>
  <si>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</si>
  <si>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</si>
  <si>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</si>
  <si>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</si>
  <si>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</si>
  <si>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</si>
  <si>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</si>
  <si>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</si>
  <si>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</si>
  <si>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</si>
  <si>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</si>
  <si>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</si>
  <si>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</si>
  <si>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</si>
  <si>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</si>
  <si>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</si>
  <si>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</si>
  <si>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</si>
  <si>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</si>
  <si>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</si>
  <si>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</si>
  <si>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</si>
  <si>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</si>
  <si>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</si>
  <si>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</si>
  <si>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</si>
  <si>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</si>
  <si>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</si>
  <si>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</si>
  <si>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</si>
  <si>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</si>
  <si>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</si>
  <si>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</si>
  <si>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</si>
  <si>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</si>
  <si>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</si>
  <si>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</si>
  <si>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</si>
  <si>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</si>
  <si>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</si>
  <si>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</si>
  <si>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</si>
  <si>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</si>
  <si>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</si>
  <si>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</si>
  <si>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</si>
  <si>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</si>
  <si>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</si>
  <si>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</si>
  <si>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</si>
  <si>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</si>
  <si>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</si>
  <si>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</si>
  <si>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</si>
  <si>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</si>
  <si>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</si>
  <si>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</si>
  <si>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</si>
  <si>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</si>
  <si>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</si>
  <si>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</si>
  <si>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</si>
  <si>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</si>
  <si>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</si>
  <si>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</si>
  <si>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</si>
  <si>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</si>
  <si>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</si>
  <si>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</si>
  <si>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</si>
  <si>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</si>
  <si>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</si>
  <si>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</si>
  <si>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</si>
  <si>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</si>
  <si>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</si>
  <si>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</si>
  <si>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</si>
  <si>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</si>
  <si>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</si>
  <si>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</si>
  <si>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</si>
  <si>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</si>
  <si>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</si>
  <si>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</si>
  <si>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</si>
  <si>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</si>
  <si>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</si>
  <si>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</si>
  <si>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</si>
  <si>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</si>
  <si>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</si>
  <si>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</si>
  <si>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</si>
  <si>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</si>
  <si>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</si>
  <si>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</si>
  <si>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</si>
  <si>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</si>
  <si>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</si>
  <si>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</si>
  <si>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</si>
  <si>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</si>
  <si>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</si>
  <si>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</si>
  <si>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</si>
  <si>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</si>
  <si>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</si>
  <si>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</si>
  <si>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</si>
  <si>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</si>
  <si>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</si>
  <si>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</si>
  <si>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</si>
  <si>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</si>
  <si>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</si>
  <si>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</si>
  <si>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</si>
  <si>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</si>
  <si>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</si>
  <si>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</si>
  <si>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</si>
  <si>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</si>
  <si>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</si>
  <si>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</si>
  <si>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</si>
  <si>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</si>
  <si>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</si>
  <si>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</si>
  <si>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</si>
  <si>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</si>
  <si>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</si>
  <si>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</si>
  <si>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</si>
  <si>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</si>
  <si>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</si>
  <si>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</si>
  <si>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</si>
  <si>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</si>
  <si>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</si>
  <si>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</si>
  <si>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</si>
  <si>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</si>
  <si>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</si>
  <si>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</si>
  <si>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</si>
  <si>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</si>
  <si>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</si>
  <si>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</si>
  <si>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</si>
  <si>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</si>
  <si>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</si>
  <si>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</si>
  <si>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</si>
  <si>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</si>
  <si>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</si>
  <si>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</si>
  <si>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</si>
  <si>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</si>
  <si>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</si>
  <si>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</si>
  <si>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</si>
  <si>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</si>
  <si>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</si>
  <si>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</si>
  <si>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</si>
  <si>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</si>
  <si>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</si>
  <si>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</si>
  <si>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</si>
  <si>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</si>
  <si>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</si>
  <si>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</si>
  <si>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</si>
  <si>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</si>
  <si>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</si>
  <si>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</si>
  <si>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</si>
  <si>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</si>
  <si>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</si>
  <si>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</si>
  <si>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</si>
  <si>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</si>
  <si>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</si>
  <si>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</si>
  <si>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</si>
  <si>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</si>
  <si>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</si>
  <si>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</si>
  <si>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</si>
  <si>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</si>
  <si>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</si>
  <si>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</si>
  <si>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</si>
  <si>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</si>
  <si>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</si>
  <si>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</si>
  <si>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</si>
  <si>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</si>
  <si>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</si>
  <si>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</si>
  <si>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</si>
  <si>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</si>
  <si>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</si>
  <si>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</si>
  <si>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</si>
  <si>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</si>
  <si>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</si>
  <si>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</si>
  <si>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</si>
  <si>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</si>
  <si>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</si>
  <si>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</si>
  <si>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</si>
  <si>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</si>
  <si>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</si>
  <si>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</si>
  <si>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</si>
  <si>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</si>
  <si>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</si>
  <si>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</si>
  <si>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</si>
  <si>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</si>
  <si>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</si>
  <si>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</si>
  <si>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</si>
  <si>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</si>
  <si>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</si>
  <si>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</si>
  <si>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</si>
  <si>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</si>
  <si>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</si>
  <si>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</si>
  <si>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</si>
  <si>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</si>
  <si>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</si>
  <si>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</si>
  <si>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</si>
  <si>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</si>
  <si>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</si>
  <si>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</si>
  <si>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</si>
  <si>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</si>
  <si>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</si>
  <si>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</si>
  <si>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</si>
  <si>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</si>
  <si>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</si>
  <si>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</si>
  <si>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</si>
  <si>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</si>
  <si>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</si>
  <si>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</si>
  <si>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</si>
  <si>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</si>
  <si>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</si>
  <si>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</si>
  <si>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</si>
  <si>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</si>
  <si>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</si>
  <si>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</si>
  <si>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</si>
  <si>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</si>
  <si>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</si>
  <si>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</si>
  <si>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</si>
  <si>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</si>
  <si>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</si>
  <si>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</si>
  <si>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</si>
  <si>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</si>
  <si>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</si>
  <si>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</si>
  <si>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</si>
  <si>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</si>
  <si>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</si>
  <si>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</si>
  <si>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</si>
  <si>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</si>
  <si>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</si>
  <si>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</si>
  <si>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</si>
  <si>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</si>
  <si>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</si>
  <si>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</si>
  <si>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</si>
  <si>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</si>
  <si>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</si>
  <si>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</si>
  <si>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</si>
  <si>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</si>
  <si>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</si>
  <si>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</si>
  <si>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</si>
  <si>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</si>
  <si>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</si>
  <si>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</si>
  <si>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</si>
  <si>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</si>
  <si>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</si>
  <si>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</si>
  <si>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</si>
  <si>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</si>
  <si>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</si>
  <si>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</si>
  <si>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</si>
  <si>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</si>
  <si>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</si>
  <si>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</si>
  <si>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</si>
  <si>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</si>
  <si>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</si>
  <si>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</si>
  <si>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</si>
  <si>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</si>
  <si>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</si>
  <si>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</si>
  <si>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</si>
  <si>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</si>
  <si>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</si>
  <si>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</si>
  <si>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</si>
  <si>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</si>
  <si>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</si>
  <si>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</si>
  <si>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</si>
  <si>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</si>
  <si>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</si>
  <si>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</si>
  <si>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</si>
  <si>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</si>
  <si>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</si>
  <si>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</si>
  <si>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</si>
  <si>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</si>
  <si>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</si>
  <si>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</si>
  <si>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</si>
  <si>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</si>
  <si>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</si>
  <si>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</si>
  <si>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</si>
  <si>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</si>
  <si>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</si>
  <si>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</si>
  <si>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</si>
  <si>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</si>
  <si>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</si>
  <si>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</si>
  <si>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</si>
  <si>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</si>
  <si>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</si>
  <si>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</si>
  <si>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</si>
  <si>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</si>
  <si>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</si>
  <si>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</si>
  <si>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</si>
  <si>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</si>
  <si>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</si>
  <si>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</si>
  <si>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</si>
  <si>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</si>
  <si>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</si>
  <si>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</si>
  <si>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</si>
  <si>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</si>
  <si>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</si>
  <si>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</si>
  <si>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</si>
  <si>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</si>
  <si>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</si>
  <si>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</si>
  <si>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</si>
  <si>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</si>
  <si>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</si>
  <si>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</si>
  <si>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</si>
  <si>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</si>
  <si>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</si>
  <si>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</si>
  <si>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</si>
  <si>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</si>
  <si>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</si>
  <si>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</si>
  <si>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</si>
  <si>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</si>
  <si>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</si>
  <si>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</si>
  <si>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</si>
  <si>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</si>
  <si>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</si>
  <si>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</si>
  <si>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</si>
  <si>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</si>
  <si>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</si>
  <si>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</si>
  <si>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</si>
  <si>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</si>
  <si>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</si>
  <si>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</si>
  <si>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</si>
  <si>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</si>
  <si>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</si>
  <si>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</si>
  <si>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</si>
  <si>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</si>
  <si>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</si>
  <si>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</si>
  <si>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</si>
  <si>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</si>
  <si>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</si>
  <si>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</si>
  <si>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</si>
  <si>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</si>
  <si>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</si>
  <si>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</si>
  <si>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</si>
  <si>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</si>
  <si>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</si>
  <si>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</si>
  <si>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</si>
  <si>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</si>
  <si>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</si>
  <si>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</si>
  <si>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</si>
  <si>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</si>
  <si>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</si>
  <si>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</si>
  <si>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</si>
  <si>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</si>
  <si>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</si>
  <si>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</si>
  <si>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</si>
  <si>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</si>
  <si>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</si>
  <si>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</si>
  <si>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</si>
  <si>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</si>
  <si>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</si>
  <si>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</si>
  <si>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</si>
  <si>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</si>
  <si>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</si>
  <si>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</si>
  <si>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</si>
  <si>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</si>
  <si>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</si>
  <si>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</si>
  <si>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</si>
  <si>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</si>
  <si>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</si>
  <si>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</si>
  <si>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</si>
  <si>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</si>
  <si>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</si>
  <si>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</si>
  <si>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</si>
  <si>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</si>
  <si>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</si>
  <si>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</si>
  <si>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</si>
  <si>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</si>
  <si>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</si>
  <si>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</si>
  <si>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</si>
  <si>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</si>
  <si>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</si>
  <si>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</si>
  <si>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</si>
  <si>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</si>
  <si>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</si>
  <si>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</si>
  <si>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</si>
  <si>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</si>
  <si>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</si>
  <si>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</si>
  <si>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</si>
  <si>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</si>
  <si>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</si>
  <si>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</si>
  <si>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</si>
  <si>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</si>
  <si>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</si>
  <si>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</si>
  <si>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</si>
  <si>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</si>
  <si>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</si>
  <si>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</si>
  <si>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</si>
  <si>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</si>
  <si>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</si>
  <si>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</si>
  <si>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</si>
  <si>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</si>
  <si>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</si>
  <si>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</si>
  <si>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</si>
  <si>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</si>
  <si>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</si>
  <si>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</si>
  <si>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</si>
  <si>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</si>
  <si>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</si>
  <si>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</si>
  <si>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</si>
  <si>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</si>
  <si>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</si>
  <si>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</si>
  <si>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</si>
  <si>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</si>
  <si>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</si>
  <si>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</si>
  <si>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</si>
  <si>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</si>
  <si>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</si>
  <si>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</si>
  <si>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</si>
  <si>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</si>
  <si>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</si>
  <si>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</si>
  <si>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</si>
  <si>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</si>
  <si>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</si>
  <si>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</si>
  <si>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</si>
  <si>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</si>
  <si>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</si>
  <si>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</si>
  <si>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</si>
  <si>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</si>
  <si>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</si>
  <si>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</si>
  <si>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</si>
  <si>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</si>
  <si>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</si>
  <si>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</si>
  <si>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</si>
  <si>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</si>
  <si>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</si>
  <si>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</si>
  <si>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</si>
  <si>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</si>
  <si>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</si>
  <si>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</si>
  <si>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</si>
  <si>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</si>
  <si>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</si>
  <si>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</si>
  <si>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</si>
  <si>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</si>
  <si>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</si>
  <si>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</si>
  <si>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</si>
  <si>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</si>
  <si>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</si>
  <si>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</si>
  <si>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</si>
  <si>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</si>
  <si>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</si>
  <si>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</si>
  <si>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</si>
  <si>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</si>
  <si>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</si>
  <si>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</si>
  <si>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</si>
  <si>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</si>
  <si>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</si>
  <si>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</si>
  <si>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</si>
  <si>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</si>
  <si>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</si>
  <si>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</si>
  <si>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</si>
  <si>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</si>
  <si>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</si>
  <si>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</si>
  <si>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</si>
  <si>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</si>
  <si>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</si>
  <si>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</si>
  <si>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</si>
  <si>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</si>
  <si>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</si>
  <si>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</si>
  <si>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</si>
  <si>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</si>
  <si>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</si>
  <si>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</si>
  <si>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</si>
  <si>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</si>
  <si>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</si>
  <si>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</si>
  <si>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</si>
  <si>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</si>
  <si>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</si>
  <si>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</si>
  <si>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</si>
  <si>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</si>
  <si>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</si>
  <si>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</si>
  <si>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</si>
  <si>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</si>
  <si>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</si>
  <si>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</si>
  <si>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</si>
  <si>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</si>
  <si>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</si>
  <si>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</si>
  <si>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</si>
  <si>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</si>
  <si>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</si>
  <si>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</si>
  <si>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</si>
  <si>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</si>
  <si>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</si>
  <si>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</si>
  <si>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</si>
  <si>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</si>
  <si>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</si>
  <si>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</si>
  <si>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</si>
  <si>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</si>
  <si>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</si>
  <si>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</si>
  <si>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</si>
  <si>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</si>
  <si>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</si>
  <si>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</si>
  <si>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</si>
  <si>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</si>
  <si>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</si>
  <si>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</si>
  <si>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</si>
  <si>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</si>
  <si>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</si>
  <si>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</si>
  <si>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</si>
  <si>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</si>
  <si>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</si>
  <si>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</si>
  <si>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</si>
  <si>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</si>
  <si>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</si>
  <si>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</si>
  <si>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</si>
  <si>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</si>
  <si>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</si>
  <si>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</si>
  <si>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</si>
  <si>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</si>
  <si>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</si>
  <si>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</si>
  <si>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</si>
  <si>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</si>
  <si>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</si>
  <si>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</si>
  <si>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</si>
  <si>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</si>
  <si>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</si>
  <si>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</si>
  <si>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</si>
  <si>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</si>
  <si>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</si>
  <si>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</si>
  <si>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</si>
  <si>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</si>
  <si>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</si>
  <si>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</si>
  <si>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</si>
  <si>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</si>
  <si>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</si>
  <si>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</si>
  <si>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</si>
  <si>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</si>
  <si>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</si>
  <si>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</si>
  <si>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</si>
  <si>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</si>
  <si>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</si>
  <si>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</si>
  <si>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</si>
  <si>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</si>
  <si>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</si>
  <si>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</si>
  <si>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</si>
  <si>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</si>
  <si>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</si>
  <si>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</si>
  <si>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</si>
  <si>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</si>
  <si>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</si>
  <si>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</si>
  <si>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</si>
  <si>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</si>
  <si>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</si>
  <si>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</si>
  <si>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</si>
  <si>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</si>
  <si>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</si>
  <si>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</si>
  <si>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</si>
  <si>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</si>
  <si>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</si>
  <si>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</si>
  <si>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</si>
  <si>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</si>
  <si>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</si>
  <si>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</si>
  <si>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</si>
  <si>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</si>
  <si>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</si>
  <si>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</si>
  <si>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</si>
  <si>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</si>
  <si>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</si>
  <si>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</si>
  <si>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</si>
  <si>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</si>
  <si>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</si>
  <si>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</si>
  <si>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</si>
  <si>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</si>
  <si>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</si>
  <si>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</si>
  <si>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</si>
  <si>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</si>
  <si>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</si>
  <si>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</si>
  <si>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</si>
  <si>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</si>
  <si>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</si>
  <si>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</si>
  <si>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</si>
  <si>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</si>
  <si>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</si>
  <si>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</si>
  <si>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</si>
  <si>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</si>
  <si>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</si>
  <si>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</si>
  <si>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</si>
  <si>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</si>
  <si>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</si>
  <si>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</si>
  <si>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</si>
  <si>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</si>
  <si>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</si>
  <si>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</si>
  <si>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</si>
  <si>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</si>
  <si>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</si>
  <si>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</si>
  <si>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</si>
  <si>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</si>
  <si>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</si>
  <si>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</si>
  <si>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</si>
  <si>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</si>
  <si>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</si>
  <si>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</si>
  <si>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</si>
  <si>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</si>
  <si>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</si>
  <si>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</si>
  <si>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</si>
  <si>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</si>
  <si>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</si>
  <si>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</si>
  <si>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</si>
  <si>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</si>
  <si>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</si>
  <si>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</si>
  <si>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</si>
  <si>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</si>
  <si>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</si>
  <si>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</si>
  <si>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</si>
  <si>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</si>
  <si>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</si>
  <si>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</si>
  <si>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</si>
  <si>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</si>
  <si>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</si>
  <si>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</si>
  <si>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</si>
  <si>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</si>
  <si>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</si>
  <si>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</si>
  <si>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</si>
  <si>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</si>
  <si>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</si>
  <si>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</si>
  <si>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</si>
  <si>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</si>
  <si>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</si>
  <si>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</si>
  <si>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</si>
  <si>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</si>
  <si>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</si>
  <si>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</si>
  <si>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</si>
  <si>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</si>
  <si>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</si>
  <si>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</si>
  <si>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</si>
  <si>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</si>
  <si>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</si>
  <si>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</si>
  <si>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</si>
  <si>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</si>
  <si>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</si>
  <si>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</si>
  <si>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</si>
  <si>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</si>
  <si>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</si>
  <si>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</si>
  <si>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</si>
  <si>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</si>
  <si>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</si>
  <si>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</si>
  <si>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</si>
  <si>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</si>
  <si>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</si>
  <si>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</si>
  <si>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</si>
  <si>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</si>
  <si>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</si>
  <si>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</si>
  <si>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</si>
  <si>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</si>
  <si>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</si>
  <si>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</si>
  <si>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</si>
  <si>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</si>
  <si>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</si>
  <si>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</si>
  <si>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</si>
  <si>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</si>
  <si>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</si>
  <si>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</si>
  <si>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</si>
  <si>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</si>
  <si>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</si>
  <si>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</si>
  <si>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</si>
  <si>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</si>
  <si>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</si>
  <si>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</si>
  <si>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</si>
  <si>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</si>
  <si>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</si>
  <si>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</si>
  <si>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</si>
  <si>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</si>
  <si>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</si>
  <si>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</si>
  <si>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</si>
  <si>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</si>
  <si>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</si>
  <si>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</si>
  <si>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</si>
  <si>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</si>
  <si>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</si>
  <si>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</si>
  <si>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</si>
  <si>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</si>
  <si>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</si>
  <si>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</si>
  <si>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</si>
  <si>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</si>
  <si>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</si>
  <si>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</si>
  <si>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</si>
  <si>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</si>
  <si>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</si>
  <si>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</si>
  <si>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</si>
  <si>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</si>
  <si>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</si>
  <si>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</si>
  <si>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</si>
  <si>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</si>
  <si>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</si>
  <si>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</si>
  <si>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</si>
  <si>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</si>
  <si>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</si>
  <si>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</si>
  <si>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</si>
  <si>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</si>
  <si>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</si>
  <si>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</si>
  <si>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</si>
  <si>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</si>
  <si>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</si>
  <si>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</si>
  <si>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</si>
  <si>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</si>
  <si>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</si>
  <si>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</si>
  <si>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</si>
  <si>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</si>
  <si>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</si>
  <si>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</si>
  <si>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</si>
  <si>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</si>
  <si>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</si>
  <si>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</si>
  <si>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</si>
  <si>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</si>
  <si>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</si>
  <si>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</si>
  <si>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</si>
  <si>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</si>
  <si>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</si>
  <si>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</si>
  <si>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</si>
  <si>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</si>
  <si>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</si>
  <si>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</si>
  <si>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</si>
  <si>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</si>
  <si>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</si>
  <si>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</si>
  <si>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</si>
  <si>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</si>
  <si>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</si>
  <si>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</si>
  <si>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</si>
  <si>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</si>
  <si>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</si>
  <si>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</si>
  <si>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</si>
  <si>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</si>
  <si>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</si>
  <si>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</si>
  <si>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</si>
  <si>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</si>
  <si>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</si>
  <si>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</si>
  <si>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</si>
  <si>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</si>
  <si>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</si>
  <si>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</si>
  <si>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</si>
  <si>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</si>
  <si>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</si>
  <si>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</si>
  <si>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</si>
  <si>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</si>
  <si>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</si>
  <si>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</si>
  <si>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</si>
  <si>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</si>
  <si>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</si>
  <si>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</si>
  <si>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</si>
  <si>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</si>
  <si>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</si>
  <si>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</si>
  <si>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</si>
  <si>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</si>
  <si>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</si>
  <si>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</si>
  <si>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</si>
  <si>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</si>
  <si>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</si>
  <si>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</si>
  <si>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</si>
  <si>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</si>
  <si>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</si>
  <si>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</si>
  <si>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</si>
  <si>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</si>
  <si>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</si>
  <si>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</si>
  <si>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</si>
  <si>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</si>
  <si>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</si>
  <si>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</si>
  <si>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</si>
  <si>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</si>
  <si>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</si>
  <si>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</si>
  <si>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</si>
  <si>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</si>
  <si>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</si>
  <si>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</si>
  <si>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</si>
  <si>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</si>
  <si>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</si>
  <si>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</si>
  <si>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</si>
  <si>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</si>
  <si>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</si>
  <si>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</si>
  <si>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</si>
  <si>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</si>
  <si>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</si>
  <si>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</si>
  <si>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</si>
  <si>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</si>
  <si>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</si>
  <si>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</si>
  <si>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</si>
  <si>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</si>
  <si>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</si>
  <si>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</si>
  <si>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</si>
  <si>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</si>
  <si>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</si>
  <si>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</si>
  <si>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</si>
  <si>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</si>
  <si>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</si>
  <si>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</si>
  <si>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</si>
  <si>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</si>
  <si>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</si>
  <si>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</si>
  <si>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</si>
  <si>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</si>
  <si>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</si>
  <si>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</si>
  <si>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</si>
  <si>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</si>
  <si>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</si>
  <si>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</si>
  <si>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</si>
  <si>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</si>
  <si>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</si>
  <si>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</si>
  <si>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</si>
  <si>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</si>
  <si>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</si>
  <si>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</si>
  <si>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</si>
  <si>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</si>
  <si>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</si>
  <si>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</si>
  <si>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</si>
  <si>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</si>
  <si>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</si>
  <si>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</si>
  <si>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</si>
  <si>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</si>
  <si>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</si>
  <si>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</si>
  <si>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</si>
  <si>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</si>
  <si>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</si>
  <si>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</si>
  <si>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</si>
  <si>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</si>
  <si>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</si>
  <si>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</si>
  <si>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</si>
  <si>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</si>
  <si>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</si>
  <si>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</si>
  <si>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</si>
  <si>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</si>
  <si>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</si>
  <si>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</si>
  <si>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</si>
  <si>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</si>
  <si>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</si>
  <si>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</si>
  <si>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</si>
  <si>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</si>
  <si>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</si>
  <si>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</si>
  <si>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</si>
  <si>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</si>
  <si>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</si>
  <si>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</si>
  <si>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</si>
  <si>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</si>
  <si>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</si>
  <si>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</si>
  <si>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</si>
  <si>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</si>
  <si>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</si>
  <si>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</si>
  <si>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</si>
  <si>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</si>
  <si>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</si>
  <si>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</si>
  <si>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</si>
  <si>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</si>
  <si>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</si>
  <si>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</si>
  <si>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</si>
  <si>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</si>
  <si>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</si>
  <si>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</si>
  <si>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</si>
  <si>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</si>
  <si>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</si>
  <si>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</si>
  <si>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</si>
  <si>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</si>
  <si>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</si>
  <si>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</si>
  <si>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</si>
  <si>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</si>
  <si>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</si>
  <si>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</si>
  <si>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</si>
  <si>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</si>
  <si>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</si>
  <si>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</si>
  <si>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</si>
  <si>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</si>
  <si>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</si>
  <si>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</si>
  <si>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</si>
  <si>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</si>
  <si>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</si>
  <si>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</si>
  <si>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</si>
  <si>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</si>
  <si>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</si>
  <si>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</si>
  <si>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</si>
  <si>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</si>
  <si>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</si>
  <si>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</si>
  <si>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</si>
  <si>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</si>
  <si>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</si>
  <si>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</si>
  <si>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</si>
  <si>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</si>
  <si>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</si>
  <si>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</si>
  <si>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</si>
  <si>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</si>
  <si>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</si>
  <si>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</si>
  <si>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</si>
  <si>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</si>
  <si>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</si>
  <si>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</si>
  <si>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</si>
  <si>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</si>
  <si>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</si>
  <si>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</si>
  <si>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</si>
  <si>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</si>
  <si>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</si>
  <si>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</si>
  <si>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</si>
  <si>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</si>
  <si>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</si>
  <si>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</si>
  <si>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</si>
  <si>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</si>
  <si>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</si>
  <si>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</si>
  <si>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</si>
  <si>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</si>
  <si>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</si>
  <si>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</si>
  <si>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</si>
  <si>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</si>
  <si>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</si>
  <si>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</si>
  <si>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</si>
  <si>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</si>
  <si>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</si>
  <si>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</si>
  <si>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</si>
  <si>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</si>
  <si>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</si>
  <si>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</si>
  <si>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</si>
  <si>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</si>
  <si>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</si>
  <si>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</si>
  <si>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</si>
  <si>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</si>
  <si>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</si>
  <si>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</si>
  <si>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</si>
  <si>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</si>
  <si>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</si>
  <si>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</si>
  <si>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</si>
  <si>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</si>
  <si>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</si>
  <si>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</si>
  <si>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</si>
  <si>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</si>
  <si>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</si>
  <si>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</si>
  <si>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</si>
  <si>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</si>
  <si>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</si>
  <si>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</si>
  <si>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</si>
  <si>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</si>
  <si>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</si>
  <si>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</si>
  <si>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</si>
  <si>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</si>
  <si>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</si>
  <si>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</si>
  <si>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</si>
  <si>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</si>
  <si>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</si>
  <si>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</si>
  <si>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</si>
  <si>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</si>
  <si>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</si>
  <si>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</si>
  <si>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</si>
  <si>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</si>
  <si>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</si>
  <si>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</si>
  <si>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</si>
  <si>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</si>
  <si>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</si>
  <si>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</si>
  <si>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</si>
  <si>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</si>
  <si>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</si>
  <si>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</si>
  <si>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</si>
  <si>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</si>
  <si>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</si>
  <si>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</si>
  <si>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</si>
  <si>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</si>
  <si>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</si>
  <si>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</si>
  <si>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</si>
  <si>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</si>
  <si>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</si>
  <si>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</si>
  <si>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</si>
  <si>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</si>
  <si>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</si>
  <si>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</si>
  <si>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</si>
  <si>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</si>
  <si>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</si>
  <si>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</si>
  <si>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</si>
  <si>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</si>
  <si>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</si>
  <si>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</si>
  <si>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</si>
  <si>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</si>
  <si>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</si>
  <si>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</si>
  <si>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</si>
  <si>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</si>
  <si>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</si>
  <si>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</si>
  <si>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</si>
  <si>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</si>
  <si>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</si>
  <si>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</si>
  <si>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</si>
  <si>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</si>
  <si>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</si>
  <si>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</si>
  <si>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</si>
  <si>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</si>
  <si>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</si>
  <si>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</si>
  <si>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</si>
  <si>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</si>
  <si>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</si>
  <si>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</si>
  <si>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</si>
  <si>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</si>
  <si>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</si>
  <si>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</si>
  <si>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</si>
  <si>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</si>
  <si>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</si>
  <si>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</si>
  <si>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</si>
  <si>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</si>
  <si>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</si>
  <si>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</si>
  <si>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</si>
  <si>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</si>
  <si>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</si>
  <si>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</si>
  <si>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</si>
  <si>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</si>
  <si>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</si>
  <si>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</si>
  <si>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</si>
  <si>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</si>
  <si>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</si>
  <si>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</si>
  <si>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</si>
  <si>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</si>
  <si>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</si>
  <si>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</si>
  <si>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</si>
  <si>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</si>
  <si>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</si>
  <si>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</si>
  <si>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</si>
  <si>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</si>
  <si>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</si>
  <si>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</si>
  <si>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</si>
  <si>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</si>
  <si>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</si>
  <si>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</si>
  <si>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</si>
  <si>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</si>
  <si>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</si>
  <si>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</si>
  <si>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</si>
  <si>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</si>
  <si>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</si>
  <si>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</si>
  <si>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</si>
  <si>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</si>
  <si>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</si>
  <si>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</si>
  <si>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</si>
  <si>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</si>
  <si>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</si>
  <si>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</si>
  <si>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</si>
  <si>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</si>
  <si>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</si>
  <si>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</si>
  <si>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</si>
  <si>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</si>
  <si>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</si>
  <si>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</si>
  <si>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</si>
  <si>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</si>
  <si>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</si>
  <si>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</si>
  <si>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</si>
  <si>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</si>
  <si>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</si>
  <si>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</si>
  <si>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</si>
  <si>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</si>
  <si>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</si>
  <si>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</si>
  <si>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</si>
  <si>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</si>
  <si>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</si>
  <si>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</si>
  <si>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</si>
  <si>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</si>
  <si>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</si>
  <si>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</si>
  <si>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</si>
  <si>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</si>
  <si>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</si>
  <si>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</si>
  <si>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</si>
  <si>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</si>
  <si>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</si>
  <si>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</si>
  <si>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</si>
  <si>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</si>
  <si>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</si>
  <si>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</si>
  <si>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</si>
  <si>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</si>
  <si>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</si>
  <si>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</si>
  <si>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</si>
  <si>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</si>
  <si>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</si>
  <si>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</si>
  <si>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</si>
  <si>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</si>
  <si>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</si>
  <si>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</si>
  <si>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</si>
  <si>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</si>
  <si>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</si>
  <si>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</si>
  <si>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</si>
  <si>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</si>
  <si>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</si>
  <si>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</si>
  <si>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</si>
  <si>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</si>
  <si>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</si>
  <si>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</si>
  <si>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</si>
  <si>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</si>
  <si>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</si>
  <si>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</si>
  <si>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</si>
  <si>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</si>
  <si>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</si>
  <si>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</si>
  <si>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</si>
  <si>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</si>
  <si>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</si>
  <si>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</si>
  <si>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</si>
  <si>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</si>
  <si>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</si>
  <si>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</si>
  <si>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</si>
  <si>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</si>
  <si>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</si>
  <si>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</si>
  <si>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</si>
  <si>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</si>
  <si>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</si>
  <si>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</si>
  <si>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</si>
  <si>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</si>
  <si>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</si>
  <si>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</si>
  <si>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</si>
  <si>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</si>
  <si>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</si>
  <si>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</si>
  <si>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</si>
  <si>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</si>
  <si>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</si>
  <si>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</si>
  <si>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</si>
  <si>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</si>
  <si>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</si>
  <si>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</si>
  <si>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</si>
  <si>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</si>
  <si>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</si>
  <si>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</si>
  <si>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</si>
  <si>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</si>
  <si>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</si>
  <si>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</si>
  <si>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</si>
  <si>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</si>
  <si>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</si>
  <si>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</si>
  <si>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</si>
  <si>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</si>
  <si>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</si>
  <si>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</si>
  <si>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</si>
  <si>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</si>
  <si>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</si>
  <si>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</si>
  <si>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</si>
  <si>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</si>
  <si>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</si>
  <si>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</si>
  <si>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</si>
  <si>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</si>
  <si>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</si>
  <si>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</si>
  <si>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</si>
  <si>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</si>
  <si>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</si>
  <si>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</si>
  <si>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</si>
  <si>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</si>
  <si>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</si>
  <si>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</si>
  <si>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</si>
  <si>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</si>
  <si>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</si>
  <si>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</si>
  <si>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</si>
  <si>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</si>
  <si>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</si>
  <si>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</si>
  <si>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</si>
  <si>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</si>
  <si>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</si>
  <si>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</si>
  <si>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</si>
  <si>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</si>
  <si>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</si>
  <si>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</si>
  <si>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</si>
  <si>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</si>
  <si>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</si>
  <si>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</si>
  <si>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</si>
  <si>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</si>
  <si>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</si>
  <si>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</si>
  <si>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</si>
  <si>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</si>
  <si>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</si>
  <si>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</si>
  <si>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</si>
  <si>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</si>
  <si>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</si>
  <si>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</si>
  <si>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</si>
  <si>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</si>
  <si>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</si>
  <si>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</si>
  <si>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</si>
  <si>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</si>
  <si>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</si>
  <si>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</si>
  <si>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</si>
  <si>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</si>
  <si>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</si>
  <si>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</si>
  <si>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</si>
  <si>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</si>
  <si>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</si>
  <si>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</si>
  <si>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</si>
  <si>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</si>
  <si>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</si>
  <si>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</si>
  <si>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</si>
  <si>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</si>
  <si>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</si>
  <si>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</si>
  <si>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</si>
  <si>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</si>
  <si>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</si>
  <si>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</si>
  <si>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</si>
  <si>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</si>
  <si>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</si>
  <si>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</si>
  <si>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</si>
  <si>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</si>
  <si>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</si>
  <si>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</si>
  <si>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</si>
  <si>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</si>
  <si>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</si>
  <si>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</si>
  <si>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</si>
  <si>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</si>
  <si>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</si>
  <si>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</si>
  <si>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</si>
  <si>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</si>
  <si>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</si>
  <si>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</si>
  <si>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</si>
  <si>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</si>
  <si>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</si>
  <si>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</si>
  <si>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</si>
  <si>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</si>
  <si>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</si>
  <si>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</si>
  <si>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</si>
  <si>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</si>
  <si>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</si>
  <si>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</si>
  <si>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</si>
  <si>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</si>
  <si>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</si>
  <si>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</si>
  <si>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</si>
  <si>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</si>
  <si>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</si>
  <si>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</si>
  <si>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</si>
  <si>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</si>
  <si>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</si>
  <si>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</si>
  <si>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</si>
  <si>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</si>
  <si>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</si>
  <si>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</si>
  <si>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</si>
  <si>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</si>
  <si>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</si>
  <si>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</si>
  <si>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</si>
  <si>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</si>
  <si>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</si>
  <si>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</si>
  <si>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</si>
  <si>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</si>
  <si>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</si>
  <si>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</si>
  <si>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</si>
  <si>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</si>
  <si>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</si>
  <si>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</si>
  <si>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</si>
  <si>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</si>
  <si>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</si>
  <si>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</si>
  <si>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</si>
  <si>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</si>
  <si>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</si>
  <si>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</si>
  <si>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</si>
  <si>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</si>
  <si>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</si>
  <si>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</si>
  <si>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</si>
  <si>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</si>
  <si>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</si>
  <si>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</si>
  <si>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</si>
  <si>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</si>
  <si>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</si>
  <si>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</si>
  <si>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</si>
  <si>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</si>
  <si>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</si>
  <si>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</si>
  <si>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</si>
  <si>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</si>
  <si>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</si>
  <si>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</si>
  <si>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</si>
  <si>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</si>
  <si>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</si>
  <si>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</si>
  <si>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</si>
  <si>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</si>
  <si>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</si>
  <si>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</si>
  <si>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</si>
  <si>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</si>
  <si>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</si>
  <si>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</si>
  <si>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</si>
  <si>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</si>
  <si>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</si>
  <si>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</si>
  <si>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</si>
  <si>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</si>
  <si>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</si>
  <si>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</si>
  <si>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</si>
  <si>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</si>
  <si>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</si>
  <si>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</si>
  <si>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</si>
  <si>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</si>
  <si>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</si>
  <si>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</si>
  <si>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</si>
  <si>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</si>
  <si>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</si>
  <si>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</si>
  <si>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</si>
  <si>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</si>
  <si>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</si>
  <si>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</si>
  <si>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</si>
  <si>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</si>
  <si>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</si>
  <si>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</si>
  <si>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</si>
  <si>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</si>
  <si>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</si>
  <si>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</si>
  <si>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</si>
  <si>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</si>
  <si>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</si>
  <si>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</si>
  <si>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</si>
  <si>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</si>
  <si>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</si>
  <si>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</si>
  <si>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</si>
  <si>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</si>
  <si>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</si>
  <si>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</si>
  <si>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</si>
  <si>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</si>
  <si>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</si>
  <si>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</si>
  <si>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</si>
  <si>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</si>
  <si>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</si>
  <si>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</si>
  <si>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</si>
  <si>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</si>
  <si>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</si>
  <si>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</si>
  <si>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</si>
  <si>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</si>
  <si>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</si>
  <si>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</si>
  <si>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</si>
  <si>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</si>
  <si>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</si>
  <si>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</si>
  <si>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</si>
  <si>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</si>
  <si>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</si>
  <si>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</si>
  <si>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</si>
  <si>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</si>
  <si>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</si>
  <si>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</si>
  <si>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</si>
  <si>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</si>
  <si>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</si>
  <si>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</si>
  <si>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</si>
  <si>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</si>
  <si>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</si>
  <si>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</si>
  <si>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</si>
  <si>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</si>
  <si>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</si>
  <si>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</si>
  <si>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</si>
  <si>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</si>
  <si>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</si>
  <si>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</si>
  <si>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</si>
  <si>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</si>
  <si>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</si>
  <si>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</si>
  <si>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</si>
  <si>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</si>
  <si>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</si>
  <si>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</si>
  <si>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</si>
  <si>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</si>
  <si>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</si>
  <si>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</si>
  <si>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</si>
  <si>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</si>
  <si>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</si>
  <si>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</si>
  <si>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</si>
  <si>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</si>
  <si>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</si>
  <si>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</si>
  <si>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</si>
  <si>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</si>
  <si>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</si>
  <si>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</si>
  <si>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</si>
  <si>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</si>
  <si>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</si>
  <si>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</si>
  <si>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</si>
  <si>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</si>
  <si>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</si>
  <si>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</si>
  <si>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</si>
  <si>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</si>
  <si>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</si>
  <si>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</si>
  <si>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</si>
  <si>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</si>
  <si>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</si>
  <si>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</si>
  <si>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</si>
  <si>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</si>
  <si>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</si>
  <si>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</si>
  <si>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</si>
  <si>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</si>
  <si>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</si>
  <si>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</si>
  <si>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</si>
  <si>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</si>
  <si>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</si>
  <si>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</si>
  <si>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</si>
  <si>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</si>
  <si>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</si>
  <si>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</si>
  <si>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</si>
  <si>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</si>
  <si>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</si>
  <si>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</si>
  <si>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</si>
  <si>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</si>
  <si>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</si>
  <si>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</si>
  <si>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</si>
  <si>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</si>
  <si>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</si>
  <si>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</si>
  <si>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</si>
  <si>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</si>
  <si>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</si>
  <si>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</si>
  <si>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</si>
  <si>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</si>
  <si>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</si>
  <si>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</si>
  <si>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</si>
  <si>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</si>
  <si>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</si>
  <si>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</si>
  <si>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</si>
  <si>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</si>
  <si>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</si>
  <si>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</si>
  <si>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</si>
  <si>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</si>
  <si>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</si>
  <si>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</si>
  <si>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</si>
  <si>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</si>
  <si>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</si>
  <si>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</si>
  <si>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</si>
  <si>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</si>
  <si>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</si>
  <si>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</si>
  <si>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</si>
  <si>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</si>
  <si>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</si>
  <si>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</si>
  <si>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</si>
  <si>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</si>
  <si>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</si>
  <si>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</si>
  <si>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</si>
  <si>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</si>
  <si>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</si>
  <si>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</si>
  <si>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</si>
  <si>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</si>
  <si>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</si>
  <si>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</si>
  <si>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</si>
  <si>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</si>
  <si>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</si>
  <si>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</si>
  <si>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</si>
  <si>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</si>
  <si>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</si>
  <si>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</si>
  <si>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</si>
  <si>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</si>
  <si>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</si>
  <si>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</si>
  <si>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</si>
  <si>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</si>
  <si>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</si>
  <si>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</si>
  <si>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</si>
  <si>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</si>
  <si>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</si>
  <si>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</si>
  <si>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</si>
  <si>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</si>
  <si>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</si>
  <si>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</si>
  <si>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</si>
  <si>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</si>
  <si>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</si>
  <si>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</si>
  <si>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</si>
  <si>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</si>
  <si>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</si>
  <si>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</si>
  <si>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</si>
  <si>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</si>
  <si>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</si>
  <si>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</si>
  <si>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</si>
  <si>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</si>
  <si>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</si>
  <si>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</si>
  <si>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</si>
  <si>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</si>
  <si>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</si>
  <si>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</si>
  <si>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</si>
  <si>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</si>
  <si>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</si>
  <si>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</si>
  <si>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</si>
  <si>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</si>
  <si>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</si>
  <si>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</si>
  <si>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</si>
  <si>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</si>
  <si>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</si>
  <si>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</si>
  <si>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</si>
  <si>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</si>
  <si>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</si>
  <si>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</si>
  <si>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</si>
  <si>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</si>
  <si>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</si>
  <si>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</si>
  <si>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</si>
  <si>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</si>
  <si>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</si>
  <si>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</si>
  <si>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</si>
  <si>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</si>
  <si>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</si>
  <si>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</si>
  <si>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</si>
  <si>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</si>
  <si>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</si>
  <si>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</si>
  <si>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</si>
  <si>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</si>
  <si>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</si>
  <si>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</si>
  <si>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</si>
  <si>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</si>
  <si>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</si>
  <si>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</si>
  <si>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</si>
  <si>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</si>
  <si>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</si>
  <si>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</si>
  <si>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</si>
  <si>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</si>
  <si>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</si>
  <si>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</si>
  <si>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</si>
  <si>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</si>
  <si>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</si>
  <si>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</si>
  <si>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</si>
  <si>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</si>
  <si>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</si>
  <si>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</si>
  <si>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</si>
  <si>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</si>
  <si>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</si>
  <si>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</si>
  <si>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</si>
  <si>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</si>
  <si>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</si>
  <si>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</si>
  <si>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</si>
  <si>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</si>
  <si>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</si>
  <si>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</si>
  <si>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</si>
  <si>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</si>
  <si>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</si>
  <si>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</si>
  <si>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</si>
  <si>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</si>
  <si>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</si>
  <si>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</si>
  <si>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</si>
  <si>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</si>
  <si>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</si>
  <si>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</si>
  <si>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</si>
  <si>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</si>
  <si>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</si>
  <si>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</si>
  <si>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</si>
  <si>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</si>
  <si>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</si>
  <si>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</si>
  <si>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</si>
  <si>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</si>
  <si>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</si>
  <si>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</si>
  <si>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</si>
  <si>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</si>
  <si>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</si>
  <si>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</si>
  <si>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</si>
  <si>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</si>
  <si>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</si>
  <si>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</si>
  <si>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</si>
  <si>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</si>
  <si>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</si>
  <si>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</si>
  <si>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</si>
  <si>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</si>
  <si>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</si>
  <si>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</si>
  <si>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</si>
  <si>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</si>
  <si>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</si>
  <si>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</si>
  <si>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</si>
  <si>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</si>
  <si>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</si>
  <si>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</si>
  <si>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</si>
  <si>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</si>
  <si>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</si>
  <si>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</si>
  <si>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</si>
  <si>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</si>
  <si>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</si>
  <si>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</si>
  <si>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</si>
  <si>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</si>
  <si>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</si>
  <si>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</si>
  <si>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</si>
  <si>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</si>
  <si>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</si>
  <si>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</si>
  <si>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</si>
  <si>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</si>
  <si>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</si>
  <si>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</si>
  <si>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</si>
  <si>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</si>
  <si>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</si>
  <si>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</si>
  <si>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</si>
  <si>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</si>
  <si>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</si>
  <si>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</si>
  <si>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</si>
  <si>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</si>
  <si>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</si>
  <si>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</si>
  <si>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</si>
  <si>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</si>
  <si>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</si>
  <si>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</si>
  <si>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</si>
  <si>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</si>
  <si>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</si>
  <si>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</si>
  <si>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</si>
  <si>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</si>
  <si>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</si>
  <si>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</si>
  <si>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</si>
  <si>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</si>
  <si>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</si>
  <si>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</si>
  <si>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</si>
  <si>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</si>
  <si>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</si>
  <si>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</si>
  <si>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</si>
  <si>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</si>
  <si>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</si>
  <si>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</si>
  <si>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</si>
  <si>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</si>
  <si>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</si>
  <si>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</si>
  <si>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</si>
  <si>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</si>
  <si>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</si>
  <si>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</si>
  <si>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</si>
  <si>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</si>
  <si>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</si>
  <si>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</si>
  <si>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</si>
  <si>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</si>
  <si>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</si>
  <si>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</si>
  <si>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</si>
  <si>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</si>
  <si>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</si>
  <si>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</si>
  <si>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</si>
  <si>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</si>
  <si>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</si>
  <si>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</si>
  <si>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</si>
  <si>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</si>
  <si>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</si>
  <si>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</si>
  <si>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</si>
  <si>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</si>
  <si>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</si>
  <si>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</si>
  <si>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</si>
  <si>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</si>
  <si>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</si>
  <si>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</si>
  <si>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</si>
  <si>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</si>
  <si>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</si>
  <si>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</si>
  <si>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</si>
  <si>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</si>
  <si>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</si>
  <si>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</si>
  <si>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</si>
  <si>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</si>
  <si>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</si>
  <si>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</si>
  <si>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</si>
  <si>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</si>
  <si>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</si>
  <si>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</si>
  <si>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</si>
  <si>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</si>
  <si>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</si>
  <si>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</si>
  <si>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</si>
  <si>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</si>
  <si>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</si>
  <si>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</si>
  <si>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</si>
  <si>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</si>
  <si>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</si>
  <si>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</si>
  <si>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</si>
  <si>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</si>
  <si>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</si>
  <si>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</si>
  <si>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</si>
  <si>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</si>
  <si>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</si>
  <si>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</si>
  <si>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</si>
  <si>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</si>
  <si>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</si>
  <si>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</si>
  <si>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</si>
  <si>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</si>
  <si>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</si>
  <si>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</si>
  <si>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</si>
  <si>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</si>
  <si>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</si>
  <si>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</si>
  <si>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</si>
  <si>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</si>
  <si>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</si>
  <si>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</si>
  <si>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</si>
  <si>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</si>
  <si>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</si>
  <si>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</si>
  <si>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</si>
  <si>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</si>
  <si>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</si>
  <si>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</si>
  <si>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</si>
  <si>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</si>
  <si>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</si>
  <si>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</si>
  <si>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</si>
  <si>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</si>
  <si>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</si>
  <si>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</si>
  <si>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</si>
  <si>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</si>
  <si>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</si>
  <si>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</si>
  <si>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</si>
  <si>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</si>
  <si>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</si>
  <si>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</si>
  <si>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</si>
  <si>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</si>
  <si>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</si>
  <si>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</si>
  <si>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</si>
  <si>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</si>
  <si>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</si>
  <si>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</si>
  <si>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</si>
  <si>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</si>
  <si>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</si>
  <si>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</si>
  <si>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</si>
  <si>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</si>
  <si>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</si>
  <si>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</si>
  <si>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</si>
  <si>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</si>
  <si>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</si>
  <si>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</si>
  <si>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</si>
  <si>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</si>
  <si>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</si>
  <si>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</si>
  <si>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</si>
  <si>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</si>
  <si>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</si>
  <si>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</si>
  <si>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</si>
  <si>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</si>
  <si>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</si>
  <si>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</si>
  <si>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</si>
  <si>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</si>
  <si>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</si>
  <si>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</si>
  <si>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</si>
  <si>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</si>
  <si>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</si>
  <si>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</si>
  <si>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</si>
  <si>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</si>
  <si>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</si>
  <si>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</si>
  <si>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</si>
  <si>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</si>
  <si>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</si>
  <si>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</si>
  <si>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</si>
  <si>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</si>
  <si>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</si>
  <si>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</si>
  <si>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</si>
  <si>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</si>
  <si>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</si>
  <si>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</si>
  <si>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</si>
  <si>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</si>
  <si>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</si>
  <si>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</si>
  <si>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</si>
  <si>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</si>
  <si>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</si>
  <si>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</si>
  <si>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</si>
  <si>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</si>
  <si>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</si>
  <si>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</si>
  <si>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</si>
  <si>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</si>
  <si>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</si>
  <si>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</si>
  <si>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</si>
  <si>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</si>
  <si>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</si>
  <si>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</si>
  <si>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</si>
  <si>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</si>
  <si>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</si>
  <si>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</si>
  <si>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</si>
  <si>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</si>
  <si>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</si>
  <si>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</si>
  <si>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</si>
  <si>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</si>
  <si>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</si>
  <si>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</si>
  <si>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</si>
  <si>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</si>
  <si>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</si>
  <si>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</si>
  <si>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</si>
  <si>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</si>
  <si>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</si>
  <si>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</si>
  <si>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</si>
  <si>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</si>
  <si>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</si>
  <si>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</si>
  <si>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</si>
  <si>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</si>
  <si>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</si>
  <si>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</si>
  <si>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</si>
  <si>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</si>
  <si>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</si>
  <si>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</si>
  <si>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</si>
  <si>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</si>
  <si>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</si>
  <si>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</si>
  <si>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</si>
  <si>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</si>
  <si>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</si>
  <si>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</si>
  <si>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</si>
  <si>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</si>
  <si>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</si>
  <si>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</si>
  <si>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</si>
  <si>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</si>
  <si>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</si>
  <si>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</si>
  <si>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</si>
  <si>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</si>
  <si>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</si>
  <si>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</si>
  <si>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</si>
  <si>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</si>
  <si>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</si>
  <si>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</si>
  <si>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</si>
  <si>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</si>
  <si>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</si>
  <si>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</si>
  <si>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</si>
  <si>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</si>
  <si>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</si>
  <si>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</si>
  <si>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</si>
  <si>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</si>
  <si>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</si>
  <si>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</si>
  <si>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</si>
  <si>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</si>
  <si>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</si>
  <si>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</si>
  <si>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</si>
  <si>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</si>
  <si>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</si>
  <si>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</si>
  <si>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</si>
  <si>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</si>
  <si>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</si>
  <si>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</si>
  <si>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</si>
  <si>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</si>
  <si>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</si>
  <si>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</si>
  <si>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</si>
  <si>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</si>
  <si>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</si>
  <si>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</si>
  <si>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</si>
  <si>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</si>
  <si>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</si>
  <si>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</si>
  <si>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</si>
  <si>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</si>
  <si>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</si>
  <si>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</si>
  <si>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</si>
  <si>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</si>
  <si>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</si>
  <si>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</si>
  <si>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</si>
  <si>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</si>
  <si>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</si>
  <si>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</si>
  <si>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</si>
  <si>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</si>
  <si>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</si>
  <si>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</si>
  <si>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</si>
  <si>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</si>
  <si>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</si>
  <si>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</si>
  <si>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</si>
  <si>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</si>
  <si>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</si>
  <si>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</si>
  <si>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</si>
  <si>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</si>
  <si>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</si>
  <si>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</si>
  <si>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</si>
  <si>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</si>
  <si>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</si>
  <si>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</si>
  <si>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</si>
  <si>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</si>
  <si>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</si>
  <si>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</si>
  <si>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</si>
  <si>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</si>
  <si>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</si>
  <si>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</si>
  <si>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</si>
  <si>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</si>
  <si>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</si>
  <si>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</si>
  <si>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</si>
  <si>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</si>
  <si>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</si>
  <si>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</si>
  <si>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</si>
  <si>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</si>
  <si>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</si>
  <si>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</si>
  <si>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</si>
  <si>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</si>
  <si>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</si>
  <si>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</si>
  <si>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</si>
  <si>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</si>
  <si>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</si>
  <si>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</si>
  <si>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</si>
  <si>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</si>
  <si>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</si>
  <si>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</si>
  <si>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</si>
  <si>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</si>
  <si>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</si>
  <si>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</si>
  <si>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</si>
  <si>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</si>
  <si>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</si>
  <si>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</si>
  <si>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</si>
  <si>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</si>
  <si>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</si>
  <si>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</si>
  <si>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</si>
  <si>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</si>
  <si>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</si>
  <si>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</si>
  <si>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</si>
  <si>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</si>
  <si>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</si>
  <si>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</si>
  <si>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</si>
  <si>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</si>
  <si>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</si>
  <si>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</si>
  <si>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</si>
  <si>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</si>
  <si>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</si>
  <si>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</si>
  <si>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</si>
  <si>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</si>
  <si>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</si>
  <si>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</si>
  <si>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</si>
  <si>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</si>
  <si>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</si>
  <si>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</si>
  <si>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</si>
  <si>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</si>
  <si>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</si>
  <si>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</si>
  <si>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</si>
  <si>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</si>
  <si>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</si>
  <si>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</si>
  <si>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</si>
  <si>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</si>
  <si>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</si>
  <si>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</si>
  <si>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</si>
  <si>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</si>
  <si>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</si>
  <si>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</si>
  <si>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</si>
  <si>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</si>
  <si>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</si>
  <si>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</si>
  <si>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</si>
  <si>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</si>
  <si>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</si>
  <si>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</si>
  <si>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</si>
  <si>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</si>
  <si>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</si>
  <si>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</si>
  <si>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</si>
  <si>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</si>
  <si>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</si>
  <si>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</si>
  <si>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</si>
  <si>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</si>
  <si>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</si>
  <si>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</si>
  <si>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</si>
  <si>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</si>
  <si>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</si>
  <si>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</si>
  <si>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</si>
  <si>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</si>
  <si>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</si>
  <si>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</si>
  <si>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</si>
  <si>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</si>
  <si>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</si>
  <si>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</si>
  <si>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</si>
  <si>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</si>
  <si>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</si>
  <si>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</si>
  <si>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</si>
  <si>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</si>
  <si>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</si>
  <si>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</si>
  <si>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</si>
  <si>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</si>
  <si>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</si>
  <si>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</si>
  <si>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</si>
  <si>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</si>
  <si>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</si>
  <si>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</si>
  <si>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</si>
  <si>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</si>
  <si>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</si>
  <si>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</si>
  <si>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</si>
  <si>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</si>
  <si>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</si>
  <si>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</si>
  <si>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</si>
  <si>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</si>
  <si>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</si>
  <si>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</si>
  <si>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</si>
  <si>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</si>
  <si>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</si>
  <si>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</si>
  <si>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</si>
  <si>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</si>
  <si>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</si>
  <si>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</si>
  <si>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</si>
  <si>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</si>
  <si>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</si>
  <si>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</si>
  <si>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</si>
  <si>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</si>
  <si>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</si>
  <si>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</si>
  <si>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</si>
  <si>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</si>
  <si>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</si>
  <si>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</si>
  <si>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</si>
  <si>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</si>
  <si>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</si>
  <si>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</si>
  <si>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</si>
  <si>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</si>
  <si>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</si>
  <si>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</si>
  <si>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</si>
  <si>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</si>
  <si>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</si>
  <si>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</si>
  <si>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</si>
  <si>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</si>
  <si>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</si>
  <si>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</si>
  <si>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</si>
  <si>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</si>
  <si>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</si>
  <si>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</si>
  <si>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</si>
  <si>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</si>
  <si>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</si>
  <si>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</si>
  <si>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</si>
  <si>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</si>
  <si>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</si>
  <si>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</si>
  <si>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</si>
  <si>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</si>
  <si>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</si>
  <si>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</si>
  <si>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</si>
  <si>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</si>
  <si>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</si>
  <si>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</si>
  <si>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</si>
  <si>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</si>
  <si>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</si>
  <si>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</si>
  <si>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</si>
  <si>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</si>
  <si>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</si>
  <si>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</si>
  <si>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</si>
  <si>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</si>
  <si>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</si>
  <si>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</si>
  <si>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</si>
  <si>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</si>
  <si>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</si>
  <si>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</si>
  <si>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</si>
  <si>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</si>
  <si>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</si>
  <si>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</si>
  <si>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</si>
  <si>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</si>
  <si>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</si>
  <si>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</si>
  <si>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</si>
  <si>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</si>
  <si>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</si>
  <si>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</si>
  <si>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</si>
  <si>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</si>
  <si>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</si>
  <si>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</si>
  <si>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</si>
  <si>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</si>
  <si>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</si>
  <si>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</si>
  <si>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</si>
  <si>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</si>
  <si>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</si>
  <si>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</si>
  <si>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</si>
  <si>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</si>
  <si>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</si>
  <si>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</si>
  <si>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</si>
  <si>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</si>
  <si>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</si>
  <si>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</si>
  <si>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</si>
  <si>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</si>
  <si>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</si>
  <si>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</si>
  <si>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</si>
  <si>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</si>
  <si>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</si>
  <si>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</si>
  <si>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</si>
  <si>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</si>
  <si>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</si>
  <si>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</si>
  <si>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</si>
  <si>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</si>
  <si>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</si>
  <si>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</si>
  <si>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</si>
  <si>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</si>
  <si>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</si>
  <si>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</si>
  <si>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</si>
  <si>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</si>
  <si>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</si>
  <si>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</si>
  <si>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</si>
  <si>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</si>
  <si>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</si>
  <si>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</si>
  <si>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</si>
  <si>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</si>
  <si>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</si>
  <si>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</si>
  <si>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</si>
  <si>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</si>
  <si>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</si>
  <si>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</si>
  <si>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</si>
  <si>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</si>
  <si>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</si>
  <si>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</si>
  <si>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</si>
  <si>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</si>
  <si>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</si>
  <si>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</si>
  <si>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</si>
  <si>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</si>
  <si>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</si>
  <si>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</si>
  <si>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</si>
  <si>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</si>
  <si>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</si>
  <si>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</si>
  <si>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</si>
  <si>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</si>
  <si>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</si>
  <si>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</si>
  <si>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</si>
  <si>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</si>
  <si>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</si>
  <si>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</si>
  <si>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</si>
  <si>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</si>
  <si>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</si>
  <si>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</si>
  <si>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</si>
  <si>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</si>
  <si>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</si>
  <si>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</si>
  <si>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</si>
  <si>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</si>
  <si>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</si>
  <si>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</si>
  <si>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</si>
  <si>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</si>
  <si>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</si>
  <si>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</si>
  <si>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</si>
  <si>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</si>
  <si>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</si>
  <si>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</si>
  <si>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</si>
  <si>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</si>
  <si>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</si>
  <si>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</si>
  <si>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</si>
  <si>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</si>
  <si>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</si>
  <si>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</si>
  <si>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</si>
  <si>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</si>
  <si>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</si>
  <si>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</si>
  <si>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</si>
  <si>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</si>
  <si>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</si>
  <si>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</si>
  <si>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</si>
  <si>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</si>
  <si>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</si>
  <si>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</si>
  <si>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</si>
  <si>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</si>
  <si>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</si>
  <si>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</si>
  <si>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</si>
  <si>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</si>
  <si>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</si>
  <si>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</si>
  <si>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</si>
  <si>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</si>
  <si>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</si>
  <si>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</si>
  <si>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</si>
  <si>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</si>
  <si>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</si>
  <si>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</si>
  <si>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</si>
  <si>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</si>
  <si>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</si>
  <si>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</si>
  <si>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</si>
  <si>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</si>
  <si>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</si>
  <si>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</si>
  <si>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</si>
  <si>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</si>
  <si>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</si>
  <si>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</si>
  <si>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</si>
  <si>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</si>
  <si>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</si>
  <si>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</si>
  <si>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</si>
  <si>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</si>
  <si>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</si>
  <si>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</si>
  <si>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</si>
  <si>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</si>
  <si>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</si>
  <si>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</si>
  <si>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</si>
  <si>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</si>
  <si>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</si>
  <si>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</si>
  <si>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</si>
  <si>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</si>
  <si>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</si>
  <si>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</si>
  <si>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</si>
  <si>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</si>
  <si>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</si>
  <si>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</si>
  <si>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</si>
  <si>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</si>
  <si>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</si>
  <si>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</si>
  <si>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</si>
  <si>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</si>
  <si>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</si>
  <si>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</si>
  <si>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</si>
  <si>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</si>
  <si>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</si>
  <si>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</si>
  <si>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</si>
  <si>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</si>
  <si>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</si>
  <si>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</si>
  <si>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</si>
  <si>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</si>
  <si>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</si>
  <si>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</si>
  <si>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</si>
  <si>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</si>
  <si>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</si>
  <si>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</si>
  <si>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</si>
  <si>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</si>
  <si>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</si>
  <si>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</si>
  <si>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</si>
  <si>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</si>
  <si>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</si>
  <si>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</si>
  <si>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</si>
  <si>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</si>
  <si>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</si>
  <si>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</si>
  <si>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</si>
  <si>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</si>
  <si>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</si>
  <si>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</si>
  <si>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</si>
  <si>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</si>
  <si>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</si>
  <si>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</si>
  <si>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</si>
  <si>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</si>
  <si>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</si>
  <si>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</si>
  <si>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</si>
  <si>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</si>
  <si>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</si>
  <si>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</si>
  <si>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</si>
  <si>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</si>
  <si>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</si>
  <si>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</si>
  <si>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</si>
  <si>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</si>
  <si>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</si>
  <si>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</si>
  <si>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</si>
  <si>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</si>
  <si>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</si>
  <si>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</si>
  <si>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</si>
  <si>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</si>
  <si>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</si>
  <si>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</si>
  <si>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</si>
  <si>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</si>
  <si>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</si>
  <si>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</si>
  <si>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</si>
  <si>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</si>
  <si>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</si>
  <si>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</si>
  <si>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</si>
  <si>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</si>
  <si>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</si>
  <si>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</si>
  <si>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</si>
  <si>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</si>
  <si>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</si>
  <si>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</si>
  <si>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</si>
  <si>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</si>
  <si>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</si>
  <si>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</si>
  <si>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</si>
  <si>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</si>
  <si>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</si>
  <si>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</si>
  <si>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</si>
  <si>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</si>
  <si>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</si>
  <si>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</si>
  <si>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</si>
  <si>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</si>
  <si>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</si>
  <si>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</si>
  <si>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</si>
  <si>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</si>
  <si>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</si>
  <si>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</si>
  <si>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</si>
  <si>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</si>
  <si>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</si>
  <si>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</si>
  <si>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</si>
  <si>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</si>
  <si>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</si>
  <si>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</si>
  <si>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</si>
  <si>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</si>
  <si>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</si>
  <si>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</si>
  <si>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</si>
  <si>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</si>
  <si>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</si>
  <si>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</si>
  <si>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</si>
  <si>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</si>
  <si>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</si>
  <si>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</si>
  <si>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</si>
  <si>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</si>
  <si>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</si>
  <si>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</si>
  <si>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</si>
  <si>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</si>
  <si>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</si>
  <si>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</si>
  <si>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</si>
  <si>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</si>
  <si>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</si>
  <si>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</si>
  <si>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</si>
  <si>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</si>
  <si>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</si>
  <si>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</si>
  <si>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</si>
  <si>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</si>
  <si>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</si>
  <si>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</si>
  <si>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</si>
  <si>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</si>
  <si>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</si>
  <si>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</si>
  <si>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</si>
  <si>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</si>
  <si>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</si>
  <si>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</si>
  <si>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</si>
  <si>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</si>
  <si>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</si>
  <si>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</si>
  <si>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</si>
  <si>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</si>
  <si>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</si>
  <si>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</si>
  <si>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</si>
  <si>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</si>
  <si>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</si>
  <si>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</si>
  <si>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</si>
  <si>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</si>
  <si>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</si>
  <si>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</si>
  <si>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</si>
  <si>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</si>
  <si>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</si>
  <si>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</si>
  <si>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</si>
  <si>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</si>
  <si>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</si>
  <si>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</si>
  <si>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</si>
  <si>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</si>
  <si>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</si>
  <si>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</si>
  <si>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</si>
  <si>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</si>
  <si>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</si>
  <si>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</si>
  <si>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</si>
  <si>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</si>
  <si>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</si>
  <si>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</si>
  <si>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</si>
  <si>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</si>
  <si>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</si>
  <si>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</si>
  <si>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</si>
  <si>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</si>
  <si>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</si>
  <si>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</si>
  <si>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</si>
  <si>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</si>
  <si>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</si>
  <si>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</si>
  <si>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</si>
  <si>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</si>
  <si>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</si>
  <si>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</si>
  <si>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</si>
  <si>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</si>
  <si>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</si>
  <si>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</si>
  <si>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</si>
  <si>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</si>
  <si>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</si>
  <si>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</si>
  <si>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</si>
  <si>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</si>
  <si>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</si>
  <si>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</si>
  <si>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</si>
  <si>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</si>
  <si>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</si>
  <si>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</si>
  <si>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</si>
  <si>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</si>
  <si>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</si>
  <si>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</si>
  <si>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</si>
  <si>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</si>
  <si>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</si>
  <si>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</si>
  <si>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</si>
  <si>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</si>
  <si>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</si>
  <si>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</si>
  <si>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</si>
  <si>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</si>
  <si>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</si>
  <si>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</si>
  <si>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</si>
  <si>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</si>
  <si>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</si>
  <si>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</si>
  <si>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</si>
  <si>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</si>
  <si>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</si>
  <si>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</si>
  <si>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</si>
  <si>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</si>
  <si>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</si>
  <si>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</si>
  <si>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</si>
  <si>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</si>
  <si>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</si>
  <si>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</si>
  <si>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</si>
  <si>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</si>
  <si>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</si>
  <si>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</si>
  <si>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</si>
  <si>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</si>
  <si>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</si>
  <si>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</si>
  <si>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</si>
  <si>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</si>
  <si>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</si>
  <si>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</si>
  <si>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</si>
  <si>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</si>
  <si>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</si>
  <si>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</si>
  <si>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</si>
  <si>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</si>
  <si>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</si>
  <si>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</si>
  <si>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</si>
  <si>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</si>
  <si>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</si>
  <si>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</si>
  <si>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</si>
  <si>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</si>
  <si>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</si>
  <si>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</si>
  <si>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</si>
  <si>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</si>
  <si>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</si>
  <si>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</si>
  <si>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</si>
  <si>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</si>
  <si>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</si>
  <si>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</si>
  <si>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</si>
  <si>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</si>
  <si>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</si>
  <si>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</si>
  <si>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</si>
  <si>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</si>
  <si>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</si>
  <si>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</si>
  <si>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</si>
  <si>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</si>
  <si>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</si>
  <si>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</si>
  <si>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</si>
  <si>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</si>
  <si>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</si>
  <si>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</si>
  <si>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</si>
  <si>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</si>
  <si>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</si>
  <si>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</si>
  <si>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</si>
  <si>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</si>
  <si>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</si>
  <si>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</si>
  <si>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</si>
  <si>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</si>
  <si>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</si>
  <si>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</si>
  <si>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</si>
  <si>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</si>
  <si>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</si>
  <si>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</si>
  <si>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</si>
  <si>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</si>
  <si>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</si>
  <si>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</si>
  <si>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</si>
  <si>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</si>
  <si>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</si>
  <si>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</si>
  <si>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</si>
  <si>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</si>
  <si>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</si>
  <si>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</si>
  <si>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</si>
  <si>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</si>
  <si>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</si>
  <si>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</si>
  <si>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</si>
  <si>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</si>
  <si>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</si>
  <si>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</si>
  <si>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</si>
  <si>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</si>
  <si>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</si>
  <si>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</si>
  <si>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</si>
  <si>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</si>
  <si>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</si>
  <si>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</si>
  <si>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</si>
  <si>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</si>
  <si>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</si>
  <si>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</si>
  <si>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</si>
  <si>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</si>
  <si>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</si>
  <si>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</si>
  <si>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</si>
  <si>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</si>
  <si>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</si>
  <si>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</si>
  <si>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</si>
  <si>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</si>
  <si>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</si>
  <si>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</si>
  <si>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</si>
  <si>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</si>
  <si>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</si>
  <si>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</si>
  <si>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</si>
  <si>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</si>
  <si>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</si>
  <si>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</si>
  <si>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</si>
  <si>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</si>
  <si>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</si>
  <si>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</si>
  <si>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</si>
  <si>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</si>
  <si>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</si>
  <si>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</si>
  <si>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</si>
  <si>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</si>
  <si>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</si>
  <si>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</si>
  <si>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</si>
  <si>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</si>
  <si>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</si>
  <si>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</si>
  <si>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</si>
  <si>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</si>
  <si>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</si>
  <si>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</si>
  <si>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</si>
  <si>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</si>
  <si>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</si>
  <si>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</si>
  <si>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</si>
  <si>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</si>
  <si>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</si>
  <si>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</si>
  <si>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</si>
  <si>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</si>
  <si>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</si>
  <si>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</si>
  <si>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</si>
  <si>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</si>
  <si>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</si>
  <si>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</si>
  <si>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</si>
  <si>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</si>
  <si>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</si>
  <si>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</si>
  <si>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</si>
  <si>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</si>
  <si>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</si>
  <si>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</si>
  <si>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</si>
  <si>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</si>
  <si>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</si>
  <si>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</si>
  <si>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</si>
  <si>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</si>
  <si>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</si>
  <si>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</si>
  <si>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</si>
  <si>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</si>
  <si>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</si>
  <si>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</si>
  <si>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</si>
  <si>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</si>
  <si>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</si>
  <si>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</si>
  <si>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</si>
  <si>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</si>
  <si>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</si>
  <si>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</si>
  <si>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</si>
  <si>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</si>
  <si>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</si>
  <si>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</si>
  <si>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</si>
  <si>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</si>
  <si>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</si>
  <si>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</si>
  <si>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</si>
  <si>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</si>
  <si>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</si>
  <si>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</si>
  <si>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</si>
  <si>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</si>
  <si>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</si>
  <si>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</si>
  <si>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</si>
  <si>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</si>
  <si>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</si>
  <si>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</si>
  <si>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</si>
  <si>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</si>
  <si>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</si>
  <si>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</si>
  <si>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</si>
  <si>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</si>
  <si>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</si>
  <si>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</si>
  <si>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</si>
  <si>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</si>
  <si>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</si>
  <si>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</si>
  <si>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</si>
  <si>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</si>
  <si>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</si>
  <si>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</si>
  <si>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</si>
  <si>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</si>
  <si>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</si>
  <si>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</si>
  <si>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</si>
  <si>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</si>
  <si>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</si>
  <si>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</si>
  <si>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</si>
  <si>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</si>
  <si>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</si>
  <si>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</si>
  <si>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</si>
  <si>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</si>
  <si>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</si>
  <si>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</si>
  <si>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</si>
  <si>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</si>
  <si>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</si>
  <si>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</si>
  <si>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</si>
  <si>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</si>
  <si>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</si>
  <si>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</si>
  <si>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</si>
  <si>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</si>
  <si>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</si>
  <si>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</si>
  <si>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</si>
  <si>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</si>
  <si>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</si>
  <si>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</si>
  <si>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</si>
  <si>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</si>
  <si>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</si>
  <si>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</si>
  <si>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</si>
  <si>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</si>
  <si>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</si>
  <si>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</si>
  <si>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</si>
  <si>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</si>
  <si>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</si>
  <si>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</si>
  <si>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</si>
  <si>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</si>
  <si>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</si>
  <si>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</si>
  <si>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</si>
  <si>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</si>
  <si>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</si>
  <si>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</si>
  <si>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</si>
  <si>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</si>
  <si>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</si>
  <si>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</si>
  <si>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</si>
  <si>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</si>
  <si>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</si>
  <si>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</si>
  <si>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</si>
  <si>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</si>
  <si>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</si>
  <si>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</si>
  <si>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</si>
  <si>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</si>
  <si>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</si>
  <si>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</si>
  <si>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</si>
  <si>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</si>
  <si>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</si>
  <si>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</si>
  <si>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</si>
  <si>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</si>
  <si>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</si>
  <si>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</si>
  <si>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</si>
  <si>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</si>
  <si>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</si>
  <si>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</si>
  <si>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</si>
  <si>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</si>
  <si>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</si>
  <si>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</si>
  <si>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</si>
  <si>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</si>
  <si>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</si>
  <si>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</si>
  <si>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</si>
  <si>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</si>
  <si>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</si>
  <si>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</si>
  <si>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</si>
  <si>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</si>
  <si>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</si>
  <si>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</si>
  <si>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</si>
  <si>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</si>
  <si>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</si>
  <si>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</si>
  <si>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</si>
  <si>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</si>
  <si>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</si>
  <si>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</si>
  <si>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</si>
  <si>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</si>
  <si>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</si>
  <si>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</si>
  <si>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</si>
  <si>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</si>
  <si>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</si>
  <si>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</si>
  <si>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</si>
  <si>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</si>
  <si>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</si>
  <si>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</si>
  <si>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</si>
  <si>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</si>
  <si>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</si>
  <si>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</si>
  <si>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</si>
  <si>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</si>
  <si>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</si>
  <si>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</si>
  <si>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</si>
  <si>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</si>
  <si>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</si>
  <si>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</si>
  <si>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</si>
  <si>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</si>
  <si>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</si>
  <si>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</si>
  <si>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</si>
  <si>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</si>
  <si>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</si>
  <si>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</si>
  <si>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</si>
  <si>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</si>
  <si>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</si>
  <si>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</si>
  <si>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</si>
  <si>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</si>
  <si>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</si>
  <si>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</si>
  <si>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</si>
  <si>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</si>
  <si>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</si>
  <si>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</si>
  <si>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</si>
  <si>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</si>
  <si>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</si>
  <si>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</si>
  <si>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</si>
  <si>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</si>
  <si>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</si>
  <si>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</si>
  <si>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</si>
  <si>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</si>
  <si>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</si>
  <si>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</si>
  <si>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</si>
  <si>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</si>
  <si>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</si>
  <si>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</si>
  <si>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</si>
  <si>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</si>
  <si>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</si>
  <si>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</si>
  <si>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</si>
  <si>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</si>
  <si>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</si>
  <si>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</si>
  <si>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</si>
  <si>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</si>
  <si>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</si>
  <si>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</si>
  <si>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</si>
  <si>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t>京（2023）昌不动产权第0047852号</t>
    <phoneticPr fontId="134" type="noConversion"/>
  </si>
  <si>
    <t>京（2023）昌不动产权第0047848号</t>
    <phoneticPr fontId="134" type="noConversion"/>
  </si>
  <si>
    <t>京（2021）昌不动产权第0033482号</t>
  </si>
  <si>
    <t>京（2021）昌不动产权第0033487号</t>
  </si>
  <si>
    <t>总价（元）</t>
    <phoneticPr fontId="134" type="noConversion"/>
  </si>
  <si>
    <t>单价（元/平方米）</t>
    <phoneticPr fontId="134" type="noConversion"/>
  </si>
  <si>
    <r>
      <t>503</t>
    </r>
    <r>
      <rPr>
        <sz val="11"/>
        <color theme="9" tint="-0.249977111117893"/>
        <rFont val="宋体"/>
        <family val="3"/>
        <charset val="134"/>
      </rPr>
      <t>办公用房</t>
    </r>
    <phoneticPr fontId="31" type="noConversion"/>
  </si>
  <si>
    <t>总价</t>
    <phoneticPr fontId="24" type="noConversion"/>
  </si>
  <si>
    <t>单价</t>
    <phoneticPr fontId="24" type="noConversion"/>
  </si>
  <si>
    <t>京（2022）昌不动产权第0031865号</t>
    <phoneticPr fontId="134" type="noConversion"/>
  </si>
  <si>
    <t>旧的</t>
    <phoneticPr fontId="134" type="noConversion"/>
  </si>
  <si>
    <t>新的</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</si>
</sst>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sz val="11"/>
      <color rgb="FFFF000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08" fillId="9" borderId="1" xfId="0" applyFont="1" applyFill="1" applyBorder="1" applyAlignment="1">
      <alignment horizontal="left" vertical="center"/>
    </xf>
    <xf numFmtId="0" fontId="284" fillId="0" borderId="1" xfId="0" applyFont="1" applyBorder="1" applyAlignment="1">
      <alignment horizontal="left" vertical="center"/>
    </xf>
    <xf numFmtId="0" fontId="285" fillId="0" borderId="1" xfId="0" applyFont="1" applyBorder="1" applyAlignment="1">
      <alignment horizontal="left" vertical="center"/>
    </xf>
    <xf numFmtId="0" fontId="284" fillId="0" borderId="0" xfId="0" applyFont="1">
      <alignment vertical="center"/>
    </xf>
    <xf numFmtId="0" fontId="284" fillId="9" borderId="0" xfId="0" applyFont="1" applyFill="1">
      <alignment vertical="center"/>
    </xf>
    <xf numFmtId="0" fontId="284" fillId="24" borderId="1" xfId="0" applyFont="1" applyFill="1" applyBorder="1" applyAlignment="1">
      <alignment horizontal="left" vertical="center"/>
    </xf>
    <xf numFmtId="0" fontId="284" fillId="23" borderId="1" xfId="0" applyFont="1" applyFill="1" applyBorder="1" applyAlignment="1">
      <alignment horizontal="left" vertical="center"/>
    </xf>
    <xf numFmtId="0" fontId="284" fillId="25" borderId="1" xfId="0" applyFont="1" applyFill="1" applyBorder="1" applyAlignment="1">
      <alignment horizontal="left" vertical="center"/>
    </xf>
    <xf numFmtId="0" fontId="284" fillId="6" borderId="1" xfId="0" applyFont="1" applyFill="1" applyBorder="1" applyAlignment="1">
      <alignment horizontal="left" vertical="center"/>
    </xf>
    <xf numFmtId="0" fontId="95" fillId="26" borderId="1" xfId="0" applyFont="1" applyFill="1" applyBorder="1" applyAlignment="1">
      <alignment horizontal="left" vertical="center"/>
    </xf>
    <xf numFmtId="0" fontId="0" fillId="26" borderId="1" xfId="0" applyFill="1" applyBorder="1" applyAlignment="1">
      <alignment horizontal="left" vertical="center"/>
    </xf>
    <xf numFmtId="0" fontId="284" fillId="9" borderId="1" xfId="0" applyFont="1" applyFill="1" applyBorder="1" applyAlignment="1">
      <alignment horizontal="lef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95" fillId="9" borderId="0" xfId="0" applyFont="1" applyFill="1">
      <alignment vertical="center"/>
    </xf>
    <xf numFmtId="0" fontId="284" fillId="27" borderId="1" xfId="0" applyFont="1" applyFill="1" applyBorder="1" applyAlignment="1">
      <alignment horizontal="left" vertical="center"/>
    </xf>
    <xf numFmtId="0" fontId="284" fillId="27" borderId="1" xfId="0" applyFont="1" applyFill="1" applyBorder="1">
      <alignment vertical="center"/>
    </xf>
    <xf numFmtId="0" fontId="284" fillId="28" borderId="1" xfId="0" applyFont="1" applyFill="1" applyBorder="1" applyAlignment="1">
      <alignment horizontal="left" vertical="center"/>
    </xf>
    <xf numFmtId="0" fontId="284" fillId="28" borderId="1"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0" fillId="26" borderId="1" xfId="0" applyFill="1" applyBorder="1" applyAlignment="1">
      <alignment horizontal="center" vertical="center"/>
    </xf>
    <xf numFmtId="0" fontId="284" fillId="24" borderId="1" xfId="0" applyFont="1" applyFill="1" applyBorder="1" applyAlignment="1">
      <alignment horizontal="left" vertical="center"/>
    </xf>
    <xf numFmtId="0" fontId="284" fillId="23" borderId="1" xfId="0" applyFont="1" applyFill="1" applyBorder="1" applyAlignment="1">
      <alignment horizontal="left" vertical="center"/>
    </xf>
    <xf numFmtId="0" fontId="284" fillId="25" borderId="1" xfId="0" applyFont="1" applyFill="1" applyBorder="1" applyAlignment="1">
      <alignment horizontal="left" vertical="center"/>
    </xf>
    <xf numFmtId="0" fontId="284" fillId="6" borderId="1" xfId="0" applyFont="1" applyFill="1" applyBorder="1" applyAlignment="1">
      <alignment horizontal="center" vertical="center"/>
    </xf>
    <xf numFmtId="0" fontId="284" fillId="24" borderId="13" xfId="0" applyFont="1" applyFill="1" applyBorder="1" applyAlignment="1">
      <alignment horizontal="left" vertical="center"/>
    </xf>
    <xf numFmtId="0" fontId="284" fillId="24" borderId="15" xfId="0" applyFont="1" applyFill="1" applyBorder="1" applyAlignment="1">
      <alignment horizontal="left" vertical="center"/>
    </xf>
    <xf numFmtId="0" fontId="284" fillId="24" borderId="2" xfId="0" applyFont="1" applyFill="1" applyBorder="1" applyAlignment="1">
      <alignment horizontal="left" vertical="center"/>
    </xf>
    <xf numFmtId="0" fontId="284" fillId="6" borderId="5" xfId="0" applyFont="1" applyFill="1" applyBorder="1" applyAlignment="1">
      <alignment horizontal="center" vertical="center"/>
    </xf>
    <xf numFmtId="0" fontId="284" fillId="6" borderId="3" xfId="0" applyFont="1" applyFill="1" applyBorder="1" applyAlignment="1">
      <alignment horizontal="center" vertical="center"/>
    </xf>
    <xf numFmtId="0" fontId="284" fillId="23" borderId="13" xfId="0" applyFont="1" applyFill="1" applyBorder="1" applyAlignment="1">
      <alignment horizontal="left" vertical="center"/>
    </xf>
    <xf numFmtId="0" fontId="284" fillId="23" borderId="15" xfId="0" applyFont="1" applyFill="1" applyBorder="1" applyAlignment="1">
      <alignment horizontal="left" vertical="center"/>
    </xf>
    <xf numFmtId="0" fontId="284" fillId="23" borderId="2" xfId="0" applyFont="1" applyFill="1" applyBorder="1" applyAlignment="1">
      <alignment horizontal="left" vertical="center"/>
    </xf>
    <xf numFmtId="0" fontId="284" fillId="25" borderId="13" xfId="0" applyFont="1" applyFill="1" applyBorder="1" applyAlignment="1">
      <alignment horizontal="left" vertical="center"/>
    </xf>
    <xf numFmtId="0" fontId="284" fillId="25" borderId="15" xfId="0" applyFont="1" applyFill="1" applyBorder="1" applyAlignment="1">
      <alignment horizontal="left" vertical="center"/>
    </xf>
    <xf numFmtId="0" fontId="284" fillId="25" borderId="2" xfId="0" applyFont="1" applyFill="1" applyBorder="1" applyAlignment="1">
      <alignment horizontal="left" vertical="center"/>
    </xf>
    <xf numFmtId="0" fontId="284" fillId="9" borderId="1" xfId="0" applyFont="1" applyFill="1" applyBorder="1" applyAlignment="1">
      <alignment horizontal="left" vertical="center"/>
    </xf>
    <xf numFmtId="0" fontId="284" fillId="0" borderId="1" xfId="0" applyFont="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18" borderId="54" xfId="0" applyFont="1" applyFill="1" applyBorder="1" applyAlignment="1">
      <alignment horizontal="left" vertical="center" wrapText="1"/>
    </xf>
    <xf numFmtId="176" fontId="44" fillId="6" borderId="1" xfId="0" applyNumberFormat="1"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18"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95" fillId="0" borderId="0" xfId="0" applyFont="1" applyAlignment="1">
      <alignment horizontal="lef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估价对象为北京市房地产，为所有。根据《国有土地使用证》[]，估价对象（分摊）出让国有建设用地使用权面积为0平方米，建筑面积为145.47平方米。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估价对象为北京市房地产,属开发建设的，该项目尚在开发建设中。根据《国有土地使用证》[]，估价对象（分摊）出让国有建设用地使用权面积为0平方米，规划建筑面积为145.47平方米。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276</v>
      </c>
    </row>
    <row r="21" spans="1:2">
      <c r="A21" s="860" t="s">
        <v>531</v>
      </c>
      <c r="B21" s="861">
        <f ca="1">'预评函-2'!D7</f>
        <v>1304255</v>
      </c>
    </row>
    <row r="22" spans="1:2">
      <c r="A22" s="860" t="s">
        <v>532</v>
      </c>
      <c r="B22" s="861" t="str">
        <f ca="1">'预评函-2'!D6</f>
        <v>贰佰柒拾陆万元整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276</v>
      </c>
    </row>
    <row r="31" spans="1:2">
      <c r="A31" s="860" t="s">
        <v>570</v>
      </c>
      <c r="B31" s="861">
        <f ca="1">'预评函-2'!D15</f>
        <v>1304255</v>
      </c>
    </row>
    <row r="32" spans="1:2">
      <c r="A32" s="860" t="s">
        <v>537</v>
      </c>
      <c r="B32" s="861" t="str">
        <f ca="1">'预评函-2'!D14</f>
        <v>贰佰柒拾陆万元整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145.47</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957</v>
      </c>
      <c r="C1" s="1158" t="s">
        <v>312</v>
      </c>
      <c r="D1" s="1159" t="s">
        <v>3255</v>
      </c>
      <c r="E1" s="1158" t="s">
        <v>958</v>
      </c>
      <c r="F1" s="1158" t="s">
        <v>959</v>
      </c>
      <c r="G1" s="1158" t="s">
        <v>960</v>
      </c>
      <c r="H1" s="1158" t="s">
        <v>961</v>
      </c>
      <c r="I1" s="1158" t="s">
        <v>962</v>
      </c>
      <c r="J1" s="1158" t="s">
        <v>963</v>
      </c>
      <c r="K1" s="1158" t="s">
        <v>964</v>
      </c>
      <c r="L1" s="1158" t="s">
        <v>965</v>
      </c>
      <c r="M1" s="1158" t="s">
        <v>966</v>
      </c>
      <c r="N1" s="1158" t="s">
        <v>967</v>
      </c>
      <c r="O1" s="1158" t="s">
        <v>968</v>
      </c>
      <c r="P1" s="1159" t="s">
        <v>307</v>
      </c>
      <c r="Q1" s="1159" t="s">
        <v>441</v>
      </c>
      <c r="R1" s="1158" t="s">
        <v>435</v>
      </c>
      <c r="S1" s="1158" t="s">
        <v>969</v>
      </c>
      <c r="T1" s="1159" t="s">
        <v>970</v>
      </c>
      <c r="U1" s="1158" t="s">
        <v>971</v>
      </c>
      <c r="V1" s="1158" t="s">
        <v>972</v>
      </c>
      <c r="W1" s="1158" t="s">
        <v>309</v>
      </c>
      <c r="X1" s="1158" t="s">
        <v>653</v>
      </c>
      <c r="Y1" s="1158" t="s">
        <v>19</v>
      </c>
      <c r="Z1" s="1158" t="s">
        <v>3293</v>
      </c>
      <c r="AA1" s="1158" t="s">
        <v>3292</v>
      </c>
      <c r="AB1" s="1158" t="s">
        <v>3</v>
      </c>
    </row>
    <row r="2" spans="1:28">
      <c r="A2" s="1161" t="s">
        <v>17</v>
      </c>
      <c r="B2" s="1161" t="s">
        <v>973</v>
      </c>
      <c r="C2" s="1162" t="s">
        <v>313</v>
      </c>
      <c r="D2" s="1163" t="s">
        <v>974</v>
      </c>
      <c r="E2" s="1163" t="s">
        <v>975</v>
      </c>
      <c r="F2" s="1163" t="s">
        <v>976</v>
      </c>
      <c r="G2" s="4059">
        <v>20</v>
      </c>
      <c r="H2" s="1163" t="s">
        <v>976</v>
      </c>
      <c r="I2" s="1163" t="s">
        <v>3241</v>
      </c>
      <c r="J2" s="1163" t="s">
        <v>977</v>
      </c>
      <c r="K2" s="1163" t="s">
        <v>978</v>
      </c>
      <c r="L2" s="1163" t="s">
        <v>978</v>
      </c>
      <c r="M2" s="1163" t="s">
        <v>978</v>
      </c>
      <c r="N2" s="1163" t="s">
        <v>978</v>
      </c>
      <c r="O2" s="1163" t="s">
        <v>978</v>
      </c>
      <c r="P2" s="1163" t="s">
        <v>978</v>
      </c>
      <c r="Q2" s="1163" t="s">
        <v>978</v>
      </c>
      <c r="R2" s="1163" t="s">
        <v>437</v>
      </c>
      <c r="S2" s="1163" t="s">
        <v>978</v>
      </c>
      <c r="T2" s="1163" t="s">
        <v>979</v>
      </c>
      <c r="U2" s="1163" t="s">
        <v>978</v>
      </c>
      <c r="V2" s="1163" t="s">
        <v>980</v>
      </c>
      <c r="W2" s="1163" t="s">
        <v>978</v>
      </c>
      <c r="X2" s="1165" t="s">
        <v>2346</v>
      </c>
      <c r="Y2" s="1165" t="s">
        <v>3299</v>
      </c>
      <c r="Z2" s="1165" t="s">
        <v>2359</v>
      </c>
      <c r="AA2" s="1165" t="s">
        <v>3300</v>
      </c>
      <c r="AB2" s="1165" t="s">
        <v>2386</v>
      </c>
    </row>
    <row r="3" spans="1:28">
      <c r="A3" s="1161" t="s">
        <v>981</v>
      </c>
      <c r="B3" s="1164" t="s">
        <v>442</v>
      </c>
      <c r="C3" s="1162" t="s">
        <v>314</v>
      </c>
      <c r="D3" s="1163" t="s">
        <v>982</v>
      </c>
      <c r="E3" s="1163" t="s">
        <v>12</v>
      </c>
      <c r="F3" s="1163" t="s">
        <v>983</v>
      </c>
      <c r="G3" s="4059">
        <v>40</v>
      </c>
      <c r="H3" s="1163" t="s">
        <v>983</v>
      </c>
      <c r="I3" s="1163" t="s">
        <v>3242</v>
      </c>
      <c r="J3" s="1163" t="s">
        <v>984</v>
      </c>
      <c r="K3" s="1163" t="s">
        <v>985</v>
      </c>
      <c r="L3" s="1163" t="s">
        <v>985</v>
      </c>
      <c r="M3" s="1163" t="s">
        <v>985</v>
      </c>
      <c r="N3" s="1163" t="s">
        <v>985</v>
      </c>
      <c r="O3" s="1163" t="s">
        <v>985</v>
      </c>
      <c r="P3" s="1163" t="s">
        <v>985</v>
      </c>
      <c r="Q3" s="1163" t="s">
        <v>985</v>
      </c>
      <c r="R3" s="1163" t="s">
        <v>436</v>
      </c>
      <c r="S3" s="1163" t="s">
        <v>985</v>
      </c>
      <c r="T3" s="1163" t="s">
        <v>986</v>
      </c>
      <c r="U3" s="1163" t="s">
        <v>985</v>
      </c>
      <c r="V3" s="1163" t="s">
        <v>987</v>
      </c>
      <c r="W3" s="1163" t="s">
        <v>985</v>
      </c>
      <c r="X3" s="1165" t="s">
        <v>2348</v>
      </c>
      <c r="Z3" s="1165" t="s">
        <v>2361</v>
      </c>
      <c r="AB3" s="1165" t="s">
        <v>2388</v>
      </c>
    </row>
    <row r="4" spans="1:28">
      <c r="A4" s="1161" t="s">
        <v>988</v>
      </c>
      <c r="B4" s="1161" t="s">
        <v>989</v>
      </c>
      <c r="C4" s="1162" t="s">
        <v>315</v>
      </c>
      <c r="D4" s="1163" t="s">
        <v>383</v>
      </c>
      <c r="E4" s="1163" t="s">
        <v>990</v>
      </c>
      <c r="F4" s="1163" t="s">
        <v>991</v>
      </c>
      <c r="G4" s="4059">
        <v>50</v>
      </c>
      <c r="H4" s="1163" t="s">
        <v>991</v>
      </c>
      <c r="I4" s="1163" t="s">
        <v>3243</v>
      </c>
      <c r="K4" s="1163" t="s">
        <v>992</v>
      </c>
      <c r="L4" s="1163" t="s">
        <v>992</v>
      </c>
      <c r="M4" s="1163" t="s">
        <v>992</v>
      </c>
      <c r="N4" s="1163" t="s">
        <v>992</v>
      </c>
      <c r="O4" s="1163" t="s">
        <v>992</v>
      </c>
      <c r="P4" s="1163" t="s">
        <v>992</v>
      </c>
      <c r="Q4" s="1163" t="s">
        <v>992</v>
      </c>
      <c r="R4" s="1163" t="s">
        <v>438</v>
      </c>
      <c r="S4" s="1163" t="s">
        <v>992</v>
      </c>
      <c r="T4" s="1163" t="s">
        <v>993</v>
      </c>
      <c r="U4" s="1163" t="s">
        <v>992</v>
      </c>
      <c r="W4" s="1163" t="s">
        <v>992</v>
      </c>
      <c r="X4" s="1165" t="s">
        <v>2350</v>
      </c>
      <c r="Z4" s="1165" t="s">
        <v>2363</v>
      </c>
      <c r="AB4" s="1165" t="s">
        <v>2390</v>
      </c>
    </row>
    <row r="5" spans="1:28">
      <c r="A5" s="1161" t="s">
        <v>994</v>
      </c>
      <c r="B5" s="1161" t="s">
        <v>995</v>
      </c>
      <c r="C5" s="1162" t="s">
        <v>316</v>
      </c>
      <c r="F5" s="1163" t="s">
        <v>996</v>
      </c>
      <c r="G5" s="4059">
        <v>70</v>
      </c>
      <c r="H5" s="1163" t="s">
        <v>997</v>
      </c>
      <c r="I5" s="1163" t="s">
        <v>3244</v>
      </c>
      <c r="K5" s="1163" t="s">
        <v>998</v>
      </c>
      <c r="L5" s="1163" t="s">
        <v>998</v>
      </c>
      <c r="M5" s="1163" t="s">
        <v>998</v>
      </c>
      <c r="N5" s="1163" t="s">
        <v>998</v>
      </c>
      <c r="O5" s="1163" t="s">
        <v>998</v>
      </c>
      <c r="P5" s="1163" t="s">
        <v>998</v>
      </c>
      <c r="Q5" s="1163" t="s">
        <v>998</v>
      </c>
      <c r="R5" s="1163" t="s">
        <v>439</v>
      </c>
      <c r="S5" s="1163" t="s">
        <v>998</v>
      </c>
      <c r="T5" s="1163" t="s">
        <v>999</v>
      </c>
      <c r="U5" s="1163" t="s">
        <v>998</v>
      </c>
      <c r="W5" s="1163" t="s">
        <v>998</v>
      </c>
      <c r="X5" s="1165" t="s">
        <v>2352</v>
      </c>
      <c r="Z5" s="1165" t="s">
        <v>2365</v>
      </c>
      <c r="AB5" s="1165" t="s">
        <v>3301</v>
      </c>
    </row>
    <row r="6" spans="1:28">
      <c r="A6" s="1161" t="s">
        <v>1000</v>
      </c>
      <c r="B6" s="1164" t="s">
        <v>443</v>
      </c>
      <c r="C6" s="1166" t="s">
        <v>22</v>
      </c>
      <c r="F6" s="1163" t="s">
        <v>997</v>
      </c>
      <c r="H6" s="1163" t="s">
        <v>1001</v>
      </c>
      <c r="I6" s="1163" t="s">
        <v>3245</v>
      </c>
      <c r="K6" s="1163" t="s">
        <v>1002</v>
      </c>
      <c r="L6" s="1163" t="s">
        <v>1002</v>
      </c>
      <c r="M6" s="1163" t="s">
        <v>1002</v>
      </c>
      <c r="N6" s="1163" t="s">
        <v>1002</v>
      </c>
      <c r="O6" s="1163" t="s">
        <v>1002</v>
      </c>
      <c r="P6" s="1163" t="s">
        <v>1002</v>
      </c>
      <c r="Q6" s="1163" t="s">
        <v>1002</v>
      </c>
      <c r="R6" s="1163" t="s">
        <v>440</v>
      </c>
      <c r="S6" s="1163" t="s">
        <v>1002</v>
      </c>
      <c r="T6" s="1163"/>
      <c r="U6" s="1163" t="s">
        <v>1002</v>
      </c>
      <c r="W6" s="1163" t="s">
        <v>1002</v>
      </c>
      <c r="X6" s="1165" t="s">
        <v>2354</v>
      </c>
      <c r="Z6" s="1165" t="s">
        <v>2367</v>
      </c>
      <c r="AB6" s="1165" t="s">
        <v>2393</v>
      </c>
    </row>
    <row r="7" spans="1:28">
      <c r="A7" s="1161" t="s">
        <v>1003</v>
      </c>
      <c r="B7" s="1164" t="s">
        <v>444</v>
      </c>
      <c r="C7" s="1162" t="s">
        <v>23</v>
      </c>
      <c r="F7" s="1163" t="s">
        <v>1004</v>
      </c>
      <c r="H7" s="1163" t="s">
        <v>1005</v>
      </c>
      <c r="I7" s="1163" t="s">
        <v>3246</v>
      </c>
      <c r="X7" s="1165" t="s">
        <v>2356</v>
      </c>
      <c r="Z7" s="1165" t="s">
        <v>2369</v>
      </c>
      <c r="AB7" s="1165" t="s">
        <v>2395</v>
      </c>
    </row>
    <row r="8" spans="1:28">
      <c r="A8" s="1161" t="s">
        <v>1006</v>
      </c>
      <c r="B8" s="1161" t="s">
        <v>2340</v>
      </c>
      <c r="C8" s="1162" t="s">
        <v>317</v>
      </c>
      <c r="F8" s="1163" t="s">
        <v>1008</v>
      </c>
      <c r="H8" s="1163" t="s">
        <v>2484</v>
      </c>
      <c r="I8" s="1163" t="s">
        <v>3247</v>
      </c>
      <c r="X8" s="1165" t="s">
        <v>3302</v>
      </c>
      <c r="Z8" s="1165" t="s">
        <v>2371</v>
      </c>
      <c r="AB8" s="1165" t="s">
        <v>2397</v>
      </c>
    </row>
    <row r="9" spans="1:28">
      <c r="A9" s="1161" t="s">
        <v>1009</v>
      </c>
      <c r="B9" s="1161" t="s">
        <v>1007</v>
      </c>
      <c r="C9" s="1162" t="s">
        <v>318</v>
      </c>
      <c r="F9" s="1163" t="s">
        <v>1011</v>
      </c>
      <c r="H9" s="1163"/>
      <c r="I9" s="1165" t="s">
        <v>3248</v>
      </c>
      <c r="X9" s="1165" t="s">
        <v>3303</v>
      </c>
      <c r="Z9" s="1165" t="s">
        <v>2373</v>
      </c>
      <c r="AB9" s="1165" t="s">
        <v>2399</v>
      </c>
    </row>
    <row r="10" spans="1:28">
      <c r="A10" s="1161" t="s">
        <v>1012</v>
      </c>
      <c r="B10" s="1161" t="s">
        <v>1010</v>
      </c>
      <c r="C10" s="1162" t="s">
        <v>319</v>
      </c>
      <c r="F10" s="1163" t="s">
        <v>2485</v>
      </c>
      <c r="I10" s="1165" t="s">
        <v>3249</v>
      </c>
      <c r="Z10" s="1165" t="s">
        <v>2375</v>
      </c>
      <c r="AB10" s="1165" t="s">
        <v>2401</v>
      </c>
    </row>
    <row r="11" spans="1:28">
      <c r="A11" s="1161" t="s">
        <v>1014</v>
      </c>
      <c r="B11" s="1161" t="s">
        <v>1013</v>
      </c>
      <c r="C11" s="1162" t="s">
        <v>320</v>
      </c>
      <c r="F11" s="1163" t="s">
        <v>12</v>
      </c>
      <c r="I11" s="1165" t="s">
        <v>3250</v>
      </c>
      <c r="Z11" s="1165" t="s">
        <v>2377</v>
      </c>
      <c r="AB11" s="1165" t="s">
        <v>2403</v>
      </c>
    </row>
    <row r="12" spans="1:28">
      <c r="A12" s="1161" t="s">
        <v>1016</v>
      </c>
      <c r="B12" s="1161" t="s">
        <v>1015</v>
      </c>
      <c r="C12" s="1162" t="s">
        <v>321</v>
      </c>
      <c r="I12" s="1165" t="s">
        <v>3251</v>
      </c>
      <c r="Z12" s="1165" t="s">
        <v>2379</v>
      </c>
      <c r="AB12" s="1165" t="s">
        <v>2405</v>
      </c>
    </row>
    <row r="13" spans="1:28">
      <c r="A13" s="1161" t="s">
        <v>1018</v>
      </c>
      <c r="B13" s="1161" t="s">
        <v>1017</v>
      </c>
      <c r="C13" s="1162" t="s">
        <v>322</v>
      </c>
      <c r="I13" s="1165" t="s">
        <v>3252</v>
      </c>
      <c r="Z13" s="1165" t="s">
        <v>2381</v>
      </c>
    </row>
    <row r="14" spans="1:28">
      <c r="A14" s="1161" t="s">
        <v>1020</v>
      </c>
      <c r="B14" s="1161" t="s">
        <v>1019</v>
      </c>
      <c r="C14" s="1163" t="s">
        <v>12</v>
      </c>
      <c r="I14" s="1165" t="s">
        <v>3253</v>
      </c>
      <c r="Z14" s="1165" t="s">
        <v>2383</v>
      </c>
    </row>
    <row r="15" spans="1:28">
      <c r="A15" s="1161" t="s">
        <v>1022</v>
      </c>
      <c r="B15" s="1161" t="s">
        <v>2200</v>
      </c>
      <c r="C15" s="1162"/>
      <c r="I15" s="1165" t="s">
        <v>3254</v>
      </c>
    </row>
    <row r="16" spans="1:28">
      <c r="A16" s="1161" t="s">
        <v>1024</v>
      </c>
      <c r="B16" s="1161" t="s">
        <v>1021</v>
      </c>
      <c r="C16" s="1162"/>
    </row>
    <row r="17" spans="1:3">
      <c r="A17" s="1161" t="s">
        <v>1025</v>
      </c>
      <c r="B17" s="1161" t="s">
        <v>1023</v>
      </c>
      <c r="C17" s="1162"/>
    </row>
    <row r="18" spans="1:3">
      <c r="A18" s="1161" t="s">
        <v>1026</v>
      </c>
      <c r="B18" s="1161" t="s">
        <v>3569</v>
      </c>
      <c r="C18" s="1162"/>
    </row>
    <row r="19" spans="1:3">
      <c r="A19" s="1161" t="s">
        <v>1027</v>
      </c>
      <c r="B19" s="1161" t="s">
        <v>3570</v>
      </c>
      <c r="C19" s="1162"/>
    </row>
    <row r="20" spans="1:3">
      <c r="A20" s="1161" t="s">
        <v>1028</v>
      </c>
      <c r="B20" s="1161" t="s">
        <v>310</v>
      </c>
      <c r="C20" s="1162"/>
    </row>
    <row r="21" spans="1:3">
      <c r="A21" s="1161" t="s">
        <v>1029</v>
      </c>
      <c r="B21" s="1161" t="s">
        <v>2200</v>
      </c>
      <c r="C21" s="1162"/>
    </row>
    <row r="22" spans="1:3">
      <c r="A22" s="1161" t="s">
        <v>1030</v>
      </c>
      <c r="B22" s="1161" t="s">
        <v>3675</v>
      </c>
      <c r="C22" s="1162"/>
    </row>
    <row r="23" spans="1:3">
      <c r="A23" s="1161" t="s">
        <v>1031</v>
      </c>
      <c r="B23" s="1161" t="s">
        <v>311</v>
      </c>
      <c r="C23" s="1162"/>
    </row>
    <row r="24" spans="1:3">
      <c r="A24" s="1161" t="s">
        <v>1032</v>
      </c>
      <c r="B24" s="1161" t="s">
        <v>311</v>
      </c>
      <c r="C24" s="1162"/>
    </row>
    <row r="25" spans="1:3">
      <c r="A25" s="1161" t="s">
        <v>1033</v>
      </c>
      <c r="B25" s="1161" t="s">
        <v>311</v>
      </c>
      <c r="C25" s="1162"/>
    </row>
    <row r="26" spans="1:3">
      <c r="A26" s="1161" t="s">
        <v>1034</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90"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0"/>
      <c r="B54" s="1167" t="s">
        <v>379</v>
      </c>
      <c r="C54" s="1165" t="s">
        <v>577</v>
      </c>
    </row>
    <row r="55" spans="1:4">
      <c r="A55" s="4190"/>
      <c r="B55" s="1167" t="s">
        <v>380</v>
      </c>
      <c r="C55" s="1165" t="s">
        <v>578</v>
      </c>
    </row>
    <row r="56" spans="1:4">
      <c r="A56" s="4190"/>
      <c r="B56" s="1167" t="s">
        <v>381</v>
      </c>
      <c r="C56" s="1165" t="s">
        <v>582</v>
      </c>
    </row>
    <row r="57" spans="1:4">
      <c r="A57" s="4190"/>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2407</v>
      </c>
      <c r="B1" s="2305"/>
      <c r="C1" s="2305"/>
      <c r="D1" s="2305"/>
      <c r="E1" s="2305"/>
      <c r="F1" s="2306"/>
      <c r="I1" s="2632" t="s">
        <v>2500</v>
      </c>
      <c r="J1" s="4084"/>
      <c r="K1" s="4084"/>
      <c r="L1" s="4084"/>
      <c r="M1" s="4084"/>
      <c r="N1" s="4085"/>
      <c r="O1" s="4085"/>
      <c r="P1" s="4085"/>
      <c r="Q1" s="4085"/>
      <c r="R1" s="4086"/>
    </row>
    <row r="2" spans="1:18">
      <c r="A2" s="2308"/>
      <c r="B2" s="2309"/>
      <c r="C2" s="2309"/>
      <c r="D2" s="2309"/>
      <c r="E2" s="2309"/>
      <c r="F2" s="2310"/>
      <c r="I2" s="4191" t="s">
        <v>2487</v>
      </c>
      <c r="J2" s="4192"/>
      <c r="K2" s="4192"/>
      <c r="L2" s="4192"/>
      <c r="M2" s="4192"/>
      <c r="N2" s="4192"/>
      <c r="O2" s="4192"/>
      <c r="P2" s="4192"/>
      <c r="Q2" s="4192"/>
      <c r="R2" s="4193"/>
    </row>
    <row r="3" spans="1:18">
      <c r="A3" s="2311" t="s">
        <v>2408</v>
      </c>
      <c r="B3" s="2312">
        <f>项目基本情况!D3</f>
        <v>46031</v>
      </c>
      <c r="C3" s="2313"/>
      <c r="D3" s="2313"/>
      <c r="E3" s="2313"/>
      <c r="F3" s="2310"/>
      <c r="I3" s="2318"/>
      <c r="J3" s="2319" t="s">
        <v>2491</v>
      </c>
      <c r="K3" s="2319" t="s">
        <v>2492</v>
      </c>
      <c r="L3" s="2319" t="s">
        <v>2493</v>
      </c>
      <c r="M3" s="2319" t="s">
        <v>2494</v>
      </c>
      <c r="N3" s="2633" t="s">
        <v>2495</v>
      </c>
      <c r="O3" s="2633" t="s">
        <v>2496</v>
      </c>
      <c r="P3" s="2633" t="s">
        <v>2497</v>
      </c>
      <c r="Q3" s="2633" t="s">
        <v>2498</v>
      </c>
      <c r="R3" s="4063" t="s">
        <v>2499</v>
      </c>
    </row>
    <row r="4" spans="1:18">
      <c r="A4" s="2311" t="s">
        <v>2409</v>
      </c>
      <c r="B4" s="2313" t="s">
        <v>2410</v>
      </c>
      <c r="C4" s="2313" t="s">
        <v>2411</v>
      </c>
      <c r="D4" s="2313" t="s">
        <v>2412</v>
      </c>
      <c r="E4" s="2313" t="s">
        <v>2413</v>
      </c>
      <c r="F4" s="2310"/>
      <c r="I4" s="2318" t="s">
        <v>2488</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2489</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2490</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3726</v>
      </c>
      <c r="J7" s="4070" t="s">
        <v>3729</v>
      </c>
      <c r="K7" s="4071">
        <v>3.5</v>
      </c>
      <c r="L7" s="4072" t="s">
        <v>3728</v>
      </c>
      <c r="M7" s="4062"/>
      <c r="N7" s="2305"/>
      <c r="O7" s="2305"/>
      <c r="P7" s="2305"/>
      <c r="Q7" s="2305"/>
      <c r="R7" s="2306"/>
    </row>
    <row r="8" spans="1:18">
      <c r="A8" s="2308"/>
      <c r="B8" s="2309"/>
      <c r="C8" s="2309"/>
      <c r="D8" s="2309"/>
      <c r="E8" s="2309"/>
      <c r="F8" s="2310"/>
      <c r="I8" s="4191" t="s">
        <v>3727</v>
      </c>
      <c r="J8" s="4192"/>
      <c r="K8" s="4192"/>
      <c r="L8" s="4192"/>
      <c r="M8" s="4192"/>
      <c r="N8" s="4192"/>
      <c r="O8" s="4192"/>
      <c r="P8" s="4192"/>
      <c r="Q8" s="4192"/>
      <c r="R8" s="4193"/>
    </row>
    <row r="9" spans="1:18">
      <c r="A9" s="2311" t="s">
        <v>2414</v>
      </c>
      <c r="B9" s="2313"/>
      <c r="C9" s="2313"/>
      <c r="D9" s="2313"/>
      <c r="E9" s="2313"/>
      <c r="F9" s="2314"/>
      <c r="I9" s="2318"/>
      <c r="J9" s="2319" t="s">
        <v>2491</v>
      </c>
      <c r="K9" s="2319" t="s">
        <v>2492</v>
      </c>
      <c r="L9" s="2319" t="s">
        <v>2493</v>
      </c>
      <c r="M9" s="2319" t="s">
        <v>2494</v>
      </c>
      <c r="N9" s="2633" t="s">
        <v>2495</v>
      </c>
      <c r="O9" s="2633" t="s">
        <v>2496</v>
      </c>
      <c r="P9" s="2633" t="s">
        <v>2497</v>
      </c>
      <c r="Q9" s="2633" t="s">
        <v>2498</v>
      </c>
      <c r="R9" s="4063" t="s">
        <v>2499</v>
      </c>
    </row>
    <row r="10" spans="1:18">
      <c r="A10" s="2311" t="s">
        <v>2415</v>
      </c>
      <c r="B10" s="2313"/>
      <c r="C10" s="2313"/>
      <c r="D10" s="2313" t="s">
        <v>2413</v>
      </c>
      <c r="E10" s="2313"/>
      <c r="F10" s="2314" t="s">
        <v>2412</v>
      </c>
      <c r="I10" s="2318" t="s">
        <v>2488</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2416</v>
      </c>
      <c r="B11" s="4091">
        <v>70</v>
      </c>
      <c r="C11" s="4094" t="s">
        <v>2417</v>
      </c>
      <c r="D11" s="4090">
        <v>4.4999999999999998E-2</v>
      </c>
      <c r="E11" s="4094" t="s">
        <v>2418</v>
      </c>
      <c r="F11" s="4092">
        <f>ROUND(1-(1/(POWER(1+D11,B11))),4)</f>
        <v>0.95409999999999995</v>
      </c>
      <c r="I11" s="2318" t="s">
        <v>2489</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2419</v>
      </c>
      <c r="B12" s="4091">
        <v>40</v>
      </c>
      <c r="C12" s="4094" t="s">
        <v>2420</v>
      </c>
      <c r="D12" s="4090">
        <v>4.4999999999999998E-2</v>
      </c>
      <c r="E12" s="4094" t="s">
        <v>2421</v>
      </c>
      <c r="F12" s="4092">
        <f>ROUND(1-(1/(POWER(1+D12,B12))),4)</f>
        <v>0.82809999999999995</v>
      </c>
      <c r="I12" s="4073" t="s">
        <v>2490</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2422</v>
      </c>
      <c r="B13" s="2313"/>
      <c r="C13" s="2313"/>
      <c r="D13" s="2309"/>
      <c r="E13" s="2309"/>
      <c r="F13" s="2310"/>
      <c r="I13" s="4061" t="s">
        <v>3730</v>
      </c>
      <c r="J13" s="4077">
        <v>2.5</v>
      </c>
      <c r="K13" s="4062" t="s">
        <v>3731</v>
      </c>
      <c r="L13" s="4078">
        <v>0.92630000000000001</v>
      </c>
      <c r="M13" s="4062"/>
      <c r="N13" s="2305"/>
      <c r="O13" s="2305"/>
      <c r="P13" s="2305"/>
      <c r="Q13" s="2305"/>
      <c r="R13" s="2306"/>
    </row>
    <row r="14" spans="1:18">
      <c r="A14" s="4093" t="s">
        <v>2423</v>
      </c>
      <c r="B14" s="4095">
        <v>5000</v>
      </c>
      <c r="C14" s="4096"/>
      <c r="D14" s="2309"/>
      <c r="E14" s="2309"/>
      <c r="F14" s="2310"/>
      <c r="I14" s="2318"/>
      <c r="J14" s="2319" t="s">
        <v>2491</v>
      </c>
      <c r="K14" s="2319" t="s">
        <v>2492</v>
      </c>
      <c r="L14" s="2319" t="s">
        <v>2493</v>
      </c>
      <c r="M14" s="2319" t="s">
        <v>2494</v>
      </c>
      <c r="N14" s="2633" t="s">
        <v>2495</v>
      </c>
      <c r="O14" s="2633" t="s">
        <v>2496</v>
      </c>
      <c r="P14" s="2633" t="s">
        <v>2497</v>
      </c>
      <c r="Q14" s="2633" t="s">
        <v>2498</v>
      </c>
      <c r="R14" s="4063" t="s">
        <v>2499</v>
      </c>
    </row>
    <row r="15" spans="1:18">
      <c r="A15" s="4093" t="s">
        <v>2424</v>
      </c>
      <c r="B15" s="4097">
        <f>ROUND(B14*F12/F11,2)</f>
        <v>4339.6899999999996</v>
      </c>
      <c r="C15" s="4089">
        <f>ROUND(F12/F11,4)</f>
        <v>0.8679</v>
      </c>
      <c r="D15" s="2309"/>
      <c r="E15" s="2309"/>
      <c r="F15" s="2310"/>
      <c r="I15" s="2318" t="s">
        <v>2488</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2425</v>
      </c>
      <c r="B16" s="2843"/>
      <c r="C16" s="2843"/>
      <c r="D16" s="2309"/>
      <c r="E16" s="2309"/>
      <c r="F16" s="2310"/>
      <c r="I16" s="2318" t="s">
        <v>2489</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2424</v>
      </c>
      <c r="B17" s="4095">
        <v>4810</v>
      </c>
      <c r="C17" s="4096"/>
      <c r="D17" s="2309"/>
      <c r="E17" s="2309"/>
      <c r="F17" s="2310"/>
      <c r="I17" s="4065" t="s">
        <v>2490</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2423</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2426</v>
      </c>
      <c r="B20" s="2472"/>
      <c r="C20" s="2472"/>
      <c r="D20" s="2472"/>
      <c r="E20" s="2472"/>
      <c r="F20" s="2472"/>
      <c r="G20" s="4083"/>
      <c r="I20" s="2339" t="s">
        <v>2471</v>
      </c>
      <c r="J20" s="2339" t="s">
        <v>2476</v>
      </c>
    </row>
    <row r="21" spans="1:18">
      <c r="A21" s="2318"/>
      <c r="B21" s="2319" t="s">
        <v>2427</v>
      </c>
      <c r="C21" s="2319" t="s">
        <v>2428</v>
      </c>
      <c r="D21" s="2319" t="s">
        <v>2429</v>
      </c>
      <c r="E21" s="2319" t="s">
        <v>2430</v>
      </c>
      <c r="F21" s="2319" t="s">
        <v>2431</v>
      </c>
      <c r="G21" s="2320" t="s">
        <v>2432</v>
      </c>
      <c r="I21" s="2845">
        <v>5</v>
      </c>
      <c r="J21" s="2844">
        <v>54.2</v>
      </c>
      <c r="K21" s="2844"/>
    </row>
    <row r="22" spans="1:18">
      <c r="A22" s="2318" t="s">
        <v>2433</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2434</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2474</v>
      </c>
      <c r="N23" s="2641" t="s">
        <v>2475</v>
      </c>
    </row>
    <row r="24" spans="1:18">
      <c r="A24" s="2318" t="s">
        <v>2435</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2473</v>
      </c>
      <c r="N24" s="2846">
        <v>10</v>
      </c>
    </row>
    <row r="25" spans="1:18">
      <c r="A25" s="2318" t="s">
        <v>2436</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2477</v>
      </c>
      <c r="N25" s="2846">
        <v>8</v>
      </c>
    </row>
    <row r="26" spans="1:18">
      <c r="A26" s="2321"/>
      <c r="B26" s="2322"/>
      <c r="C26" s="2322"/>
      <c r="D26" s="2322"/>
      <c r="E26" s="2322"/>
      <c r="F26" s="2322"/>
      <c r="G26" s="2323"/>
      <c r="I26" s="2845">
        <v>30</v>
      </c>
      <c r="J26" s="2844">
        <v>90.5</v>
      </c>
      <c r="K26" s="2844">
        <f t="shared" si="7"/>
        <v>4.2000000000000028</v>
      </c>
      <c r="L26" s="2339" t="s">
        <v>2478</v>
      </c>
      <c r="N26" s="2846">
        <v>5</v>
      </c>
    </row>
    <row r="27" spans="1:18">
      <c r="A27" s="2321" t="s">
        <v>2437</v>
      </c>
      <c r="B27" s="2322"/>
      <c r="C27" s="2322"/>
      <c r="D27" s="2322"/>
      <c r="E27" s="2322"/>
      <c r="F27" s="2322"/>
      <c r="G27" s="2323"/>
      <c r="I27" s="2845">
        <v>35</v>
      </c>
      <c r="J27" s="2844">
        <v>93.8</v>
      </c>
      <c r="K27" s="2844">
        <f t="shared" si="7"/>
        <v>3.2999999999999972</v>
      </c>
      <c r="L27" s="2339" t="s">
        <v>2479</v>
      </c>
      <c r="N27" s="2846">
        <v>3</v>
      </c>
    </row>
    <row r="28" spans="1:18">
      <c r="A28" s="2321" t="s">
        <v>2438</v>
      </c>
      <c r="B28" s="2322"/>
      <c r="C28" s="2322"/>
      <c r="D28" s="2322"/>
      <c r="E28" s="2322"/>
      <c r="F28" s="2322"/>
      <c r="G28" s="2323"/>
      <c r="I28" s="2845">
        <v>40</v>
      </c>
      <c r="J28" s="2844">
        <v>96.4</v>
      </c>
      <c r="K28" s="2844">
        <f t="shared" si="7"/>
        <v>2.6000000000000085</v>
      </c>
      <c r="L28" s="2339" t="s">
        <v>2480</v>
      </c>
      <c r="N28" s="2846">
        <v>2</v>
      </c>
    </row>
    <row r="29" spans="1:18">
      <c r="A29" s="2321" t="s">
        <v>2439</v>
      </c>
      <c r="B29" s="2322"/>
      <c r="C29" s="2322"/>
      <c r="D29" s="2322"/>
      <c r="E29" s="2322"/>
      <c r="F29" s="2322"/>
      <c r="G29" s="2323"/>
      <c r="I29" s="2845">
        <v>45</v>
      </c>
      <c r="J29" s="2844">
        <v>98.4</v>
      </c>
      <c r="K29" s="2844">
        <f t="shared" si="7"/>
        <v>2</v>
      </c>
    </row>
    <row r="30" spans="1:18">
      <c r="A30" s="2321" t="s">
        <v>2440</v>
      </c>
      <c r="B30" s="2322"/>
      <c r="C30" s="2322"/>
      <c r="D30" s="2322"/>
      <c r="E30" s="2322"/>
      <c r="F30" s="2322"/>
      <c r="G30" s="2323"/>
      <c r="I30" s="2845">
        <v>50</v>
      </c>
      <c r="J30" s="2844">
        <v>100</v>
      </c>
      <c r="K30" s="2844">
        <f t="shared" si="7"/>
        <v>1.5999999999999943</v>
      </c>
    </row>
    <row r="31" spans="1:18">
      <c r="A31" s="2321" t="s">
        <v>2441</v>
      </c>
      <c r="B31" s="2322"/>
      <c r="C31" s="2322"/>
      <c r="D31" s="2322"/>
      <c r="E31" s="2322"/>
      <c r="F31" s="2322"/>
      <c r="G31" s="2323"/>
      <c r="I31" s="2339" t="s">
        <v>2472</v>
      </c>
    </row>
    <row r="32" spans="1:18">
      <c r="A32" s="2321" t="s">
        <v>2442</v>
      </c>
      <c r="B32" s="2322"/>
      <c r="C32" s="2322"/>
      <c r="D32" s="2322"/>
      <c r="E32" s="2322"/>
      <c r="F32" s="2322"/>
      <c r="G32" s="2323"/>
    </row>
    <row r="33" spans="1:14">
      <c r="A33" s="2321" t="s">
        <v>2443</v>
      </c>
      <c r="B33" s="2322"/>
      <c r="C33" s="2322"/>
      <c r="D33" s="2322"/>
      <c r="E33" s="2322"/>
      <c r="F33" s="2322"/>
      <c r="G33" s="2323"/>
      <c r="I33" s="2339" t="s">
        <v>2471</v>
      </c>
      <c r="J33" s="2339" t="s">
        <v>2481</v>
      </c>
    </row>
    <row r="34" spans="1:14">
      <c r="A34" s="2321" t="s">
        <v>2444</v>
      </c>
      <c r="B34" s="2322"/>
      <c r="C34" s="2322"/>
      <c r="D34" s="2322"/>
      <c r="E34" s="2322"/>
      <c r="F34" s="2322"/>
      <c r="G34" s="2323"/>
      <c r="I34" s="2845">
        <v>5</v>
      </c>
      <c r="J34" s="2844">
        <v>55.1</v>
      </c>
      <c r="K34" s="2844"/>
    </row>
    <row r="35" spans="1:14">
      <c r="A35" s="2321" t="s">
        <v>2445</v>
      </c>
      <c r="B35" s="2322"/>
      <c r="C35" s="2322"/>
      <c r="D35" s="2322"/>
      <c r="E35" s="2322"/>
      <c r="F35" s="2322"/>
      <c r="G35" s="2323"/>
      <c r="I35" s="2845">
        <v>10</v>
      </c>
      <c r="J35" s="2844">
        <v>67</v>
      </c>
      <c r="K35" s="2844">
        <f>J35-J34</f>
        <v>11.899999999999999</v>
      </c>
    </row>
    <row r="36" spans="1:14">
      <c r="A36" s="2321" t="s">
        <v>2446</v>
      </c>
      <c r="B36" s="2322"/>
      <c r="C36" s="2322"/>
      <c r="D36" s="2322"/>
      <c r="E36" s="2322"/>
      <c r="F36" s="2322"/>
      <c r="G36" s="2323"/>
      <c r="I36" s="2845">
        <v>15</v>
      </c>
      <c r="J36" s="2844">
        <v>76.3</v>
      </c>
      <c r="K36" s="2844">
        <f t="shared" ref="K36:K41" si="8">J36-J35</f>
        <v>9.2999999999999972</v>
      </c>
      <c r="L36" s="2339" t="s">
        <v>2474</v>
      </c>
      <c r="N36" s="2641" t="s">
        <v>2475</v>
      </c>
    </row>
    <row r="37" spans="1:14">
      <c r="A37" s="2321" t="s">
        <v>2447</v>
      </c>
      <c r="B37" s="2322"/>
      <c r="C37" s="2322"/>
      <c r="D37" s="2322"/>
      <c r="E37" s="2322"/>
      <c r="F37" s="2322"/>
      <c r="G37" s="2323"/>
      <c r="I37" s="2845">
        <v>20</v>
      </c>
      <c r="J37" s="2844">
        <v>83.6</v>
      </c>
      <c r="K37" s="2844">
        <f t="shared" si="8"/>
        <v>7.2999999999999972</v>
      </c>
      <c r="L37" s="2339" t="s">
        <v>2473</v>
      </c>
      <c r="N37" s="2846">
        <v>10</v>
      </c>
    </row>
    <row r="38" spans="1:14">
      <c r="A38" s="2321" t="s">
        <v>2448</v>
      </c>
      <c r="B38" s="2322"/>
      <c r="C38" s="2322"/>
      <c r="D38" s="2322"/>
      <c r="E38" s="2322"/>
      <c r="F38" s="2322"/>
      <c r="G38" s="2323"/>
      <c r="I38" s="2845">
        <v>25</v>
      </c>
      <c r="J38" s="2844">
        <v>89.3</v>
      </c>
      <c r="K38" s="2844">
        <f t="shared" si="8"/>
        <v>5.7000000000000028</v>
      </c>
      <c r="L38" s="2339" t="s">
        <v>2477</v>
      </c>
      <c r="N38" s="2846">
        <v>8</v>
      </c>
    </row>
    <row r="39" spans="1:14">
      <c r="A39" s="2321"/>
      <c r="B39" s="2322"/>
      <c r="C39" s="2322"/>
      <c r="D39" s="2322"/>
      <c r="E39" s="2322"/>
      <c r="F39" s="2322"/>
      <c r="G39" s="2323"/>
      <c r="I39" s="2845">
        <v>30</v>
      </c>
      <c r="J39" s="2844">
        <v>93.8</v>
      </c>
      <c r="K39" s="2844">
        <f t="shared" si="8"/>
        <v>4.5</v>
      </c>
      <c r="L39" s="2339" t="s">
        <v>2478</v>
      </c>
      <c r="N39" s="2846">
        <v>6</v>
      </c>
    </row>
    <row r="40" spans="1:14">
      <c r="A40" s="2324" t="s">
        <v>2449</v>
      </c>
      <c r="B40" s="2325"/>
      <c r="C40" s="2325"/>
      <c r="D40" s="2325"/>
      <c r="E40" s="2325"/>
      <c r="F40" s="2325"/>
      <c r="G40" s="2326"/>
      <c r="I40" s="2845">
        <v>35</v>
      </c>
      <c r="J40" s="2844">
        <v>97.2</v>
      </c>
      <c r="K40" s="2844">
        <f t="shared" si="8"/>
        <v>3.4000000000000057</v>
      </c>
      <c r="L40" s="2339" t="s">
        <v>2479</v>
      </c>
      <c r="N40" s="2846">
        <v>3</v>
      </c>
    </row>
    <row r="41" spans="1:14">
      <c r="A41" s="2327" t="s">
        <v>2450</v>
      </c>
      <c r="B41" s="2328" t="s">
        <v>2451</v>
      </c>
      <c r="C41" s="2329" t="s">
        <v>2452</v>
      </c>
      <c r="D41" s="2329" t="s">
        <v>2453</v>
      </c>
      <c r="E41" s="2330"/>
      <c r="F41" s="2331"/>
      <c r="G41" s="2332"/>
      <c r="I41" s="2845">
        <v>40</v>
      </c>
      <c r="J41" s="2844">
        <v>100</v>
      </c>
      <c r="K41" s="2844">
        <f t="shared" si="8"/>
        <v>2.7999999999999972</v>
      </c>
    </row>
    <row r="42" spans="1:14">
      <c r="A42" s="2327" t="s">
        <v>2454</v>
      </c>
      <c r="B42" s="2328" t="s">
        <v>2455</v>
      </c>
      <c r="C42" s="2329" t="s">
        <v>2456</v>
      </c>
      <c r="D42" s="2333" t="s">
        <v>2457</v>
      </c>
      <c r="E42" s="2325" t="s">
        <v>2458</v>
      </c>
      <c r="F42" s="2325"/>
      <c r="G42" s="2326"/>
    </row>
    <row r="43" spans="1:14">
      <c r="A43" s="2327" t="s">
        <v>2459</v>
      </c>
      <c r="B43" s="2328" t="s">
        <v>2460</v>
      </c>
      <c r="C43" s="2329" t="s">
        <v>2461</v>
      </c>
      <c r="D43" s="2329" t="s">
        <v>2462</v>
      </c>
      <c r="E43" s="2330" t="s">
        <v>2463</v>
      </c>
      <c r="F43" s="2331"/>
      <c r="G43" s="2332"/>
      <c r="I43" s="2339" t="s">
        <v>2471</v>
      </c>
      <c r="J43" s="2339" t="s">
        <v>2482</v>
      </c>
    </row>
    <row r="44" spans="1:14">
      <c r="A44" s="2327" t="s">
        <v>2464</v>
      </c>
      <c r="B44" s="2328" t="s">
        <v>2465</v>
      </c>
      <c r="C44" s="2329" t="s">
        <v>2466</v>
      </c>
      <c r="D44" s="2333">
        <v>0.5</v>
      </c>
      <c r="E44" s="2330" t="s">
        <v>2467</v>
      </c>
      <c r="F44" s="2331"/>
      <c r="G44" s="2332"/>
      <c r="I44" s="2845">
        <v>30</v>
      </c>
      <c r="J44" s="2844">
        <v>81.7</v>
      </c>
      <c r="K44" s="2844"/>
    </row>
    <row r="45" spans="1:14" ht="14.25" thickBot="1">
      <c r="A45" s="2334" t="s">
        <v>2468</v>
      </c>
      <c r="B45" s="2335" t="s">
        <v>2455</v>
      </c>
      <c r="C45" s="2336" t="s">
        <v>2455</v>
      </c>
      <c r="D45" s="2336" t="s">
        <v>2469</v>
      </c>
      <c r="E45" s="2337" t="s">
        <v>2470</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3374</v>
      </c>
      <c r="B54" s="2848"/>
      <c r="C54" s="2848"/>
      <c r="D54" s="2848"/>
      <c r="E54" s="2848"/>
      <c r="I54" s="4194" t="s">
        <v>3388</v>
      </c>
      <c r="J54" s="4194"/>
      <c r="K54" s="4194"/>
      <c r="L54" s="4194"/>
      <c r="M54" s="4194"/>
    </row>
    <row r="55" spans="1:15" ht="14.25">
      <c r="A55" s="2859" t="s">
        <v>3375</v>
      </c>
      <c r="B55" s="2862" t="s">
        <v>3376</v>
      </c>
      <c r="C55" s="2866" t="s">
        <v>3377</v>
      </c>
      <c r="D55" s="2867" t="s">
        <v>3387</v>
      </c>
      <c r="E55" s="2868" t="s">
        <v>3386</v>
      </c>
      <c r="F55" s="2871" t="s">
        <v>3395</v>
      </c>
      <c r="I55" s="2319" t="s">
        <v>3389</v>
      </c>
      <c r="J55" s="2319" t="s">
        <v>3390</v>
      </c>
      <c r="K55" s="2319" t="s">
        <v>3391</v>
      </c>
      <c r="L55" s="2319" t="s">
        <v>3392</v>
      </c>
      <c r="M55" s="2319" t="s">
        <v>3393</v>
      </c>
      <c r="O55" s="2319" t="s">
        <v>3394</v>
      </c>
    </row>
    <row r="56" spans="1:15" ht="14.25">
      <c r="A56" s="1991" t="s">
        <v>3378</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3379</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3380</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3381</v>
      </c>
      <c r="B59" s="2864">
        <f>B56</f>
        <v>77325.88</v>
      </c>
      <c r="C59" s="2850">
        <v>800</v>
      </c>
      <c r="D59" s="2875"/>
      <c r="E59" s="2878">
        <f>C59*B59</f>
        <v>61860704</v>
      </c>
      <c r="F59" s="2872">
        <f t="shared" ref="F59:F62" si="10">E59/$E$63</f>
        <v>0.15389995722765581</v>
      </c>
    </row>
    <row r="60" spans="1:15" ht="15">
      <c r="A60" s="1990" t="s">
        <v>3382</v>
      </c>
      <c r="B60" s="2864">
        <f>B56</f>
        <v>77325.88</v>
      </c>
      <c r="C60" s="2850">
        <v>1500</v>
      </c>
      <c r="D60" s="2875"/>
      <c r="E60" s="2878">
        <f>C60*B60</f>
        <v>115988820</v>
      </c>
      <c r="F60" s="2872">
        <f t="shared" si="10"/>
        <v>0.28856241980185465</v>
      </c>
    </row>
    <row r="61" spans="1:15" ht="15">
      <c r="A61" s="1990" t="s">
        <v>3384</v>
      </c>
      <c r="B61" s="2850">
        <v>6030</v>
      </c>
      <c r="C61" s="2864">
        <f>E61/B56</f>
        <v>374.31193799540335</v>
      </c>
      <c r="D61" s="2851">
        <f>D58</f>
        <v>4800</v>
      </c>
      <c r="E61" s="2878">
        <f>D61*B61</f>
        <v>28944000</v>
      </c>
      <c r="F61" s="2872">
        <f t="shared" si="10"/>
        <v>7.2008239059116907E-2</v>
      </c>
    </row>
    <row r="62" spans="1:15" ht="15">
      <c r="A62" s="1990" t="s">
        <v>3383</v>
      </c>
      <c r="B62" s="2854"/>
      <c r="C62" s="2864">
        <f>E62/B56</f>
        <v>247.53248007006192</v>
      </c>
      <c r="D62" s="2853">
        <v>0.05</v>
      </c>
      <c r="E62" s="2878">
        <f>(E56+E59+E60+E61)*D62</f>
        <v>19140666.850000001</v>
      </c>
      <c r="F62" s="2872">
        <f t="shared" si="10"/>
        <v>4.7619047619047623E-2</v>
      </c>
      <c r="I62" s="4195" t="s">
        <v>3396</v>
      </c>
      <c r="J62" s="4195"/>
      <c r="K62" s="4195"/>
      <c r="L62" s="4195"/>
      <c r="M62" s="4195"/>
    </row>
    <row r="63" spans="1:15" ht="15.75" thickBot="1">
      <c r="A63" s="2861" t="s">
        <v>3385</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4"/>
  <sheetViews>
    <sheetView workbookViewId="0">
      <selection activeCell="K12" sqref="K12"/>
    </sheetView>
  </sheetViews>
  <sheetFormatPr defaultRowHeight="13.5"/>
  <cols>
    <col min="1" max="1" width="6.25" bestFit="1" customWidth="1"/>
    <col min="2" max="2" width="33.625" bestFit="1" customWidth="1"/>
    <col min="3" max="3" width="8.625" bestFit="1" customWidth="1"/>
    <col min="4" max="4" width="7.25" bestFit="1" customWidth="1"/>
    <col min="5" max="5" width="9.125" bestFit="1" customWidth="1"/>
    <col min="6" max="7" width="9.5" bestFit="1" customWidth="1"/>
    <col min="10" max="10" width="7.125" bestFit="1" customWidth="1"/>
  </cols>
  <sheetData>
    <row r="1" spans="1:10">
      <c r="A1" s="4139" t="s">
        <v>3823</v>
      </c>
      <c r="B1" s="4139" t="s">
        <v>3824</v>
      </c>
      <c r="C1" s="4139" t="s">
        <v>3825</v>
      </c>
      <c r="D1" s="4139" t="s">
        <v>3826</v>
      </c>
      <c r="E1" s="4139" t="s">
        <v>3827</v>
      </c>
      <c r="F1" s="4200" t="s">
        <v>3866</v>
      </c>
      <c r="G1" s="4200"/>
      <c r="H1" s="4204" t="s">
        <v>3867</v>
      </c>
      <c r="I1" s="4205"/>
      <c r="J1" s="4139" t="s">
        <v>3828</v>
      </c>
    </row>
    <row r="2" spans="1:10">
      <c r="A2" s="4136">
        <v>503</v>
      </c>
      <c r="B2" s="4136" t="s">
        <v>3864</v>
      </c>
      <c r="C2" s="4136">
        <v>145.47</v>
      </c>
      <c r="D2" s="4136">
        <v>12</v>
      </c>
      <c r="E2" s="4136">
        <v>5</v>
      </c>
      <c r="F2" s="4136">
        <f ca="1">典型户型修正!T25</f>
        <v>3120110</v>
      </c>
      <c r="G2" s="4197">
        <f ca="1">SUM(F2:F8)</f>
        <v>20656850</v>
      </c>
      <c r="H2" s="4136">
        <f ca="1">典型户型修正!R25</f>
        <v>18973</v>
      </c>
      <c r="I2" s="4201">
        <f ca="1">典型户型修正!U22</f>
        <v>18902</v>
      </c>
      <c r="J2" s="4197" t="s">
        <v>3818</v>
      </c>
    </row>
    <row r="3" spans="1:10">
      <c r="A3" s="4136">
        <v>504</v>
      </c>
      <c r="B3" s="4136" t="s">
        <v>3865</v>
      </c>
      <c r="C3" s="4136">
        <v>164.45</v>
      </c>
      <c r="D3" s="4136">
        <v>12</v>
      </c>
      <c r="E3" s="4136">
        <v>5</v>
      </c>
      <c r="F3" s="4136">
        <f ca="1">典型户型修正!T26</f>
        <v>1563185</v>
      </c>
      <c r="G3" s="4197"/>
      <c r="H3" s="4136">
        <f ca="1">典型户型修正!R26</f>
        <v>18973</v>
      </c>
      <c r="I3" s="4202"/>
      <c r="J3" s="4197"/>
    </row>
    <row r="4" spans="1:10">
      <c r="A4" s="4136">
        <v>505</v>
      </c>
      <c r="B4" s="4136" t="s">
        <v>3819</v>
      </c>
      <c r="C4" s="4136">
        <v>82.39</v>
      </c>
      <c r="D4" s="4136">
        <v>12</v>
      </c>
      <c r="E4" s="4136">
        <v>5</v>
      </c>
      <c r="F4" s="4136">
        <f ca="1">典型户型修正!T27</f>
        <v>3836616</v>
      </c>
      <c r="G4" s="4197"/>
      <c r="H4" s="4136">
        <f ca="1">典型户型修正!R27</f>
        <v>18783</v>
      </c>
      <c r="I4" s="4202"/>
      <c r="J4" s="4197"/>
    </row>
    <row r="5" spans="1:10">
      <c r="A5" s="4136">
        <v>506</v>
      </c>
      <c r="B5" s="4136" t="s">
        <v>3820</v>
      </c>
      <c r="C5" s="4136">
        <v>204.26</v>
      </c>
      <c r="D5" s="4136">
        <v>12</v>
      </c>
      <c r="E5" s="4136">
        <v>5</v>
      </c>
      <c r="F5" s="4136">
        <f ca="1">典型户型修正!T28</f>
        <v>3120110</v>
      </c>
      <c r="G5" s="4197"/>
      <c r="H5" s="4136">
        <f ca="1">典型户型修正!R28</f>
        <v>18973</v>
      </c>
      <c r="I5" s="4202"/>
      <c r="J5" s="4197"/>
    </row>
    <row r="6" spans="1:10">
      <c r="A6" s="4136">
        <v>509</v>
      </c>
      <c r="B6" s="4136" t="s">
        <v>3821</v>
      </c>
      <c r="C6" s="4136">
        <v>164.45</v>
      </c>
      <c r="D6" s="4136">
        <v>12</v>
      </c>
      <c r="E6" s="4136">
        <v>5</v>
      </c>
      <c r="F6" s="4136">
        <f ca="1">典型户型修正!T29</f>
        <v>2421714</v>
      </c>
      <c r="G6" s="4197"/>
      <c r="H6" s="4136">
        <f ca="1">典型户型修正!R29</f>
        <v>18973</v>
      </c>
      <c r="I6" s="4202"/>
      <c r="J6" s="4197"/>
    </row>
    <row r="7" spans="1:10">
      <c r="A7" s="4136">
        <v>510</v>
      </c>
      <c r="B7" s="4136" t="s">
        <v>3822</v>
      </c>
      <c r="C7" s="4136">
        <v>127.64</v>
      </c>
      <c r="D7" s="4136">
        <v>12</v>
      </c>
      <c r="E7" s="4136">
        <v>5</v>
      </c>
      <c r="F7" s="4136">
        <f ca="1">典型户型修正!T30</f>
        <v>3835113</v>
      </c>
      <c r="G7" s="4197"/>
      <c r="H7" s="4136">
        <f ca="1">典型户型修正!R30</f>
        <v>18783</v>
      </c>
      <c r="I7" s="4202"/>
      <c r="J7" s="4197"/>
    </row>
    <row r="8" spans="1:10">
      <c r="A8" s="4136">
        <v>1009</v>
      </c>
      <c r="B8" s="4136" t="s">
        <v>3863</v>
      </c>
      <c r="C8" s="4136">
        <v>164.45</v>
      </c>
      <c r="D8" s="4136">
        <v>12</v>
      </c>
      <c r="E8" s="4136">
        <v>10</v>
      </c>
      <c r="F8" s="4136">
        <f ca="1">典型户型修正!T24</f>
        <v>2760002</v>
      </c>
      <c r="G8" s="4197"/>
      <c r="H8" s="4136">
        <f ca="1">典型户型修正!R24</f>
        <v>18973</v>
      </c>
      <c r="I8" s="4203"/>
      <c r="J8" s="4197"/>
    </row>
    <row r="9" spans="1:10">
      <c r="A9" s="4137">
        <v>409</v>
      </c>
      <c r="B9" s="4137" t="s">
        <v>3838</v>
      </c>
      <c r="C9" s="4137">
        <v>163.01</v>
      </c>
      <c r="D9" s="4137">
        <v>12</v>
      </c>
      <c r="E9" s="4137">
        <v>4</v>
      </c>
      <c r="F9" s="4137">
        <v>3174131</v>
      </c>
      <c r="G9" s="4198">
        <f>SUM(F9:F16)</f>
        <v>20475689</v>
      </c>
      <c r="H9" s="4137">
        <v>19472</v>
      </c>
      <c r="I9" s="4206">
        <v>19197</v>
      </c>
      <c r="J9" s="4198" t="s">
        <v>3829</v>
      </c>
    </row>
    <row r="10" spans="1:10">
      <c r="A10" s="4137">
        <v>411</v>
      </c>
      <c r="B10" s="4137" t="s">
        <v>3839</v>
      </c>
      <c r="C10" s="4137">
        <v>127.64</v>
      </c>
      <c r="D10" s="4137">
        <v>12</v>
      </c>
      <c r="E10" s="4137">
        <v>4</v>
      </c>
      <c r="F10" s="4137">
        <v>2485406</v>
      </c>
      <c r="G10" s="4198"/>
      <c r="H10" s="4137">
        <v>19472</v>
      </c>
      <c r="I10" s="4207"/>
      <c r="J10" s="4198"/>
    </row>
    <row r="11" spans="1:10">
      <c r="A11" s="4137">
        <v>501</v>
      </c>
      <c r="B11" s="4137" t="s">
        <v>3840</v>
      </c>
      <c r="C11" s="4137">
        <v>127.64</v>
      </c>
      <c r="D11" s="4137">
        <v>12</v>
      </c>
      <c r="E11" s="4137">
        <v>5</v>
      </c>
      <c r="F11" s="4137">
        <v>2410864</v>
      </c>
      <c r="G11" s="4198"/>
      <c r="H11" s="4137">
        <v>18888</v>
      </c>
      <c r="I11" s="4207"/>
      <c r="J11" s="4198"/>
    </row>
    <row r="12" spans="1:10">
      <c r="A12" s="4137">
        <v>502</v>
      </c>
      <c r="B12" s="4137" t="s">
        <v>3841</v>
      </c>
      <c r="C12" s="4137">
        <v>127.64</v>
      </c>
      <c r="D12" s="4137">
        <v>12</v>
      </c>
      <c r="E12" s="4137">
        <v>5</v>
      </c>
      <c r="F12" s="4137">
        <v>2410864</v>
      </c>
      <c r="G12" s="4198"/>
      <c r="H12" s="4137">
        <v>18888</v>
      </c>
      <c r="I12" s="4207"/>
      <c r="J12" s="4198"/>
    </row>
    <row r="13" spans="1:10">
      <c r="A13" s="4137">
        <v>507</v>
      </c>
      <c r="B13" s="4137" t="s">
        <v>3842</v>
      </c>
      <c r="C13" s="4137">
        <v>82.35</v>
      </c>
      <c r="D13" s="4137">
        <v>12</v>
      </c>
      <c r="E13" s="4137">
        <v>5</v>
      </c>
      <c r="F13" s="4137">
        <v>1555427</v>
      </c>
      <c r="G13" s="4198"/>
      <c r="H13" s="4137">
        <v>18888</v>
      </c>
      <c r="I13" s="4207"/>
      <c r="J13" s="4198"/>
    </row>
    <row r="14" spans="1:10">
      <c r="A14" s="4137">
        <v>508</v>
      </c>
      <c r="B14" s="4137" t="s">
        <v>3843</v>
      </c>
      <c r="C14" s="4137">
        <v>146.22999999999999</v>
      </c>
      <c r="D14" s="4137">
        <v>12</v>
      </c>
      <c r="E14" s="4137">
        <v>5</v>
      </c>
      <c r="F14" s="4137">
        <v>2761992</v>
      </c>
      <c r="G14" s="4198"/>
      <c r="H14" s="4137">
        <v>18888</v>
      </c>
      <c r="I14" s="4207"/>
      <c r="J14" s="4198"/>
    </row>
    <row r="15" spans="1:10">
      <c r="A15" s="4137">
        <v>511</v>
      </c>
      <c r="B15" s="4137" t="s">
        <v>3844</v>
      </c>
      <c r="C15" s="4137">
        <v>127.64</v>
      </c>
      <c r="D15" s="4137">
        <v>12</v>
      </c>
      <c r="E15" s="4137">
        <v>5</v>
      </c>
      <c r="F15" s="4137">
        <v>2410864</v>
      </c>
      <c r="G15" s="4198"/>
      <c r="H15" s="4137">
        <v>18888</v>
      </c>
      <c r="I15" s="4207"/>
      <c r="J15" s="4198"/>
    </row>
    <row r="16" spans="1:10">
      <c r="A16" s="4137">
        <v>904</v>
      </c>
      <c r="B16" s="4137" t="s">
        <v>3806</v>
      </c>
      <c r="C16" s="4137">
        <v>164.45</v>
      </c>
      <c r="D16" s="4137">
        <v>12</v>
      </c>
      <c r="E16" s="4137">
        <v>9</v>
      </c>
      <c r="F16" s="4137">
        <v>3266141</v>
      </c>
      <c r="G16" s="4198"/>
      <c r="H16" s="4137">
        <v>19861</v>
      </c>
      <c r="I16" s="4208"/>
      <c r="J16" s="4198"/>
    </row>
    <row r="17" spans="1:10">
      <c r="A17" s="4138">
        <v>401</v>
      </c>
      <c r="B17" s="4138" t="s">
        <v>3830</v>
      </c>
      <c r="C17" s="4138">
        <v>127.64</v>
      </c>
      <c r="D17" s="4138">
        <v>12</v>
      </c>
      <c r="E17" s="4138">
        <v>4</v>
      </c>
      <c r="F17" s="4138">
        <v>2485406</v>
      </c>
      <c r="G17" s="4199">
        <f>SUM(F17:F23)</f>
        <v>20605439</v>
      </c>
      <c r="H17" s="4138">
        <v>19305</v>
      </c>
      <c r="I17" s="4209">
        <v>19439</v>
      </c>
      <c r="J17" s="4199" t="s">
        <v>3831</v>
      </c>
    </row>
    <row r="18" spans="1:10">
      <c r="A18" s="4138">
        <v>402</v>
      </c>
      <c r="B18" s="4138" t="s">
        <v>3832</v>
      </c>
      <c r="C18" s="4138">
        <v>127.64</v>
      </c>
      <c r="D18" s="4138">
        <v>12</v>
      </c>
      <c r="E18" s="4138">
        <v>4</v>
      </c>
      <c r="F18" s="4138">
        <v>2485406</v>
      </c>
      <c r="G18" s="4199"/>
      <c r="H18" s="4138">
        <v>19305</v>
      </c>
      <c r="I18" s="4210"/>
      <c r="J18" s="4199"/>
    </row>
    <row r="19" spans="1:10">
      <c r="A19" s="4138">
        <v>403</v>
      </c>
      <c r="B19" s="4138" t="s">
        <v>3833</v>
      </c>
      <c r="C19" s="4138">
        <v>145.47</v>
      </c>
      <c r="D19" s="4138">
        <v>12</v>
      </c>
      <c r="E19" s="4138">
        <v>4</v>
      </c>
      <c r="F19" s="4138">
        <v>2832592</v>
      </c>
      <c r="G19" s="4199"/>
      <c r="H19" s="4138">
        <v>19305</v>
      </c>
      <c r="I19" s="4210"/>
      <c r="J19" s="4199"/>
    </row>
    <row r="20" spans="1:10">
      <c r="A20" s="4138">
        <v>404</v>
      </c>
      <c r="B20" s="4138" t="s">
        <v>3834</v>
      </c>
      <c r="C20" s="4138">
        <v>163.01</v>
      </c>
      <c r="D20" s="4138">
        <v>12</v>
      </c>
      <c r="E20" s="4138">
        <v>4</v>
      </c>
      <c r="F20" s="4138">
        <v>3174131</v>
      </c>
      <c r="G20" s="4199"/>
      <c r="H20" s="4138">
        <v>19305</v>
      </c>
      <c r="I20" s="4210"/>
      <c r="J20" s="4199"/>
    </row>
    <row r="21" spans="1:10">
      <c r="A21" s="4138">
        <v>406</v>
      </c>
      <c r="B21" s="4138" t="s">
        <v>3835</v>
      </c>
      <c r="C21" s="4138">
        <v>204.18</v>
      </c>
      <c r="D21" s="4138">
        <v>12</v>
      </c>
      <c r="E21" s="4138">
        <v>4</v>
      </c>
      <c r="F21" s="4138">
        <v>3876357</v>
      </c>
      <c r="G21" s="4199"/>
      <c r="H21" s="4138">
        <v>18919</v>
      </c>
      <c r="I21" s="4210"/>
      <c r="J21" s="4199"/>
    </row>
    <row r="22" spans="1:10">
      <c r="A22" s="4138">
        <v>410</v>
      </c>
      <c r="B22" s="4138" t="s">
        <v>3836</v>
      </c>
      <c r="C22" s="4138">
        <v>127.64</v>
      </c>
      <c r="D22" s="4138">
        <v>12</v>
      </c>
      <c r="E22" s="4138">
        <v>4</v>
      </c>
      <c r="F22" s="4138">
        <v>2485406</v>
      </c>
      <c r="G22" s="4199"/>
      <c r="H22" s="4138">
        <v>19305</v>
      </c>
      <c r="I22" s="4210"/>
      <c r="J22" s="4199"/>
    </row>
    <row r="23" spans="1:10">
      <c r="A23" s="4138">
        <v>1004</v>
      </c>
      <c r="B23" s="4138" t="s">
        <v>3862</v>
      </c>
      <c r="C23" s="4138">
        <v>164.45</v>
      </c>
      <c r="D23" s="4138">
        <v>12</v>
      </c>
      <c r="E23" s="4138">
        <v>10</v>
      </c>
      <c r="F23" s="4138">
        <v>3266141</v>
      </c>
      <c r="G23" s="4199"/>
      <c r="H23" s="4138">
        <v>19691</v>
      </c>
      <c r="I23" s="4211"/>
      <c r="J23" s="4199"/>
    </row>
    <row r="24" spans="1:10">
      <c r="A24" s="4140" t="s">
        <v>2499</v>
      </c>
      <c r="B24" s="4141"/>
      <c r="C24" s="4141">
        <f>SUM(C2:C23)</f>
        <v>3179.7399999999989</v>
      </c>
      <c r="D24" s="4141"/>
      <c r="E24" s="4141"/>
      <c r="F24" s="4196">
        <f ca="1">SUM(F2:F23)</f>
        <v>61737978</v>
      </c>
      <c r="G24" s="4196"/>
      <c r="H24" s="4141">
        <f ca="1">ROUND(F24/C24,0)</f>
        <v>19416</v>
      </c>
      <c r="I24" s="4141"/>
      <c r="J24" s="4141"/>
    </row>
  </sheetData>
  <mergeCells count="12">
    <mergeCell ref="F1:G1"/>
    <mergeCell ref="G9:G16"/>
    <mergeCell ref="G17:G23"/>
    <mergeCell ref="I2:I8"/>
    <mergeCell ref="H1:I1"/>
    <mergeCell ref="I9:I16"/>
    <mergeCell ref="I17:I23"/>
    <mergeCell ref="F24:G24"/>
    <mergeCell ref="J2:J8"/>
    <mergeCell ref="J9:J16"/>
    <mergeCell ref="J17:J23"/>
    <mergeCell ref="G2:G8"/>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4"/>
  <sheetViews>
    <sheetView workbookViewId="0">
      <selection activeCell="B9" sqref="B9"/>
    </sheetView>
  </sheetViews>
  <sheetFormatPr defaultRowHeight="13.5"/>
  <cols>
    <col min="1" max="1" width="6.25" bestFit="1" customWidth="1"/>
    <col min="2" max="2" width="33.625" bestFit="1" customWidth="1"/>
    <col min="3" max="3" width="8.625" bestFit="1" customWidth="1"/>
    <col min="4" max="4" width="7.25" bestFit="1" customWidth="1"/>
    <col min="5" max="5" width="9.125" bestFit="1" customWidth="1"/>
    <col min="6" max="6" width="7.5" customWidth="1"/>
    <col min="7" max="7" width="7.75" customWidth="1"/>
    <col min="8" max="8" width="7.125" bestFit="1" customWidth="1"/>
  </cols>
  <sheetData>
    <row r="1" spans="1:9">
      <c r="A1" s="1149" t="s">
        <v>3823</v>
      </c>
      <c r="B1" s="1149" t="s">
        <v>3824</v>
      </c>
      <c r="C1" s="1149" t="s">
        <v>3825</v>
      </c>
      <c r="D1" s="1149" t="s">
        <v>3826</v>
      </c>
      <c r="E1" s="1149" t="s">
        <v>3827</v>
      </c>
      <c r="F1" s="1149" t="s">
        <v>3837</v>
      </c>
      <c r="G1" s="1149" t="s">
        <v>3391</v>
      </c>
      <c r="H1" s="1149" t="s">
        <v>3828</v>
      </c>
    </row>
    <row r="2" spans="1:9">
      <c r="A2" s="4131">
        <v>503</v>
      </c>
      <c r="B2" s="4131" t="s">
        <v>3864</v>
      </c>
      <c r="C2" s="4131">
        <v>145.47</v>
      </c>
      <c r="D2" s="4131">
        <v>12</v>
      </c>
      <c r="E2" s="4131">
        <v>5</v>
      </c>
      <c r="F2" s="4131"/>
      <c r="G2" s="4131"/>
      <c r="H2" s="4212" t="s">
        <v>3818</v>
      </c>
      <c r="I2" s="4135" t="s">
        <v>3854</v>
      </c>
    </row>
    <row r="3" spans="1:9">
      <c r="A3" s="4142">
        <v>504</v>
      </c>
      <c r="B3" s="4142" t="s">
        <v>3865</v>
      </c>
      <c r="C3" s="4142">
        <v>164.45</v>
      </c>
      <c r="D3" s="4142">
        <v>12</v>
      </c>
      <c r="E3" s="4142">
        <v>5</v>
      </c>
      <c r="F3" s="4142"/>
      <c r="G3" s="4142"/>
      <c r="H3" s="4212"/>
      <c r="I3" s="4135"/>
    </row>
    <row r="4" spans="1:9">
      <c r="A4" s="4142">
        <v>505</v>
      </c>
      <c r="B4" s="4142" t="s">
        <v>3819</v>
      </c>
      <c r="C4" s="4142">
        <v>82.39</v>
      </c>
      <c r="D4" s="4142">
        <v>12</v>
      </c>
      <c r="E4" s="4142">
        <v>5</v>
      </c>
      <c r="F4" s="4142"/>
      <c r="G4" s="4142"/>
      <c r="H4" s="4212"/>
      <c r="I4" s="4135"/>
    </row>
    <row r="5" spans="1:9">
      <c r="A5" s="4142">
        <v>506</v>
      </c>
      <c r="B5" s="4142" t="s">
        <v>3820</v>
      </c>
      <c r="C5" s="4142">
        <v>204.26</v>
      </c>
      <c r="D5" s="4142">
        <v>12</v>
      </c>
      <c r="E5" s="4142">
        <v>5</v>
      </c>
      <c r="F5" s="4142"/>
      <c r="G5" s="4142"/>
      <c r="H5" s="4212"/>
      <c r="I5" s="4135"/>
    </row>
    <row r="6" spans="1:9">
      <c r="A6" s="4142">
        <v>509</v>
      </c>
      <c r="B6" s="4142" t="s">
        <v>3821</v>
      </c>
      <c r="C6" s="4142">
        <v>164.45</v>
      </c>
      <c r="D6" s="4142">
        <v>12</v>
      </c>
      <c r="E6" s="4142">
        <v>5</v>
      </c>
      <c r="F6" s="4142"/>
      <c r="G6" s="4142"/>
      <c r="H6" s="4212"/>
      <c r="I6" s="4135"/>
    </row>
    <row r="7" spans="1:9">
      <c r="A7" s="4142">
        <v>510</v>
      </c>
      <c r="B7" s="4142" t="s">
        <v>3822</v>
      </c>
      <c r="C7" s="4142">
        <v>127.64</v>
      </c>
      <c r="D7" s="4142">
        <v>12</v>
      </c>
      <c r="E7" s="4142">
        <v>5</v>
      </c>
      <c r="F7" s="4142"/>
      <c r="G7" s="4142"/>
      <c r="H7" s="4212"/>
      <c r="I7" s="4135"/>
    </row>
    <row r="8" spans="1:9">
      <c r="A8" s="4146">
        <v>1009</v>
      </c>
      <c r="B8" s="4147" t="s">
        <v>3863</v>
      </c>
      <c r="C8" s="4146">
        <v>164.45</v>
      </c>
      <c r="D8" s="4146">
        <v>12</v>
      </c>
      <c r="E8" s="4146">
        <v>10</v>
      </c>
      <c r="F8" s="4146"/>
      <c r="G8" s="4146"/>
      <c r="H8" s="4212"/>
      <c r="I8" s="4145" t="s">
        <v>3872</v>
      </c>
    </row>
    <row r="9" spans="1:9">
      <c r="A9" s="4148">
        <v>806</v>
      </c>
      <c r="B9" s="4149" t="s">
        <v>3871</v>
      </c>
      <c r="C9" s="4148">
        <v>204.18</v>
      </c>
      <c r="D9" s="4148">
        <v>12</v>
      </c>
      <c r="E9" s="4148">
        <v>8</v>
      </c>
      <c r="F9" s="4148"/>
      <c r="G9" s="4148"/>
      <c r="H9" s="4142"/>
      <c r="I9" s="4145" t="s">
        <v>3873</v>
      </c>
    </row>
    <row r="10" spans="1:9">
      <c r="A10" s="4132">
        <v>409</v>
      </c>
      <c r="B10" s="4132" t="s">
        <v>3838</v>
      </c>
      <c r="C10" s="4132">
        <v>163.01</v>
      </c>
      <c r="D10" s="4132">
        <v>12</v>
      </c>
      <c r="E10" s="4132">
        <v>4</v>
      </c>
      <c r="F10" s="4132"/>
      <c r="G10" s="4133"/>
      <c r="H10" s="4213" t="s">
        <v>3829</v>
      </c>
    </row>
    <row r="11" spans="1:9">
      <c r="A11" s="4132">
        <v>411</v>
      </c>
      <c r="B11" s="4132" t="s">
        <v>3839</v>
      </c>
      <c r="C11" s="4132">
        <v>127.64</v>
      </c>
      <c r="D11" s="4132">
        <v>12</v>
      </c>
      <c r="E11" s="4132">
        <v>4</v>
      </c>
      <c r="F11" s="4132"/>
      <c r="G11" s="4132"/>
      <c r="H11" s="4213"/>
      <c r="I11" s="1125"/>
    </row>
    <row r="12" spans="1:9">
      <c r="A12" s="4132">
        <v>501</v>
      </c>
      <c r="B12" s="4132" t="s">
        <v>3840</v>
      </c>
      <c r="C12" s="4132">
        <v>127.64</v>
      </c>
      <c r="D12" s="4132">
        <v>12</v>
      </c>
      <c r="E12" s="4132">
        <v>5</v>
      </c>
      <c r="F12" s="4132"/>
      <c r="G12" s="4132"/>
      <c r="H12" s="4213"/>
      <c r="I12" s="1125"/>
    </row>
    <row r="13" spans="1:9">
      <c r="A13" s="4132">
        <v>502</v>
      </c>
      <c r="B13" s="4132" t="s">
        <v>3841</v>
      </c>
      <c r="C13" s="4132">
        <v>127.64</v>
      </c>
      <c r="D13" s="4132">
        <v>12</v>
      </c>
      <c r="E13" s="4132">
        <v>5</v>
      </c>
      <c r="F13" s="4132"/>
      <c r="G13" s="4132"/>
      <c r="H13" s="4213"/>
      <c r="I13" s="1125"/>
    </row>
    <row r="14" spans="1:9">
      <c r="A14" s="4132">
        <v>507</v>
      </c>
      <c r="B14" s="4132" t="s">
        <v>3842</v>
      </c>
      <c r="C14" s="4132">
        <v>82.35</v>
      </c>
      <c r="D14" s="4132">
        <v>12</v>
      </c>
      <c r="E14" s="4132">
        <v>5</v>
      </c>
      <c r="F14" s="4132"/>
      <c r="G14" s="4132"/>
      <c r="H14" s="4213"/>
      <c r="I14" s="1125"/>
    </row>
    <row r="15" spans="1:9">
      <c r="A15" s="4132">
        <v>508</v>
      </c>
      <c r="B15" s="4132" t="s">
        <v>3843</v>
      </c>
      <c r="C15" s="4132">
        <v>146.22999999999999</v>
      </c>
      <c r="D15" s="4132">
        <v>12</v>
      </c>
      <c r="E15" s="4132">
        <v>5</v>
      </c>
      <c r="F15" s="4132"/>
      <c r="G15" s="4132"/>
      <c r="H15" s="4213"/>
      <c r="I15" s="1125"/>
    </row>
    <row r="16" spans="1:9">
      <c r="A16" s="4132">
        <v>511</v>
      </c>
      <c r="B16" s="4132" t="s">
        <v>3844</v>
      </c>
      <c r="C16" s="4132">
        <v>127.64</v>
      </c>
      <c r="D16" s="4132">
        <v>12</v>
      </c>
      <c r="E16" s="4132">
        <v>5</v>
      </c>
      <c r="F16" s="4132"/>
      <c r="G16" s="4132"/>
      <c r="H16" s="4213"/>
      <c r="I16" s="1125"/>
    </row>
    <row r="17" spans="1:9">
      <c r="A17" s="4132">
        <v>904</v>
      </c>
      <c r="B17" s="4132" t="s">
        <v>3806</v>
      </c>
      <c r="C17" s="4132">
        <v>164.45</v>
      </c>
      <c r="D17" s="4132">
        <v>12</v>
      </c>
      <c r="E17" s="4132">
        <v>9</v>
      </c>
      <c r="F17" s="4132"/>
      <c r="G17" s="4132"/>
      <c r="H17" s="4213"/>
      <c r="I17" s="1125"/>
    </row>
    <row r="18" spans="1:9">
      <c r="A18" s="4132">
        <v>401</v>
      </c>
      <c r="B18" s="4132" t="s">
        <v>3830</v>
      </c>
      <c r="C18" s="4132">
        <v>127.64</v>
      </c>
      <c r="D18" s="4132">
        <v>12</v>
      </c>
      <c r="E18" s="4132">
        <v>4</v>
      </c>
      <c r="F18" s="4132"/>
      <c r="G18" s="4132"/>
      <c r="H18" s="4213" t="s">
        <v>3831</v>
      </c>
      <c r="I18" s="4134"/>
    </row>
    <row r="19" spans="1:9">
      <c r="A19" s="4132">
        <v>402</v>
      </c>
      <c r="B19" s="4132" t="s">
        <v>3832</v>
      </c>
      <c r="C19" s="4132">
        <v>127.64</v>
      </c>
      <c r="D19" s="4132">
        <v>12</v>
      </c>
      <c r="E19" s="4132">
        <v>4</v>
      </c>
      <c r="F19" s="4132"/>
      <c r="G19" s="4132"/>
      <c r="H19" s="4213"/>
      <c r="I19" s="4134"/>
    </row>
    <row r="20" spans="1:9">
      <c r="A20" s="4132">
        <v>403</v>
      </c>
      <c r="B20" s="4132" t="s">
        <v>3833</v>
      </c>
      <c r="C20" s="4132">
        <v>145.47</v>
      </c>
      <c r="D20" s="4132">
        <v>12</v>
      </c>
      <c r="E20" s="4132">
        <v>4</v>
      </c>
      <c r="F20" s="4132"/>
      <c r="G20" s="4132"/>
      <c r="H20" s="4213"/>
      <c r="I20" s="4134"/>
    </row>
    <row r="21" spans="1:9">
      <c r="A21" s="4132">
        <v>404</v>
      </c>
      <c r="B21" s="4132" t="s">
        <v>3834</v>
      </c>
      <c r="C21" s="4132">
        <v>163.01</v>
      </c>
      <c r="D21" s="4132">
        <v>12</v>
      </c>
      <c r="E21" s="4132">
        <v>4</v>
      </c>
      <c r="F21" s="4132"/>
      <c r="G21" s="4132"/>
      <c r="H21" s="4213"/>
      <c r="I21" s="4134"/>
    </row>
    <row r="22" spans="1:9">
      <c r="A22" s="4132">
        <v>406</v>
      </c>
      <c r="B22" s="4132" t="s">
        <v>3835</v>
      </c>
      <c r="C22" s="4132">
        <v>204.18</v>
      </c>
      <c r="D22" s="4132">
        <v>12</v>
      </c>
      <c r="E22" s="4132">
        <v>4</v>
      </c>
      <c r="F22" s="4132"/>
      <c r="G22" s="4132"/>
      <c r="H22" s="4213"/>
      <c r="I22" s="4134"/>
    </row>
    <row r="23" spans="1:9">
      <c r="A23" s="4132">
        <v>410</v>
      </c>
      <c r="B23" s="4132" t="s">
        <v>3836</v>
      </c>
      <c r="C23" s="4132">
        <v>127.64</v>
      </c>
      <c r="D23" s="4132">
        <v>12</v>
      </c>
      <c r="E23" s="4132">
        <v>4</v>
      </c>
      <c r="F23" s="4132"/>
      <c r="G23" s="4132"/>
      <c r="H23" s="4213"/>
      <c r="I23" s="4134"/>
    </row>
    <row r="24" spans="1:9">
      <c r="A24" s="4132">
        <v>1004</v>
      </c>
      <c r="B24" s="4132" t="s">
        <v>3862</v>
      </c>
      <c r="C24" s="4132">
        <v>164.45</v>
      </c>
      <c r="D24" s="4132">
        <v>12</v>
      </c>
      <c r="E24" s="4132">
        <v>10</v>
      </c>
      <c r="F24" s="4132"/>
      <c r="G24" s="4132"/>
      <c r="H24" s="4213"/>
    </row>
  </sheetData>
  <mergeCells count="3">
    <mergeCell ref="H2:H8"/>
    <mergeCell ref="H18:H24"/>
    <mergeCell ref="H10:H17"/>
  </mergeCells>
  <phoneticPr fontId="134" type="noConversion"/>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2084</v>
      </c>
      <c r="B1" s="4221" t="str">
        <f>IF(B10="北京市","北京市",C10)&amp;F10&amp;IF(结果表!G1="在建","出让国有建设用地使用权及在建建筑物",IF(结果表!G1="土地","出让国有建设用地使用权",))&amp;B9&amp;"预评估"</f>
        <v>北京市房地产抵押价值预评估</v>
      </c>
      <c r="C1" s="4222"/>
      <c r="D1" s="4222"/>
      <c r="E1" s="4222"/>
      <c r="F1" s="4222"/>
      <c r="G1" s="4222"/>
      <c r="H1" s="4222"/>
      <c r="I1" s="4223"/>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2085</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2086</v>
      </c>
      <c r="B3" s="1826">
        <v>46031</v>
      </c>
      <c r="C3" s="1827" t="s">
        <v>2087</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2088</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2089</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2090</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2091</v>
      </c>
      <c r="B7" s="1839"/>
      <c r="C7" s="1837"/>
      <c r="D7" s="1838"/>
      <c r="E7" s="2037"/>
      <c r="F7" s="2038"/>
      <c r="G7" s="2038"/>
      <c r="H7" s="2038"/>
      <c r="I7" s="2038"/>
      <c r="J7" s="1882"/>
      <c r="K7" s="2000"/>
      <c r="L7" s="1997"/>
      <c r="M7" s="1997"/>
      <c r="N7" s="1882"/>
      <c r="O7" s="1380"/>
      <c r="P7" s="1882"/>
      <c r="Q7" s="1882"/>
      <c r="R7" s="1882"/>
    </row>
    <row r="8" spans="1:30">
      <c r="A8" s="1840" t="s">
        <v>2092</v>
      </c>
      <c r="B8" s="1841" t="s">
        <v>3807</v>
      </c>
      <c r="C8" s="1842"/>
      <c r="D8" s="4224" t="s">
        <v>2093</v>
      </c>
      <c r="E8" s="1843" t="s">
        <v>3808</v>
      </c>
      <c r="F8" s="1844"/>
      <c r="G8" s="2038"/>
      <c r="H8" s="2038"/>
      <c r="I8" s="2038"/>
      <c r="J8" s="1882"/>
      <c r="K8" s="1998"/>
      <c r="L8" s="1997"/>
      <c r="M8" s="1997"/>
      <c r="N8" s="1882"/>
      <c r="O8" s="1380"/>
      <c r="P8" s="1882"/>
      <c r="Q8" s="1882"/>
      <c r="R8" s="1882"/>
    </row>
    <row r="9" spans="1:30" ht="13.5" thickBot="1">
      <c r="A9" s="1845" t="s">
        <v>2094</v>
      </c>
      <c r="B9" s="1846" t="s">
        <v>3808</v>
      </c>
      <c r="C9" s="1847"/>
      <c r="D9" s="4225"/>
      <c r="E9" s="1846" t="s">
        <v>41</v>
      </c>
      <c r="F9" s="1848"/>
      <c r="G9" s="2039"/>
      <c r="H9" s="2039"/>
      <c r="I9" s="2039"/>
      <c r="J9" s="1882"/>
      <c r="K9" s="2000"/>
      <c r="L9" s="1997"/>
      <c r="M9" s="1997"/>
      <c r="N9" s="1882"/>
      <c r="O9" s="1380"/>
      <c r="P9" s="1882"/>
      <c r="Q9" s="1882"/>
      <c r="R9" s="1882"/>
    </row>
    <row r="10" spans="1:30" ht="13.5" thickTop="1">
      <c r="A10" s="1849" t="s">
        <v>2095</v>
      </c>
      <c r="B10" s="3961" t="s">
        <v>3809</v>
      </c>
      <c r="C10" s="1850"/>
      <c r="D10" s="1834"/>
      <c r="E10" s="1851" t="s">
        <v>2096</v>
      </c>
      <c r="F10" s="2040"/>
      <c r="G10" s="2041"/>
      <c r="H10" s="2042"/>
      <c r="I10" s="2043"/>
      <c r="J10" s="1882"/>
      <c r="K10" s="2000"/>
      <c r="L10" s="1997"/>
      <c r="M10" s="1997"/>
      <c r="N10" s="1882"/>
      <c r="O10" s="1380"/>
      <c r="P10" s="1882"/>
      <c r="Q10" s="1882"/>
      <c r="R10" s="1882"/>
    </row>
    <row r="11" spans="1:30">
      <c r="A11" s="1852" t="s">
        <v>2097</v>
      </c>
      <c r="B11" s="2620"/>
      <c r="C11" s="1853"/>
      <c r="D11" s="1854"/>
      <c r="E11" s="1823"/>
      <c r="F11" s="1823"/>
      <c r="G11" s="1823"/>
      <c r="H11" s="1823"/>
      <c r="I11" s="1823"/>
      <c r="J11" s="2341"/>
      <c r="K11" s="1997"/>
      <c r="L11" s="1997"/>
      <c r="M11" s="1997"/>
      <c r="N11" s="1882"/>
      <c r="O11" s="1380"/>
      <c r="P11" s="1882"/>
      <c r="Q11" s="1882"/>
      <c r="R11" s="1882"/>
    </row>
    <row r="12" spans="1:30">
      <c r="A12" s="1855" t="s">
        <v>2098</v>
      </c>
      <c r="B12" s="225" t="s">
        <v>2099</v>
      </c>
      <c r="C12" s="1856" t="s">
        <v>2100</v>
      </c>
      <c r="D12" s="1856" t="s">
        <v>2101</v>
      </c>
      <c r="E12" s="1856" t="s">
        <v>2102</v>
      </c>
      <c r="F12" s="1856" t="s">
        <v>2103</v>
      </c>
      <c r="G12" s="1856" t="s">
        <v>2104</v>
      </c>
      <c r="H12" s="1856" t="s">
        <v>2105</v>
      </c>
      <c r="I12" s="2340" t="s">
        <v>2483</v>
      </c>
      <c r="J12" s="2342"/>
      <c r="K12" s="1997"/>
      <c r="L12" s="1997"/>
      <c r="M12" s="1882"/>
      <c r="N12" s="1380"/>
      <c r="O12" s="1882"/>
      <c r="P12" s="1882"/>
      <c r="Q12" s="1882"/>
      <c r="AD12" s="1330"/>
    </row>
    <row r="13" spans="1:30">
      <c r="A13" s="2620" t="s">
        <v>3237</v>
      </c>
      <c r="B13" s="1857" t="s">
        <v>2106</v>
      </c>
      <c r="C13" s="598"/>
      <c r="D13" s="598"/>
      <c r="E13" s="598">
        <v>59636</v>
      </c>
      <c r="F13" s="598"/>
      <c r="G13" s="598"/>
      <c r="H13" s="598"/>
      <c r="I13" s="598"/>
      <c r="J13" s="2342"/>
      <c r="K13" s="1997"/>
      <c r="L13" s="1997"/>
      <c r="M13" s="1882"/>
      <c r="N13" s="1380"/>
      <c r="O13" s="1882"/>
      <c r="P13" s="1882"/>
      <c r="Q13" s="1882"/>
      <c r="AD13" s="1330"/>
    </row>
    <row r="14" spans="1:30">
      <c r="A14" s="781"/>
      <c r="B14" s="1857" t="s">
        <v>2107</v>
      </c>
      <c r="C14" s="1858"/>
      <c r="D14" s="1858"/>
      <c r="E14" s="1858">
        <v>50</v>
      </c>
      <c r="F14" s="1858"/>
      <c r="G14" s="1858"/>
      <c r="H14" s="1858"/>
      <c r="I14" s="1858"/>
      <c r="J14" s="2343"/>
      <c r="K14" s="1997"/>
      <c r="L14" s="1997"/>
      <c r="M14" s="1882"/>
      <c r="N14" s="1380"/>
      <c r="O14" s="1882"/>
      <c r="P14" s="1882"/>
      <c r="Q14" s="1882"/>
      <c r="AD14" s="1330"/>
    </row>
    <row r="15" spans="1:30">
      <c r="A15" s="222"/>
      <c r="B15" s="1859" t="s">
        <v>2108</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2109</v>
      </c>
      <c r="B16" s="4231"/>
      <c r="C16" s="4232"/>
      <c r="D16" s="4233"/>
      <c r="E16" s="1861" t="s">
        <v>2110</v>
      </c>
      <c r="F16" s="4234"/>
      <c r="G16" s="4235"/>
      <c r="H16" s="4235"/>
      <c r="I16" s="4236"/>
      <c r="J16" s="1882"/>
      <c r="K16" s="2001"/>
      <c r="L16" s="1380"/>
      <c r="M16" s="1380"/>
      <c r="N16" s="1882"/>
      <c r="O16" s="1380"/>
      <c r="P16" s="1882"/>
      <c r="Q16" s="1882"/>
      <c r="R16" s="1882"/>
    </row>
    <row r="17" spans="1:28">
      <c r="A17" s="216" t="s">
        <v>2111</v>
      </c>
      <c r="B17" s="205" t="s">
        <v>2112</v>
      </c>
      <c r="C17" s="10">
        <f>'数据-汇总表'!E3</f>
        <v>145.47</v>
      </c>
      <c r="D17" s="974" t="s">
        <v>2113</v>
      </c>
      <c r="E17" s="4237" t="s">
        <v>2114</v>
      </c>
      <c r="F17" s="4238"/>
      <c r="G17" s="4238"/>
      <c r="H17" s="4238"/>
      <c r="I17" s="4239"/>
      <c r="J17" s="1882"/>
      <c r="K17" s="2002"/>
      <c r="L17" s="1380"/>
      <c r="M17" s="1380"/>
      <c r="N17" s="1882"/>
      <c r="O17" s="1380"/>
      <c r="P17" s="1882"/>
      <c r="Q17" s="1882"/>
      <c r="R17" s="1882"/>
      <c r="S17" s="1882"/>
      <c r="T17" s="1882"/>
      <c r="U17" s="1882"/>
      <c r="V17" s="1882"/>
    </row>
    <row r="18" spans="1:28" ht="24.75" thickBot="1">
      <c r="A18" s="1862" t="s">
        <v>2115</v>
      </c>
      <c r="B18" s="790" t="s">
        <v>2116</v>
      </c>
      <c r="C18" s="2842">
        <f>'数据-汇总表'!D3</f>
        <v>0</v>
      </c>
      <c r="D18" s="792" t="s">
        <v>2117</v>
      </c>
      <c r="E18" s="4240" t="s">
        <v>2118</v>
      </c>
      <c r="F18" s="4241"/>
      <c r="G18" s="4241"/>
      <c r="H18" s="4241"/>
      <c r="I18" s="4242"/>
      <c r="J18" s="1882"/>
      <c r="K18" s="2002"/>
      <c r="L18" s="1380"/>
      <c r="M18" s="1380"/>
      <c r="N18" s="1882"/>
      <c r="O18" s="1380"/>
      <c r="P18" s="1882"/>
      <c r="Q18" s="1882"/>
      <c r="R18" s="1882"/>
      <c r="S18" s="1882"/>
      <c r="T18" s="1882"/>
      <c r="U18" s="1882"/>
      <c r="V18" s="1882"/>
    </row>
    <row r="19" spans="1:28" ht="37.5" thickTop="1" thickBot="1">
      <c r="A19" s="229" t="s">
        <v>1035</v>
      </c>
      <c r="B19" s="210" t="s">
        <v>2119</v>
      </c>
      <c r="C19" s="1174"/>
      <c r="D19" s="1175" t="s">
        <v>2120</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2121</v>
      </c>
      <c r="B20" s="4227" t="s">
        <v>2122</v>
      </c>
      <c r="C20" s="4228"/>
      <c r="D20" s="4229" t="s">
        <v>2123</v>
      </c>
      <c r="E20" s="4230"/>
      <c r="F20" s="2028" t="s">
        <v>1036</v>
      </c>
      <c r="G20" s="2038"/>
      <c r="H20" s="2038"/>
      <c r="I20" s="2038"/>
      <c r="J20" s="1882"/>
      <c r="K20" s="4226" t="s">
        <v>2124</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2125</v>
      </c>
      <c r="C21" s="1933" t="s">
        <v>1037</v>
      </c>
      <c r="D21" s="1179" t="s">
        <v>2126</v>
      </c>
      <c r="E21" s="2017" t="s">
        <v>1037</v>
      </c>
      <c r="F21" s="2029"/>
      <c r="G21" s="2038"/>
      <c r="H21" s="2038"/>
      <c r="I21" s="2038"/>
      <c r="J21" s="1882"/>
      <c r="K21" s="4226"/>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2127</v>
      </c>
      <c r="C22" s="1933" t="s">
        <v>1038</v>
      </c>
      <c r="D22" s="2038"/>
      <c r="E22" s="2038"/>
      <c r="F22" s="2038"/>
      <c r="G22" s="2038"/>
      <c r="H22" s="2038"/>
      <c r="I22" s="2038"/>
      <c r="J22" s="1882"/>
      <c r="K22" s="4226"/>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2128</v>
      </c>
      <c r="B23" s="1930" t="s">
        <v>2129</v>
      </c>
      <c r="C23" s="2020"/>
      <c r="D23" s="2021" t="s">
        <v>2129</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1039</v>
      </c>
      <c r="C24" s="1908"/>
      <c r="D24" s="2019" t="s">
        <v>1039</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1040</v>
      </c>
      <c r="C25" s="1908"/>
      <c r="D25" s="2019" t="s">
        <v>1040</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1041</v>
      </c>
      <c r="C26" s="2026"/>
      <c r="D26" s="2024" t="s">
        <v>1041</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15" t="s">
        <v>2130</v>
      </c>
      <c r="B27" s="222" t="s">
        <v>2131</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15"/>
      <c r="B28" s="205" t="s">
        <v>2132</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15"/>
      <c r="B29" s="205" t="s">
        <v>2133</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16"/>
      <c r="B30" s="205" t="s">
        <v>2134</v>
      </c>
      <c r="C30" s="4217"/>
      <c r="D30" s="4218"/>
      <c r="E30" s="2038"/>
      <c r="F30" s="2038"/>
      <c r="G30" s="2038"/>
      <c r="H30" s="2038"/>
      <c r="I30" s="2038"/>
      <c r="J30" s="1882"/>
      <c r="K30" s="2000"/>
      <c r="L30" s="1997"/>
      <c r="M30" s="1997"/>
      <c r="N30" s="1882"/>
      <c r="O30" s="1380"/>
      <c r="P30" s="1882"/>
      <c r="Q30" s="1882"/>
      <c r="R30" s="1882"/>
      <c r="S30" s="1882"/>
      <c r="T30" s="1882"/>
      <c r="U30" s="1882"/>
      <c r="V30" s="1882"/>
    </row>
    <row r="31" spans="1:28">
      <c r="A31" s="4219" t="s">
        <v>2135</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20"/>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20"/>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2136</v>
      </c>
      <c r="B34" s="1550"/>
      <c r="C34" s="1550"/>
      <c r="D34" s="1550"/>
      <c r="E34" s="1550"/>
      <c r="F34" s="1550"/>
      <c r="G34" s="1550"/>
      <c r="H34" s="1550"/>
      <c r="I34" s="2038"/>
      <c r="J34" s="1882"/>
      <c r="K34" s="7">
        <f>COUNTIF(B34:H34,"——")</f>
        <v>0</v>
      </c>
      <c r="L34" s="225" t="s">
        <v>2137</v>
      </c>
      <c r="M34" s="225" t="s">
        <v>2138</v>
      </c>
      <c r="N34" s="225" t="s">
        <v>2139</v>
      </c>
      <c r="O34" s="225" t="s">
        <v>2140</v>
      </c>
      <c r="P34" s="225" t="s">
        <v>2141</v>
      </c>
      <c r="Q34" s="225" t="s">
        <v>2142</v>
      </c>
      <c r="R34" s="225" t="s">
        <v>2143</v>
      </c>
      <c r="S34" s="4214" t="s">
        <v>2144</v>
      </c>
      <c r="T34" s="225" t="str">
        <f>NUMBERSTRING(7-K34,1)&amp;"通"</f>
        <v>七通</v>
      </c>
      <c r="U34" s="1882"/>
      <c r="V34" s="1882"/>
    </row>
    <row r="35" spans="1:30">
      <c r="A35" s="1873"/>
      <c r="B35" s="4214" t="s">
        <v>2145</v>
      </c>
      <c r="C35" s="4214"/>
      <c r="D35" s="4214"/>
      <c r="E35" s="4214"/>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14"/>
      <c r="T35" s="72" t="str">
        <f>IF(T34="一通",L35,IF(T34="二通",M35,IF(T34="三通",N35,IF(T34="四通",O35,IF(T34="五通",P35,IF(T34="六通",Q35,R35))))))</f>
        <v>、、、、、、</v>
      </c>
      <c r="U35" s="1882"/>
      <c r="V35" s="1882"/>
    </row>
    <row r="36" spans="1:30">
      <c r="A36" s="1824"/>
      <c r="B36" s="7" t="s">
        <v>2101</v>
      </c>
      <c r="C36" s="7" t="s">
        <v>2102</v>
      </c>
      <c r="D36" s="7" t="s">
        <v>2100</v>
      </c>
      <c r="E36" s="7" t="s">
        <v>2105</v>
      </c>
      <c r="F36" s="2340" t="s">
        <v>2486</v>
      </c>
      <c r="G36" s="2038"/>
      <c r="H36" s="2038"/>
      <c r="I36" s="2038"/>
      <c r="J36" s="1882"/>
      <c r="K36" s="2000"/>
      <c r="L36" s="1997"/>
      <c r="M36" s="1997"/>
      <c r="N36" s="1882"/>
      <c r="O36" s="1380"/>
      <c r="P36" s="1882"/>
      <c r="Q36" s="1882"/>
      <c r="R36" s="1882"/>
      <c r="S36" s="1882"/>
      <c r="T36" s="1882"/>
      <c r="U36" s="1882"/>
      <c r="V36" s="1882"/>
    </row>
    <row r="37" spans="1:30">
      <c r="A37" s="2013" t="s">
        <v>2146</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2147</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2148</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2149</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2150</v>
      </c>
      <c r="B42" s="7" t="s">
        <v>2151</v>
      </c>
      <c r="C42" s="7" t="s">
        <v>2152</v>
      </c>
      <c r="D42" s="7" t="s">
        <v>2153</v>
      </c>
      <c r="E42" s="7" t="s">
        <v>2154</v>
      </c>
      <c r="F42" s="7" t="s">
        <v>2155</v>
      </c>
      <c r="G42" s="7" t="s">
        <v>2156</v>
      </c>
      <c r="H42" s="7" t="s">
        <v>2157</v>
      </c>
      <c r="I42" s="7" t="s">
        <v>2158</v>
      </c>
      <c r="J42" s="2009" t="s">
        <v>2159</v>
      </c>
      <c r="K42" s="2010" t="s">
        <v>2160</v>
      </c>
      <c r="L42" s="2010" t="s">
        <v>2161</v>
      </c>
      <c r="M42" s="2010" t="s">
        <v>2162</v>
      </c>
      <c r="N42" s="2003" t="s">
        <v>2163</v>
      </c>
      <c r="O42" s="2003" t="s">
        <v>2164</v>
      </c>
      <c r="P42" s="2003" t="s">
        <v>2165</v>
      </c>
      <c r="Q42" s="2004" t="s">
        <v>2166</v>
      </c>
      <c r="R42" s="2004" t="s">
        <v>2167</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D00-000000000000}">
      <formula1>"自然人,企业"</formula1>
    </dataValidation>
    <dataValidation type="list" allowBlank="1" showInputMessage="1" showErrorMessage="1" sqref="B10" xr:uid="{00000000-0002-0000-0D00-000001000000}">
      <formula1>"北京市,其他："</formula1>
    </dataValidation>
    <dataValidation type="list" allowBlank="1" showInputMessage="1" showErrorMessage="1" sqref="C27" xr:uid="{00000000-0002-0000-0D00-000002000000}">
      <formula1>"居住项目,商业项目,办公项目,工业项目,综合项目（居住、综合）,综合项目（商业、办公）"</formula1>
    </dataValidation>
    <dataValidation type="list" allowBlank="1" showInputMessage="1" showErrorMessage="1" sqref="C29" xr:uid="{00000000-0002-0000-0D00-000003000000}">
      <formula1>"否,全部为保障性住房,含保障性住房"</formula1>
    </dataValidation>
    <dataValidation type="list" allowBlank="1" showInputMessage="1" showErrorMessage="1" sqref="C28" xr:uid="{00000000-0002-0000-0D00-000004000000}">
      <formula1>"无,低密度住宅,商场,酒店,旅游地产,仓储物流,高新技术产业用地,其他特殊："</formula1>
    </dataValidation>
    <dataValidation type="list" showInputMessage="1" showErrorMessage="1" sqref="B31:B33" xr:uid="{00000000-0002-0000-0D00-000005000000}">
      <formula1>"现房,在建,土地,-"</formula1>
    </dataValidation>
    <dataValidation type="list" allowBlank="1" showInputMessage="1" showErrorMessage="1" sqref="B37:F37" xr:uid="{00000000-0002-0000-0D00-000006000000}">
      <formula1>土地级别</formula1>
    </dataValidation>
    <dataValidation type="list" allowBlank="1" showInputMessage="1" showErrorMessage="1" sqref="E38" xr:uid="{00000000-0002-0000-0D00-000007000000}">
      <formula1>INDIRECT($E$37)</formula1>
    </dataValidation>
    <dataValidation type="list" allowBlank="1" showInputMessage="1" showErrorMessage="1" sqref="B38" xr:uid="{00000000-0002-0000-0D00-000008000000}">
      <formula1>INDIRECT(B37)</formula1>
    </dataValidation>
    <dataValidation type="list" allowBlank="1" showInputMessage="1" showErrorMessage="1" sqref="C38" xr:uid="{00000000-0002-0000-0D00-000009000000}">
      <formula1>INDIRECT($C$37)</formula1>
    </dataValidation>
    <dataValidation type="list" allowBlank="1" showInputMessage="1" showErrorMessage="1" sqref="D38" xr:uid="{00000000-0002-0000-0D00-00000A000000}">
      <formula1>INDIRECT($D$37)</formula1>
    </dataValidation>
    <dataValidation type="list" allowBlank="1" showInputMessage="1" showErrorMessage="1" sqref="B9" xr:uid="{00000000-0002-0000-0D00-00000B000000}">
      <formula1>"房地产抵押价值,房地产市场价值"</formula1>
    </dataValidation>
    <dataValidation type="list" allowBlank="1" showInputMessage="1" showErrorMessage="1" sqref="B8" xr:uid="{00000000-0002-0000-0D00-00000C000000}">
      <formula1>"抵押,核定资产,出让"</formula1>
    </dataValidation>
    <dataValidation type="list" allowBlank="1" showInputMessage="1" showErrorMessage="1" sqref="H4 B4 F4 D4" xr:uid="{00000000-0002-0000-0D00-00000D000000}">
      <formula1>注册房地产估价师</formula1>
    </dataValidation>
    <dataValidation type="list" allowBlank="1" showInputMessage="1" showErrorMessage="1" sqref="E8" xr:uid="{00000000-0002-0000-0D00-00000E000000}">
      <formula1>价值类型2</formula1>
    </dataValidation>
    <dataValidation type="list" allowBlank="1" showInputMessage="1" showErrorMessage="1" sqref="E9" xr:uid="{00000000-0002-0000-0D00-00000F000000}">
      <formula1>"抵押净值,——"</formula1>
    </dataValidation>
    <dataValidation type="list" allowBlank="1" showInputMessage="1" showErrorMessage="1" sqref="B34:H34" xr:uid="{00000000-0002-0000-0D00-000010000000}">
      <formula1>七通一平</formula1>
    </dataValidation>
    <dataValidation type="list" allowBlank="1" showInputMessage="1" showErrorMessage="1" sqref="C19 E19 G19" xr:uid="{00000000-0002-0000-0D00-000011000000}">
      <formula1>估价范围判定</formula1>
    </dataValidation>
    <dataValidation type="list" allowBlank="1" showInputMessage="1" showErrorMessage="1" sqref="B21:B22" xr:uid="{00000000-0002-0000-0D00-000012000000}">
      <formula1>"《房屋所有权证》,《国有土地使用证》,《不动产权证书》,——"</formula1>
    </dataValidation>
    <dataValidation type="list" allowBlank="1" showInputMessage="1" showErrorMessage="1" sqref="C21:C22 E21" xr:uid="{00000000-0002-0000-0D00-000013000000}">
      <formula1>"原件,复印件,——"</formula1>
    </dataValidation>
    <dataValidation type="list" allowBlank="1" showInputMessage="1" showErrorMessage="1" sqref="A13" xr:uid="{00000000-0002-0000-0D00-000014000000}">
      <formula1>"出让,划拨"</formula1>
    </dataValidation>
    <dataValidation type="list" allowBlank="1" showInputMessage="1" showErrorMessage="1" sqref="C14:I14" xr:uid="{00000000-0002-0000-0D00-000015000000}">
      <formula1>法定最高年限</formula1>
    </dataValidation>
    <dataValidation type="list" allowBlank="1" showInputMessage="1" showErrorMessage="1" sqref="A18" xr:uid="{00000000-0002-0000-0D00-000016000000}">
      <formula1>"建筑与土地面积依据相同,——"</formula1>
    </dataValidation>
    <dataValidation type="list" allowBlank="1" showInputMessage="1" showErrorMessage="1" sqref="F38" xr:uid="{00000000-0002-0000-0D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1042</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1043</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1044</v>
      </c>
      <c r="B2" s="7" t="s">
        <v>1045</v>
      </c>
      <c r="C2" s="7" t="s">
        <v>1046</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1047</v>
      </c>
      <c r="AZ2" s="751" t="s">
        <v>1048</v>
      </c>
      <c r="BA2" s="7" t="s">
        <v>1049</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145.47</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1050</v>
      </c>
      <c r="B5" s="977"/>
      <c r="C5" s="977"/>
      <c r="D5" s="978"/>
      <c r="E5" s="10" t="s">
        <v>0</v>
      </c>
      <c r="F5" s="10">
        <f>SUM(F13:F587)</f>
        <v>0</v>
      </c>
      <c r="G5" s="10">
        <f>SUM(G13:G587)</f>
        <v>145.47</v>
      </c>
      <c r="H5" s="10">
        <f t="shared" ref="H5:AT5" si="0">SUM(H13:H656)</f>
        <v>145.47</v>
      </c>
      <c r="I5" s="10">
        <f t="shared" si="0"/>
        <v>145.47</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1050</v>
      </c>
      <c r="AW5" s="977"/>
      <c r="AX5" s="977"/>
      <c r="AY5" s="11" t="s">
        <v>2</v>
      </c>
      <c r="AZ5" s="12">
        <f t="shared" ref="AZ5:BT5" si="1">SUM(AZ13:AZ656)</f>
        <v>145.47</v>
      </c>
      <c r="BA5" s="12">
        <f t="shared" si="1"/>
        <v>145.47</v>
      </c>
      <c r="BB5" s="12">
        <f t="shared" si="1"/>
        <v>145.47</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1051</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1051</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1052</v>
      </c>
      <c r="B7" s="1180" t="s">
        <v>1053</v>
      </c>
      <c r="C7" s="1180" t="s">
        <v>1054</v>
      </c>
      <c r="D7" s="1180" t="s">
        <v>1055</v>
      </c>
      <c r="E7" s="1180" t="s">
        <v>1056</v>
      </c>
      <c r="F7" s="1180" t="s">
        <v>1057</v>
      </c>
      <c r="G7" s="1198" t="s">
        <v>1058</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1059</v>
      </c>
      <c r="AV7" s="17" t="s">
        <v>1060</v>
      </c>
      <c r="AW7" s="1186" t="s">
        <v>1061</v>
      </c>
      <c r="AX7" s="17" t="s">
        <v>1054</v>
      </c>
      <c r="AY7" s="977" t="s">
        <v>1062</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1063</v>
      </c>
      <c r="H8" s="1204" t="s">
        <v>1064</v>
      </c>
      <c r="I8" s="1205"/>
      <c r="J8" s="988"/>
      <c r="K8" s="988"/>
      <c r="L8" s="988"/>
      <c r="M8" s="988"/>
      <c r="N8" s="988"/>
      <c r="O8" s="988"/>
      <c r="P8" s="988"/>
      <c r="Q8" s="988"/>
      <c r="R8" s="988"/>
      <c r="S8" s="988"/>
      <c r="T8" s="988"/>
      <c r="U8" s="988"/>
      <c r="V8" s="1206"/>
      <c r="W8" s="988"/>
      <c r="X8" s="988"/>
      <c r="Y8" s="988"/>
      <c r="Z8" s="988"/>
      <c r="AA8" s="1206"/>
      <c r="AB8" s="1207"/>
      <c r="AC8" s="580" t="s">
        <v>1065</v>
      </c>
      <c r="AD8" s="1208"/>
      <c r="AE8" s="1200"/>
      <c r="AF8" s="988"/>
      <c r="AG8" s="988"/>
      <c r="AH8" s="988"/>
      <c r="AI8" s="988"/>
      <c r="AJ8" s="988"/>
      <c r="AK8" s="988"/>
      <c r="AL8" s="988"/>
      <c r="AM8" s="988"/>
      <c r="AN8" s="988"/>
      <c r="AO8" s="988"/>
      <c r="AP8" s="988"/>
      <c r="AQ8" s="988"/>
      <c r="AR8" s="988"/>
      <c r="AS8" s="988"/>
      <c r="AT8" s="771" t="s">
        <v>1066</v>
      </c>
      <c r="AU8" s="1202" t="s">
        <v>1067</v>
      </c>
      <c r="AV8" s="771"/>
      <c r="AW8" s="1187"/>
      <c r="AX8" s="771"/>
      <c r="AY8" s="1186" t="s">
        <v>1068</v>
      </c>
      <c r="AZ8" s="987" t="s">
        <v>1069</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1070</v>
      </c>
      <c r="I9" s="1211" t="s">
        <v>3736</v>
      </c>
      <c r="J9" s="580"/>
      <c r="K9" s="1211"/>
      <c r="L9" s="580"/>
      <c r="M9" s="1211"/>
      <c r="N9" s="580"/>
      <c r="O9" s="1211"/>
      <c r="P9" s="580"/>
      <c r="Q9" s="1211"/>
      <c r="R9" s="580"/>
      <c r="S9" s="1211"/>
      <c r="T9" s="580"/>
      <c r="U9" s="1211"/>
      <c r="V9" s="580"/>
      <c r="W9" s="1211"/>
      <c r="X9" s="1212"/>
      <c r="Y9" s="1211"/>
      <c r="Z9" s="580"/>
      <c r="AA9" s="1211"/>
      <c r="AB9" s="580"/>
      <c r="AC9" s="1203" t="s">
        <v>1070</v>
      </c>
      <c r="AD9" s="9" t="s">
        <v>1071</v>
      </c>
      <c r="AE9" s="777"/>
      <c r="AF9" s="9" t="s">
        <v>1072</v>
      </c>
      <c r="AG9" s="777"/>
      <c r="AH9" s="9" t="s">
        <v>1071</v>
      </c>
      <c r="AI9" s="777"/>
      <c r="AJ9" s="9" t="s">
        <v>1072</v>
      </c>
      <c r="AK9" s="777"/>
      <c r="AL9" s="9" t="s">
        <v>1071</v>
      </c>
      <c r="AM9" s="777"/>
      <c r="AN9" s="9" t="s">
        <v>1072</v>
      </c>
      <c r="AO9" s="777"/>
      <c r="AP9" s="9" t="s">
        <v>1071</v>
      </c>
      <c r="AQ9" s="777"/>
      <c r="AR9" s="9" t="s">
        <v>1072</v>
      </c>
      <c r="AS9" s="1213"/>
      <c r="AT9" s="1202"/>
      <c r="AU9" s="1202" t="s">
        <v>1073</v>
      </c>
      <c r="AV9" s="771"/>
      <c r="AW9" s="1187"/>
      <c r="AX9" s="771"/>
      <c r="AY9" s="22"/>
      <c r="AZ9" s="22" t="s">
        <v>1063</v>
      </c>
      <c r="BA9" s="1214" t="s">
        <v>1074</v>
      </c>
      <c r="BB9" s="1215"/>
      <c r="BC9" s="788"/>
      <c r="BD9" s="788"/>
      <c r="BE9" s="788"/>
      <c r="BF9" s="788"/>
      <c r="BG9" s="788"/>
      <c r="BH9" s="788"/>
      <c r="BI9" s="788"/>
      <c r="BJ9" s="788"/>
      <c r="BK9" s="1216"/>
      <c r="BL9" s="9" t="s">
        <v>1075</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1076</v>
      </c>
      <c r="AE10" s="1218"/>
      <c r="AF10" s="9" t="s">
        <v>1076</v>
      </c>
      <c r="AG10" s="1218"/>
      <c r="AH10" s="9" t="s">
        <v>1077</v>
      </c>
      <c r="AI10" s="1218"/>
      <c r="AJ10" s="9" t="s">
        <v>1077</v>
      </c>
      <c r="AK10" s="1218"/>
      <c r="AL10" s="9" t="s">
        <v>1078</v>
      </c>
      <c r="AM10" s="777"/>
      <c r="AN10" s="9" t="s">
        <v>1078</v>
      </c>
      <c r="AO10" s="777"/>
      <c r="AP10" s="9" t="s">
        <v>1079</v>
      </c>
      <c r="AQ10" s="777"/>
      <c r="AR10" s="9" t="s">
        <v>1079</v>
      </c>
      <c r="AS10" s="777"/>
      <c r="AT10" s="1202"/>
      <c r="AU10" s="1202"/>
      <c r="AV10" s="771"/>
      <c r="AW10" s="1187"/>
      <c r="AX10" s="771"/>
      <c r="AY10" s="22"/>
      <c r="AZ10" s="22"/>
      <c r="BA10" s="1219" t="s">
        <v>1070</v>
      </c>
      <c r="BB10" s="1220" t="str">
        <f>I9</f>
        <v>地上</v>
      </c>
      <c r="BC10" s="23">
        <f>K9</f>
        <v>0</v>
      </c>
      <c r="BD10" s="23">
        <f>M9</f>
        <v>0</v>
      </c>
      <c r="BE10" s="23">
        <f>O9</f>
        <v>0</v>
      </c>
      <c r="BF10" s="23">
        <f>Q9</f>
        <v>0</v>
      </c>
      <c r="BG10" s="23">
        <f>S9</f>
        <v>0</v>
      </c>
      <c r="BH10" s="23">
        <f>U9</f>
        <v>0</v>
      </c>
      <c r="BI10" s="23">
        <f>W9</f>
        <v>0</v>
      </c>
      <c r="BJ10" s="23">
        <f>Y9</f>
        <v>0</v>
      </c>
      <c r="BK10" s="23">
        <f>AA9</f>
        <v>0</v>
      </c>
      <c r="BL10" s="19" t="s">
        <v>1070</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1080</v>
      </c>
      <c r="AE11" s="989"/>
      <c r="AF11" s="1224" t="s">
        <v>1080</v>
      </c>
      <c r="AG11" s="989"/>
      <c r="AH11" s="1224" t="s">
        <v>1081</v>
      </c>
      <c r="AI11" s="1225"/>
      <c r="AJ11" s="1224" t="s">
        <v>1081</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1082</v>
      </c>
      <c r="J12" s="7" t="s">
        <v>1083</v>
      </c>
      <c r="K12" s="7" t="s">
        <v>1082</v>
      </c>
      <c r="L12" s="7" t="s">
        <v>1083</v>
      </c>
      <c r="M12" s="7" t="s">
        <v>1082</v>
      </c>
      <c r="N12" s="7" t="s">
        <v>1083</v>
      </c>
      <c r="O12" s="7" t="s">
        <v>1082</v>
      </c>
      <c r="P12" s="7" t="s">
        <v>1083</v>
      </c>
      <c r="Q12" s="7" t="s">
        <v>1082</v>
      </c>
      <c r="R12" s="7" t="s">
        <v>1083</v>
      </c>
      <c r="S12" s="7" t="s">
        <v>1082</v>
      </c>
      <c r="T12" s="7" t="s">
        <v>1083</v>
      </c>
      <c r="U12" s="7" t="s">
        <v>1082</v>
      </c>
      <c r="V12" s="976" t="s">
        <v>1083</v>
      </c>
      <c r="W12" s="7" t="s">
        <v>1082</v>
      </c>
      <c r="X12" s="7" t="s">
        <v>1083</v>
      </c>
      <c r="Y12" s="7" t="s">
        <v>1082</v>
      </c>
      <c r="Z12" s="7" t="s">
        <v>1083</v>
      </c>
      <c r="AA12" s="7" t="s">
        <v>1082</v>
      </c>
      <c r="AB12" s="7" t="s">
        <v>1083</v>
      </c>
      <c r="AC12" s="1229"/>
      <c r="AD12" s="978" t="s">
        <v>1082</v>
      </c>
      <c r="AE12" s="7" t="s">
        <v>1083</v>
      </c>
      <c r="AF12" s="7" t="s">
        <v>1082</v>
      </c>
      <c r="AG12" s="7" t="s">
        <v>1083</v>
      </c>
      <c r="AH12" s="7" t="s">
        <v>1082</v>
      </c>
      <c r="AI12" s="7" t="s">
        <v>1083</v>
      </c>
      <c r="AJ12" s="7" t="s">
        <v>1082</v>
      </c>
      <c r="AK12" s="7" t="s">
        <v>1083</v>
      </c>
      <c r="AL12" s="7" t="s">
        <v>1082</v>
      </c>
      <c r="AM12" s="7" t="s">
        <v>1083</v>
      </c>
      <c r="AN12" s="7" t="s">
        <v>1082</v>
      </c>
      <c r="AO12" s="7" t="s">
        <v>1083</v>
      </c>
      <c r="AP12" s="7" t="s">
        <v>1082</v>
      </c>
      <c r="AQ12" s="7" t="s">
        <v>1083</v>
      </c>
      <c r="AR12" s="24" t="s">
        <v>1082</v>
      </c>
      <c r="AS12" s="1227" t="s">
        <v>1083</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Sheet1!A2</f>
        <v>503</v>
      </c>
      <c r="D13" s="1233" t="s">
        <v>3735</v>
      </c>
      <c r="E13" s="10">
        <f>IF($C$3="是",ROUND($A$3*G13/$B$3,2),ROUND($A$3*(G13-AT13)/$B$3,2))</f>
        <v>0</v>
      </c>
      <c r="F13" s="26"/>
      <c r="G13" s="27">
        <f>H13+AC13+AT13</f>
        <v>145.47</v>
      </c>
      <c r="H13" s="14">
        <f>SUMIF(I$12:AB$12,"总值",I13:AB13)</f>
        <v>145.47</v>
      </c>
      <c r="I13" s="1234">
        <f>Sheet1!C2</f>
        <v>145.47</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503</v>
      </c>
      <c r="AY13" s="978">
        <f>ROUND($AY$6*AZ13/$AZ$5,2)</f>
        <v>0</v>
      </c>
      <c r="AZ13" s="10">
        <f>BA13+BL13</f>
        <v>145.47</v>
      </c>
      <c r="BA13" s="10">
        <f>SUM(BB13:BK13)</f>
        <v>145.47</v>
      </c>
      <c r="BB13" s="10">
        <f>IF($D13="是",I13-J13,0)</f>
        <v>145.47</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1109</v>
      </c>
      <c r="B1" s="827"/>
      <c r="C1" s="827"/>
      <c r="D1" s="827"/>
      <c r="E1" s="827"/>
      <c r="F1" s="827"/>
      <c r="G1" s="827"/>
      <c r="H1" s="827"/>
      <c r="I1" s="827"/>
      <c r="J1" s="827"/>
      <c r="K1" s="827"/>
      <c r="L1" s="827"/>
      <c r="M1" s="827"/>
      <c r="N1" s="827"/>
      <c r="O1" s="827"/>
      <c r="P1" s="827"/>
    </row>
    <row r="2" spans="1:16" ht="15">
      <c r="A2" s="4252" t="s">
        <v>1110</v>
      </c>
      <c r="B2" s="4252"/>
      <c r="C2" s="4252"/>
      <c r="D2" s="572" t="s">
        <v>1086</v>
      </c>
      <c r="E2" s="1243" t="s">
        <v>1087</v>
      </c>
      <c r="F2" s="2035"/>
      <c r="G2" s="2030"/>
      <c r="H2" s="2031"/>
      <c r="I2" s="1788" t="s">
        <v>1111</v>
      </c>
      <c r="J2" s="2035"/>
      <c r="K2" s="2035"/>
      <c r="L2" s="2035"/>
      <c r="M2" s="2035"/>
      <c r="N2" s="2036"/>
      <c r="O2" s="2035"/>
      <c r="P2" s="2035"/>
    </row>
    <row r="3" spans="1:16" ht="15.75" thickBot="1">
      <c r="A3" s="4253" t="s">
        <v>1084</v>
      </c>
      <c r="B3" s="4253"/>
      <c r="C3" s="4253"/>
      <c r="D3" s="2813">
        <f>'数据-基础表'!AY6</f>
        <v>0</v>
      </c>
      <c r="E3" s="2813">
        <f>'数据-基础表'!AZ5</f>
        <v>145.47</v>
      </c>
      <c r="F3" s="2035"/>
      <c r="G3" s="37"/>
      <c r="H3" s="38" t="s">
        <v>1085</v>
      </c>
      <c r="I3" s="2810" t="e">
        <f>ROUND('数据-基础表'!B3/'数据-基础表'!A3,2)</f>
        <v>#DIV/0!</v>
      </c>
      <c r="J3" s="2035"/>
      <c r="K3" s="2035"/>
      <c r="L3" s="2035"/>
      <c r="M3" s="2035"/>
      <c r="N3" s="2036"/>
      <c r="O3" s="2035"/>
      <c r="P3" s="2035"/>
    </row>
    <row r="4" spans="1:16" ht="15">
      <c r="A4" s="4254"/>
      <c r="B4" s="4255"/>
      <c r="C4" s="4256"/>
      <c r="D4" s="1245" t="s">
        <v>1086</v>
      </c>
      <c r="E4" s="1246" t="s">
        <v>1087</v>
      </c>
      <c r="F4" s="2035"/>
      <c r="G4" s="2032" t="s">
        <v>1112</v>
      </c>
      <c r="H4" s="38" t="s">
        <v>1092</v>
      </c>
      <c r="I4" s="2810" t="e">
        <f>ROUND(SUMIF('数据-基础表'!I9:AS9,"地上",'数据-基础表'!I5:AS5)/'数据-基础表'!A3,2)</f>
        <v>#DIV/0!</v>
      </c>
      <c r="J4" s="2035"/>
      <c r="K4" s="2035"/>
      <c r="L4" s="2035"/>
      <c r="M4" s="2035"/>
      <c r="N4" s="2036"/>
      <c r="O4" s="2035"/>
      <c r="P4" s="2035"/>
    </row>
    <row r="5" spans="1:16">
      <c r="A5" s="37" t="s">
        <v>1088</v>
      </c>
      <c r="B5" s="4257" t="s">
        <v>1089</v>
      </c>
      <c r="C5" s="4257"/>
      <c r="D5" s="2807">
        <f>ROUND($D$3*E5/$E$3,2)</f>
        <v>0</v>
      </c>
      <c r="E5" s="2814">
        <f>SUMIF('数据-基础表'!$11:$11,"住宅",'数据-基础表'!$5:$5)</f>
        <v>0</v>
      </c>
      <c r="F5" s="2035"/>
      <c r="G5" s="37"/>
      <c r="H5" s="38" t="s">
        <v>1085</v>
      </c>
      <c r="I5" s="2810" t="e">
        <f>ROUND(E31/D31,2)</f>
        <v>#DIV/0!</v>
      </c>
      <c r="J5" s="2035"/>
      <c r="K5" s="2035"/>
      <c r="L5" s="2035"/>
      <c r="M5" s="2035"/>
      <c r="N5" s="2035"/>
      <c r="O5" s="2035"/>
      <c r="P5" s="2035"/>
    </row>
    <row r="6" spans="1:16" ht="15" thickBot="1">
      <c r="A6" s="1248"/>
      <c r="B6" s="4257" t="s">
        <v>1090</v>
      </c>
      <c r="C6" s="4257"/>
      <c r="D6" s="2807">
        <f>ROUND($D$3*E6/$E$3,2)</f>
        <v>0</v>
      </c>
      <c r="E6" s="2814">
        <f>E3-E5</f>
        <v>145.47</v>
      </c>
      <c r="F6" s="2035"/>
      <c r="G6" s="1250" t="s">
        <v>1091</v>
      </c>
      <c r="H6" s="39" t="s">
        <v>1092</v>
      </c>
      <c r="I6" s="2811" t="e">
        <f>ROUND(F31/D31,2)</f>
        <v>#DIV/0!</v>
      </c>
      <c r="J6" s="2035"/>
      <c r="K6" s="2035"/>
      <c r="L6" s="2035"/>
      <c r="M6" s="2035"/>
      <c r="N6" s="2035"/>
      <c r="O6" s="2035"/>
      <c r="P6" s="2035"/>
    </row>
    <row r="7" spans="1:16" ht="15.75" thickBot="1">
      <c r="A7" s="4249"/>
      <c r="B7" s="4250"/>
      <c r="C7" s="4251"/>
      <c r="D7" s="1245" t="s">
        <v>1086</v>
      </c>
      <c r="E7" s="1249" t="s">
        <v>1093</v>
      </c>
      <c r="F7" s="2035"/>
      <c r="G7" s="2033" t="s">
        <v>1094</v>
      </c>
      <c r="H7" s="59"/>
      <c r="I7" s="2812">
        <v>2.5</v>
      </c>
      <c r="J7" s="2035"/>
      <c r="K7" s="2035"/>
      <c r="L7" s="2035"/>
      <c r="M7" s="2035"/>
      <c r="N7" s="2035"/>
      <c r="O7" s="2035"/>
      <c r="P7" s="2035"/>
    </row>
    <row r="8" spans="1:16">
      <c r="A8" s="37" t="s">
        <v>1095</v>
      </c>
      <c r="B8" s="39" t="s">
        <v>1096</v>
      </c>
      <c r="C8" s="38" t="s">
        <v>1097</v>
      </c>
      <c r="D8" s="2807">
        <f t="shared" ref="D8:D15" si="0">ROUND($D$3*E8/$E$3,2)</f>
        <v>0</v>
      </c>
      <c r="E8" s="2814">
        <f>SUMIF('数据-基础表'!BB10:BK10,"地上",'数据-基础表'!BB5:BK5)</f>
        <v>145.47</v>
      </c>
      <c r="F8" s="2035"/>
      <c r="G8" s="2035"/>
      <c r="H8" s="2035"/>
      <c r="I8" s="2035"/>
      <c r="J8" s="2035"/>
      <c r="K8" s="2035"/>
      <c r="L8" s="2035"/>
      <c r="M8" s="2035"/>
      <c r="N8" s="2035"/>
      <c r="O8" s="2035"/>
      <c r="P8" s="2035"/>
    </row>
    <row r="9" spans="1:16">
      <c r="A9" s="1250"/>
      <c r="B9" s="1251"/>
      <c r="C9" s="38" t="s">
        <v>1098</v>
      </c>
      <c r="D9" s="2807">
        <f t="shared" si="0"/>
        <v>0</v>
      </c>
      <c r="E9" s="2815"/>
      <c r="F9" s="2035"/>
      <c r="G9" s="2035"/>
      <c r="H9" s="2035"/>
      <c r="I9" s="2035"/>
      <c r="J9" s="2035"/>
      <c r="K9" s="2035"/>
      <c r="L9" s="2035"/>
      <c r="M9" s="2035"/>
      <c r="N9" s="2035"/>
      <c r="O9" s="2035"/>
      <c r="P9" s="2035"/>
    </row>
    <row r="10" spans="1:16">
      <c r="A10" s="1250"/>
      <c r="B10" s="1251"/>
      <c r="C10" s="38" t="s">
        <v>1107</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1099</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1100</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1101</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1113</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1108</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1102</v>
      </c>
      <c r="D16" s="2816">
        <f>SUM(D8:D15)</f>
        <v>0</v>
      </c>
      <c r="E16" s="2817">
        <f>SUM(E8:E15)</f>
        <v>145.47</v>
      </c>
      <c r="F16" s="2035"/>
      <c r="G16" s="2035"/>
      <c r="H16" s="1252" t="s">
        <v>1114</v>
      </c>
      <c r="I16" s="1253"/>
      <c r="J16" s="827"/>
      <c r="K16" s="4246" t="s">
        <v>1114</v>
      </c>
      <c r="L16" s="4247"/>
      <c r="M16" s="4247"/>
      <c r="N16" s="4247"/>
      <c r="O16" s="4247"/>
      <c r="P16" s="4248"/>
    </row>
    <row r="17" spans="1:19" ht="15">
      <c r="A17" s="1254" t="s">
        <v>1115</v>
      </c>
      <c r="B17" s="1255" t="s">
        <v>1116</v>
      </c>
      <c r="C17" s="1256" t="s">
        <v>1117</v>
      </c>
      <c r="D17" s="1257" t="s">
        <v>1105</v>
      </c>
      <c r="E17" s="1258" t="s">
        <v>1106</v>
      </c>
      <c r="F17" s="1259"/>
      <c r="G17" s="1260"/>
      <c r="H17" s="1261" t="s">
        <v>1118</v>
      </c>
      <c r="I17" s="1262" t="s">
        <v>1103</v>
      </c>
      <c r="J17" s="827"/>
      <c r="K17" s="4243" t="s">
        <v>1119</v>
      </c>
      <c r="L17" s="4244"/>
      <c r="M17" s="4245"/>
      <c r="N17" s="4243" t="s">
        <v>1120</v>
      </c>
      <c r="O17" s="4244"/>
      <c r="P17" s="4245"/>
      <c r="R17" s="1244" t="s">
        <v>1121</v>
      </c>
      <c r="S17" s="43"/>
    </row>
    <row r="18" spans="1:19" ht="15">
      <c r="A18" s="1250"/>
      <c r="B18" s="1247"/>
      <c r="C18" s="1263"/>
      <c r="D18" s="1264"/>
      <c r="E18" s="1265" t="s">
        <v>1122</v>
      </c>
      <c r="F18" s="1266" t="s">
        <v>1123</v>
      </c>
      <c r="G18" s="1267" t="s">
        <v>1124</v>
      </c>
      <c r="H18" s="744" t="s">
        <v>1125</v>
      </c>
      <c r="I18" s="1268" t="s">
        <v>1126</v>
      </c>
      <c r="J18" s="827"/>
      <c r="K18" s="744" t="s">
        <v>1127</v>
      </c>
      <c r="L18" s="1269" t="s">
        <v>1128</v>
      </c>
      <c r="M18" s="597" t="s">
        <v>1129</v>
      </c>
      <c r="N18" s="744" t="s">
        <v>1127</v>
      </c>
      <c r="O18" s="1269" t="s">
        <v>1128</v>
      </c>
      <c r="P18" s="597" t="s">
        <v>1129</v>
      </c>
      <c r="R18" s="38" t="s">
        <v>1130</v>
      </c>
      <c r="S18" s="38" t="s">
        <v>1131</v>
      </c>
    </row>
    <row r="19" spans="1:19">
      <c r="A19" s="1270"/>
      <c r="B19" s="39" t="s">
        <v>1104</v>
      </c>
      <c r="C19" s="2614" t="s">
        <v>3737</v>
      </c>
      <c r="D19" s="2807">
        <f>ROUND($D$3*E19/$E$3,2)</f>
        <v>0</v>
      </c>
      <c r="E19" s="2807">
        <f t="shared" ref="E19:E26" si="1">SUM(F19:G19)</f>
        <v>145.47</v>
      </c>
      <c r="F19" s="2818">
        <f>'数据-基础表'!I13</f>
        <v>145.47</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145.47</v>
      </c>
    </row>
    <row r="20" spans="1:19">
      <c r="A20" s="1270"/>
      <c r="B20" s="39" t="s">
        <v>1132</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1132</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1132</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1132</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1132</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1132</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1132</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1133</v>
      </c>
      <c r="D27" s="2822">
        <f>SUM(D19:D26)</f>
        <v>0</v>
      </c>
      <c r="E27" s="2822">
        <f>IF(SUM(E19:E26)='数据-基础表'!BA5,SUM(E19:E26),IF(F27="地上面积有误","面积有误","地下面积有误"))</f>
        <v>145.47</v>
      </c>
      <c r="F27" s="2822">
        <f>IF(SUM(F19:F26)=E8,SUM(F19:F26),"地上面积有误")</f>
        <v>145.47</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145.47</v>
      </c>
    </row>
    <row r="28" spans="1:19">
      <c r="A28" s="1270"/>
      <c r="B28" s="39" t="s">
        <v>1134</v>
      </c>
      <c r="C28" s="43" t="s">
        <v>1135</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1134</v>
      </c>
      <c r="C29" s="1272" t="s">
        <v>1136</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1133</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1137</v>
      </c>
      <c r="D31" s="2827">
        <f>D27+D30</f>
        <v>0</v>
      </c>
      <c r="E31" s="2827">
        <f>E27+E30</f>
        <v>145.47</v>
      </c>
      <c r="F31" s="2828">
        <f>F27+F30</f>
        <v>145.47</v>
      </c>
      <c r="G31" s="2829">
        <f>G27+G30</f>
        <v>0</v>
      </c>
      <c r="H31" s="2035"/>
      <c r="I31" s="2035"/>
      <c r="J31" s="2035"/>
      <c r="K31" s="2035"/>
      <c r="L31" s="2035"/>
      <c r="M31" s="2035"/>
      <c r="N31" s="2035"/>
      <c r="O31" s="2035"/>
      <c r="P31" s="2035"/>
    </row>
    <row r="32" spans="1:19">
      <c r="A32" s="1247"/>
      <c r="B32" s="1247" t="s">
        <v>1138</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1139</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1140</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1141</v>
      </c>
      <c r="B4" s="1281"/>
      <c r="C4" s="1282"/>
      <c r="D4" s="1283"/>
      <c r="E4" s="1282" t="s">
        <v>1142</v>
      </c>
      <c r="F4" s="1282"/>
      <c r="G4" s="1282"/>
      <c r="H4" s="1282"/>
      <c r="I4" s="1282"/>
      <c r="J4" s="1284"/>
      <c r="K4" s="1285"/>
      <c r="L4" s="1286"/>
      <c r="M4" s="1282"/>
      <c r="N4" s="1282" t="s">
        <v>1143</v>
      </c>
      <c r="O4" s="1282"/>
      <c r="P4" s="1282"/>
      <c r="Q4" s="1282"/>
      <c r="R4" s="1282"/>
      <c r="S4" s="1284"/>
      <c r="T4" s="2034" t="str">
        <f>'数据-汇总表'!I17</f>
        <v>按面积比例</v>
      </c>
      <c r="U4" s="1281" t="s">
        <v>1144</v>
      </c>
      <c r="V4" s="1282"/>
      <c r="W4" s="1282"/>
      <c r="X4" s="1282"/>
      <c r="Y4" s="1284"/>
      <c r="Z4" s="1256" t="s">
        <v>1145</v>
      </c>
      <c r="AA4" s="1256"/>
      <c r="AB4" s="1256"/>
      <c r="AC4" s="1256"/>
      <c r="AD4" s="1256"/>
      <c r="AE4" s="1254" t="s">
        <v>1146</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1147</v>
      </c>
      <c r="B5" s="1289" t="s">
        <v>1148</v>
      </c>
      <c r="C5" s="1290" t="s">
        <v>1149</v>
      </c>
      <c r="D5" s="1291" t="s">
        <v>1150</v>
      </c>
      <c r="E5" s="383" t="s">
        <v>1151</v>
      </c>
      <c r="F5" s="1292" t="s">
        <v>1152</v>
      </c>
      <c r="G5" s="383" t="s">
        <v>1153</v>
      </c>
      <c r="H5" s="383" t="s">
        <v>1154</v>
      </c>
      <c r="I5" s="383" t="s">
        <v>1155</v>
      </c>
      <c r="J5" s="965" t="s">
        <v>1156</v>
      </c>
      <c r="K5" s="1293" t="s">
        <v>1157</v>
      </c>
      <c r="L5" s="1294" t="s">
        <v>1158</v>
      </c>
      <c r="M5" s="1295" t="s">
        <v>1159</v>
      </c>
      <c r="N5" s="1296" t="s">
        <v>3738</v>
      </c>
      <c r="O5" s="1294" t="s">
        <v>1160</v>
      </c>
      <c r="P5" s="1297" t="s">
        <v>1161</v>
      </c>
      <c r="Q5" s="45" t="s">
        <v>1162</v>
      </c>
      <c r="R5" s="1298" t="s">
        <v>1163</v>
      </c>
      <c r="S5" s="1299" t="s">
        <v>1164</v>
      </c>
      <c r="T5" s="1300" t="s">
        <v>1165</v>
      </c>
      <c r="U5" s="749" t="s">
        <v>1166</v>
      </c>
      <c r="V5" s="383" t="s">
        <v>1167</v>
      </c>
      <c r="W5" s="383" t="s">
        <v>1168</v>
      </c>
      <c r="X5" s="47"/>
      <c r="Y5" s="46" t="s">
        <v>1169</v>
      </c>
      <c r="Z5" s="846" t="s">
        <v>1166</v>
      </c>
      <c r="AA5" s="383" t="s">
        <v>1167</v>
      </c>
      <c r="AB5" s="383" t="s">
        <v>1168</v>
      </c>
      <c r="AC5" s="47"/>
      <c r="AD5" s="47" t="s">
        <v>1169</v>
      </c>
      <c r="AE5" s="749" t="s">
        <v>1170</v>
      </c>
      <c r="AF5" s="383" t="s">
        <v>1171</v>
      </c>
      <c r="AG5" s="46" t="s">
        <v>1172</v>
      </c>
      <c r="AH5" s="749" t="s">
        <v>1173</v>
      </c>
      <c r="AI5" s="846" t="s">
        <v>1174</v>
      </c>
      <c r="AJ5" s="846" t="s">
        <v>1175</v>
      </c>
      <c r="AK5" s="383" t="s">
        <v>1176</v>
      </c>
      <c r="AL5" s="383" t="s">
        <v>1177</v>
      </c>
      <c r="AM5" s="46" t="s">
        <v>1178</v>
      </c>
      <c r="AN5" s="1301" t="s">
        <v>1179</v>
      </c>
      <c r="AO5" s="738" t="s">
        <v>1180</v>
      </c>
      <c r="AP5" s="738" t="s">
        <v>1181</v>
      </c>
      <c r="AQ5" s="3797" t="s">
        <v>1182</v>
      </c>
      <c r="AR5" s="3797" t="s">
        <v>1183</v>
      </c>
      <c r="AS5" s="3798" t="s">
        <v>3659</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145.47</v>
      </c>
      <c r="L6" s="3738">
        <f>ROUND(4500/1.09,0)</f>
        <v>4128</v>
      </c>
      <c r="M6" s="3739">
        <f t="shared" ref="M6:M14" si="1">ROUND(K6*L6/10000,0)</f>
        <v>60</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3739</v>
      </c>
      <c r="AO6" s="2807">
        <f ca="1">SUMIF(INDIRECT("'"&amp;AN6&amp;"'"&amp;"!A:A"),"总价",INDIRECT("'"&amp;AN6&amp;"'"&amp;"!B:B"))</f>
        <v>225.4248</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1184</v>
      </c>
      <c r="B14" s="1303" t="s">
        <v>1185</v>
      </c>
      <c r="C14" s="1307" t="s">
        <v>1184</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1186</v>
      </c>
      <c r="B15" s="1303" t="s">
        <v>1185</v>
      </c>
      <c r="C15" s="1307" t="s">
        <v>1187</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1188</v>
      </c>
      <c r="B16" s="55"/>
      <c r="C16" s="585"/>
      <c r="D16" s="3753"/>
      <c r="E16" s="55"/>
      <c r="F16" s="3759"/>
      <c r="G16" s="3760">
        <f>ROUND(SUMPRODUCT(G6:G13,K6:K13)/SUMPRODUCT((G6:G13&gt;0)*(K6:K13)),4)</f>
        <v>0.91769999999999996</v>
      </c>
      <c r="H16" s="3761">
        <f>ROUND(SUMPRODUCT(H6:H13,K6:K13)/SUMPRODUCT((H6:H13&gt;0)*(K6:K13)),3)</f>
        <v>0.05</v>
      </c>
      <c r="I16" s="3762"/>
      <c r="J16" s="3762"/>
      <c r="K16" s="3748">
        <f>SUM(K6:K15)</f>
        <v>145.47</v>
      </c>
      <c r="L16" s="3749">
        <f>ROUND(M16*10000/SUM(K6:K14),0)</f>
        <v>4125</v>
      </c>
      <c r="M16" s="3749">
        <f>SUM(M6:M14)</f>
        <v>60</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1189</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1190</v>
      </c>
      <c r="B19" s="3763">
        <v>0</v>
      </c>
      <c r="C19" s="2154" t="s">
        <v>2209</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1191</v>
      </c>
      <c r="B20" s="3764">
        <v>2</v>
      </c>
      <c r="C20" s="2155" t="s">
        <v>2207</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1192</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1193</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1194</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1195</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1196</v>
      </c>
      <c r="B26" s="1313" t="s">
        <v>1197</v>
      </c>
      <c r="C26" s="2049" t="s">
        <v>1198</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1199</v>
      </c>
      <c r="B27" s="3767">
        <v>160</v>
      </c>
      <c r="C27" s="2156" t="s">
        <v>2211</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1200</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1201</v>
      </c>
      <c r="B29" s="3769">
        <f ca="1">'成本法 (元)'!C16/10000</f>
        <v>2.9094000000000002</v>
      </c>
      <c r="C29" s="2157" t="s">
        <v>2201</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1202</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1203</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1204</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1205</v>
      </c>
      <c r="B33" s="3772">
        <v>0.05</v>
      </c>
      <c r="C33" s="2158" t="s">
        <v>3287</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1206</v>
      </c>
      <c r="B34" s="3773">
        <v>0</v>
      </c>
      <c r="C34" s="2158" t="s">
        <v>2202</v>
      </c>
      <c r="D34" s="2056" t="s">
        <v>2208</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1207</v>
      </c>
      <c r="B35" s="3768">
        <v>200</v>
      </c>
      <c r="C35" s="2158" t="s">
        <v>2203</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3313</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3314</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1208</v>
      </c>
      <c r="B38" s="3775">
        <v>0.02</v>
      </c>
      <c r="C38" s="2158" t="s">
        <v>3288</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1209</v>
      </c>
      <c r="B39" s="3773">
        <v>0.02</v>
      </c>
      <c r="C39" s="2158" t="s">
        <v>3289</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1210</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2217</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3306</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1211</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1212</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1213</v>
      </c>
      <c r="B45" s="3780">
        <v>0.05</v>
      </c>
      <c r="C45" s="2158" t="s">
        <v>3290</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1214</v>
      </c>
      <c r="B46" s="3781">
        <v>0.03</v>
      </c>
      <c r="C46" s="2157" t="s">
        <v>2204</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1215</v>
      </c>
      <c r="B47" s="3781">
        <v>0.02</v>
      </c>
      <c r="C47" s="2157" t="s">
        <v>2205</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1216</v>
      </c>
      <c r="B48" s="3782"/>
      <c r="C48" s="2160" t="s">
        <v>2212</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1217</v>
      </c>
      <c r="B49" s="3783">
        <v>0.03</v>
      </c>
      <c r="C49" s="2157" t="s">
        <v>2204</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1218</v>
      </c>
      <c r="B50" s="3781">
        <v>5.0000000000000001E-4</v>
      </c>
      <c r="C50" s="2157" t="s">
        <v>2206</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1219</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1220</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1221</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1222</v>
      </c>
      <c r="B54" s="3787" t="s">
        <v>27</v>
      </c>
      <c r="C54" s="2036" t="s">
        <v>1223</v>
      </c>
      <c r="D54" s="2159" t="s">
        <v>2210</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1224</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1225</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1226</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1227</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1228</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1229</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1230</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1231</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1232</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1233</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1000-000000000000}">
      <formula1>"7%,5%,1%"</formula1>
    </dataValidation>
    <dataValidation type="list" allowBlank="1" showInputMessage="1" showErrorMessage="1" sqref="B54"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1"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58" t="s">
        <v>2193</v>
      </c>
      <c r="B1" s="4259"/>
      <c r="C1" s="4259"/>
      <c r="D1" s="4259"/>
      <c r="E1" s="4259"/>
      <c r="F1" s="4259"/>
      <c r="G1" s="4259"/>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2190</v>
      </c>
      <c r="D2" s="1309"/>
      <c r="E2" s="1897"/>
      <c r="F2" s="1900"/>
      <c r="G2" s="1899" t="s">
        <v>2191</v>
      </c>
      <c r="H2" s="573"/>
      <c r="I2" s="573"/>
      <c r="J2" s="573"/>
      <c r="K2" s="573"/>
      <c r="L2" s="573"/>
      <c r="M2" s="573"/>
      <c r="N2" s="573"/>
      <c r="O2" s="573"/>
      <c r="P2" s="573"/>
      <c r="Q2" s="573"/>
    </row>
    <row r="3" spans="1:29" ht="24">
      <c r="A3" s="1884" t="s">
        <v>2192</v>
      </c>
      <c r="B3" s="1901" t="s">
        <v>2168</v>
      </c>
      <c r="C3" s="1902"/>
      <c r="D3" s="1903"/>
      <c r="E3" s="1885" t="s">
        <v>2192</v>
      </c>
      <c r="F3" s="1904" t="s">
        <v>2169</v>
      </c>
      <c r="G3" s="1905"/>
      <c r="H3" s="573"/>
      <c r="I3" s="573"/>
      <c r="J3" s="573"/>
      <c r="K3" s="573"/>
      <c r="L3" s="573"/>
      <c r="M3" s="573"/>
      <c r="N3" s="573"/>
      <c r="O3" s="573"/>
      <c r="P3" s="573"/>
      <c r="Q3" s="573"/>
    </row>
    <row r="4" spans="1:29">
      <c r="A4" s="1885"/>
      <c r="B4" s="225" t="s">
        <v>2170</v>
      </c>
      <c r="C4" s="1906"/>
      <c r="D4" s="1903"/>
      <c r="E4" s="1907"/>
      <c r="F4" s="1000" t="s">
        <v>2171</v>
      </c>
      <c r="G4" s="1908"/>
      <c r="H4" s="573"/>
      <c r="I4" s="573"/>
      <c r="J4" s="573"/>
      <c r="K4" s="573"/>
      <c r="L4" s="573"/>
      <c r="M4" s="573"/>
      <c r="N4" s="573"/>
      <c r="O4" s="573"/>
      <c r="P4" s="573"/>
      <c r="Q4" s="573"/>
    </row>
    <row r="5" spans="1:29">
      <c r="A5" s="1885"/>
      <c r="B5" s="225" t="s">
        <v>2172</v>
      </c>
      <c r="C5" s="1906"/>
      <c r="D5" s="1903"/>
      <c r="E5" s="1907"/>
      <c r="F5" s="225" t="s">
        <v>2173</v>
      </c>
      <c r="G5" s="1908"/>
      <c r="H5" s="573"/>
      <c r="I5" s="573"/>
      <c r="J5" s="573"/>
      <c r="K5" s="573"/>
      <c r="L5" s="573"/>
      <c r="M5" s="573"/>
      <c r="N5" s="573"/>
      <c r="O5" s="573"/>
      <c r="P5" s="573"/>
      <c r="Q5" s="573"/>
    </row>
    <row r="6" spans="1:29">
      <c r="A6" s="1885"/>
      <c r="B6" s="225" t="s">
        <v>2174</v>
      </c>
      <c r="C6" s="1908"/>
      <c r="D6" s="1903"/>
      <c r="E6" s="1907"/>
      <c r="F6" s="225" t="s">
        <v>2175</v>
      </c>
      <c r="G6" s="1908"/>
      <c r="H6" s="573"/>
      <c r="I6" s="573"/>
      <c r="J6" s="573"/>
      <c r="K6" s="573"/>
      <c r="L6" s="573"/>
      <c r="M6" s="573"/>
      <c r="N6" s="573"/>
      <c r="O6" s="573"/>
      <c r="P6" s="573"/>
      <c r="Q6" s="573"/>
    </row>
    <row r="7" spans="1:29" ht="15" thickBot="1">
      <c r="A7" s="1885"/>
      <c r="B7" s="225" t="s">
        <v>2173</v>
      </c>
      <c r="C7" s="1908"/>
      <c r="D7" s="1882"/>
      <c r="E7" s="1909"/>
      <c r="F7" s="1910" t="s">
        <v>2176</v>
      </c>
      <c r="G7" s="1911"/>
      <c r="H7" s="573"/>
      <c r="I7" s="573"/>
      <c r="J7" s="573"/>
      <c r="K7" s="573"/>
      <c r="L7" s="573"/>
      <c r="M7" s="573"/>
      <c r="N7" s="573"/>
      <c r="O7" s="573"/>
      <c r="P7" s="573"/>
      <c r="Q7" s="573"/>
    </row>
    <row r="8" spans="1:29">
      <c r="A8" s="1885"/>
      <c r="B8" s="225" t="s">
        <v>2175</v>
      </c>
      <c r="C8" s="1908"/>
      <c r="D8" s="1882"/>
      <c r="E8" s="1882"/>
      <c r="F8" s="62"/>
      <c r="G8" s="62"/>
      <c r="H8" s="573"/>
      <c r="I8" s="573"/>
      <c r="J8" s="573"/>
      <c r="K8" s="573"/>
      <c r="L8" s="573"/>
      <c r="M8" s="573"/>
      <c r="N8" s="573"/>
      <c r="O8" s="573"/>
      <c r="P8" s="573"/>
      <c r="Q8" s="573"/>
    </row>
    <row r="9" spans="1:29">
      <c r="A9" s="1885"/>
      <c r="B9" s="225" t="s">
        <v>2177</v>
      </c>
      <c r="C9" s="1906"/>
      <c r="D9" s="1903"/>
      <c r="E9" s="1882"/>
      <c r="F9" s="62"/>
      <c r="G9" s="62"/>
      <c r="H9" s="573"/>
      <c r="I9" s="573"/>
      <c r="J9" s="573"/>
      <c r="K9" s="573"/>
      <c r="L9" s="573"/>
      <c r="M9" s="573"/>
      <c r="N9" s="573"/>
      <c r="O9" s="573"/>
      <c r="P9" s="573"/>
      <c r="Q9" s="573"/>
    </row>
    <row r="10" spans="1:29" ht="15" thickBot="1">
      <c r="A10" s="1886"/>
      <c r="B10" s="1912" t="s">
        <v>2178</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2194</v>
      </c>
      <c r="B13" s="1917"/>
      <c r="C13" s="1917"/>
      <c r="D13" s="1916"/>
      <c r="E13" s="1917"/>
      <c r="F13" s="1917"/>
      <c r="G13" s="1917"/>
    </row>
    <row r="14" spans="1:29" ht="15" thickBot="1">
      <c r="A14" s="1922"/>
      <c r="B14" s="1922"/>
      <c r="C14" s="1923" t="s">
        <v>2179</v>
      </c>
      <c r="D14" s="1903"/>
      <c r="E14" s="1924"/>
      <c r="F14" s="1924"/>
      <c r="G14" s="1899" t="s">
        <v>2180</v>
      </c>
    </row>
    <row r="15" spans="1:29" ht="24">
      <c r="A15" s="1887" t="s">
        <v>2181</v>
      </c>
      <c r="B15" s="1925" t="s">
        <v>2168</v>
      </c>
      <c r="C15" s="1926">
        <f>C3</f>
        <v>0</v>
      </c>
      <c r="D15" s="1903"/>
      <c r="E15" s="1888" t="s">
        <v>2182</v>
      </c>
      <c r="F15" s="1925" t="s">
        <v>2183</v>
      </c>
      <c r="G15" s="1927">
        <f>G3</f>
        <v>0</v>
      </c>
    </row>
    <row r="16" spans="1:29">
      <c r="A16" s="1889"/>
      <c r="B16" s="1928" t="s">
        <v>2170</v>
      </c>
      <c r="C16" s="1929">
        <f>C4</f>
        <v>0</v>
      </c>
      <c r="D16" s="1903"/>
      <c r="E16" s="1890"/>
      <c r="F16" s="1930" t="s">
        <v>2171</v>
      </c>
      <c r="G16" s="1931">
        <f>G4</f>
        <v>0</v>
      </c>
    </row>
    <row r="17" spans="1:17">
      <c r="A17" s="1889"/>
      <c r="B17" s="1928" t="s">
        <v>2172</v>
      </c>
      <c r="C17" s="1929">
        <f>C5</f>
        <v>0</v>
      </c>
      <c r="D17" s="1882"/>
      <c r="E17" s="1890"/>
      <c r="F17" s="1930" t="s">
        <v>2184</v>
      </c>
      <c r="G17" s="1932"/>
    </row>
    <row r="18" spans="1:17">
      <c r="A18" s="1889"/>
      <c r="B18" s="1930" t="s">
        <v>2174</v>
      </c>
      <c r="C18" s="1931">
        <f>C6</f>
        <v>0</v>
      </c>
      <c r="D18" s="1882"/>
      <c r="E18" s="1890"/>
      <c r="F18" s="1930" t="s">
        <v>2176</v>
      </c>
      <c r="G18" s="1931">
        <f>G7</f>
        <v>0</v>
      </c>
    </row>
    <row r="19" spans="1:17">
      <c r="A19" s="1889"/>
      <c r="B19" s="1930" t="s">
        <v>2185</v>
      </c>
      <c r="C19" s="1932"/>
      <c r="D19" s="1903"/>
      <c r="E19" s="1890"/>
      <c r="F19" s="225" t="s">
        <v>2173</v>
      </c>
      <c r="G19" s="1931">
        <f>G5</f>
        <v>0</v>
      </c>
    </row>
    <row r="20" spans="1:17">
      <c r="A20" s="1889"/>
      <c r="B20" s="1930" t="s">
        <v>2186</v>
      </c>
      <c r="C20" s="1929">
        <f>C9</f>
        <v>0</v>
      </c>
      <c r="D20" s="1882"/>
      <c r="E20" s="1890"/>
      <c r="F20" s="225" t="s">
        <v>2175</v>
      </c>
      <c r="G20" s="1931">
        <f>G6</f>
        <v>0</v>
      </c>
    </row>
    <row r="21" spans="1:17">
      <c r="A21" s="1889"/>
      <c r="B21" s="225" t="s">
        <v>2173</v>
      </c>
      <c r="C21" s="1931">
        <f>C7</f>
        <v>0</v>
      </c>
      <c r="D21" s="1903"/>
      <c r="E21" s="1890"/>
      <c r="F21" s="1930" t="s">
        <v>2187</v>
      </c>
      <c r="G21" s="1933"/>
    </row>
    <row r="22" spans="1:17" ht="13.5" customHeight="1">
      <c r="A22" s="1889"/>
      <c r="B22" s="225" t="s">
        <v>2175</v>
      </c>
      <c r="C22" s="1931">
        <f>C8</f>
        <v>0</v>
      </c>
      <c r="D22" s="1903"/>
      <c r="E22" s="1890"/>
      <c r="F22" s="1930" t="s">
        <v>2178</v>
      </c>
      <c r="G22" s="1932"/>
    </row>
    <row r="23" spans="1:17" s="573" customFormat="1" ht="15" thickBot="1">
      <c r="A23" s="1889"/>
      <c r="B23" s="1930" t="s">
        <v>2187</v>
      </c>
      <c r="C23" s="1933"/>
      <c r="D23" s="1326"/>
      <c r="E23" s="1891"/>
      <c r="F23" s="1934" t="s">
        <v>2188</v>
      </c>
      <c r="G23" s="1935"/>
      <c r="H23" s="1914"/>
      <c r="I23" s="1914"/>
      <c r="J23" s="1914"/>
      <c r="K23" s="1914"/>
      <c r="L23" s="1914"/>
      <c r="M23" s="1914"/>
      <c r="N23" s="1914"/>
      <c r="O23" s="1914"/>
      <c r="P23" s="1914"/>
      <c r="Q23" s="1914"/>
    </row>
    <row r="24" spans="1:17" s="573" customFormat="1" ht="15" thickBot="1">
      <c r="A24" s="1892"/>
      <c r="B24" s="1934" t="s">
        <v>2189</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G14" sqref="G14:G20"/>
    </sheetView>
  </sheetViews>
  <sheetFormatPr defaultColWidth="9" defaultRowHeight="13.5"/>
  <cols>
    <col min="1" max="1" width="25" style="1938" customWidth="1"/>
    <col min="2" max="9" width="15.75" style="1938" customWidth="1"/>
    <col min="10" max="16384" width="9" style="1938"/>
  </cols>
  <sheetData>
    <row r="1" spans="1:11" ht="16.5">
      <c r="A1" s="1937" t="s">
        <v>646</v>
      </c>
      <c r="B1" s="2752">
        <f>SUM(B14:B23)</f>
        <v>1092.8399999999999</v>
      </c>
      <c r="C1" s="2058"/>
      <c r="D1" s="2058"/>
      <c r="E1" s="2058"/>
      <c r="F1" s="2058"/>
      <c r="G1" s="2059"/>
      <c r="H1" s="2059"/>
      <c r="I1" s="2059"/>
      <c r="J1" s="2059"/>
      <c r="K1" s="2059"/>
    </row>
    <row r="2" spans="1:11" ht="16.5">
      <c r="A2" s="1937" t="s">
        <v>634</v>
      </c>
      <c r="B2" s="2752">
        <f>SUM(C14:C23)</f>
        <v>0</v>
      </c>
      <c r="C2" s="2058"/>
      <c r="D2" s="2058"/>
      <c r="E2" s="2058"/>
      <c r="F2" s="2058"/>
      <c r="G2" s="2059"/>
      <c r="H2" s="2059"/>
      <c r="I2" s="2059"/>
      <c r="J2" s="2059"/>
      <c r="K2" s="2059"/>
    </row>
    <row r="3" spans="1:11" ht="16.5">
      <c r="A3" s="1937" t="s">
        <v>643</v>
      </c>
      <c r="B3" s="1939">
        <f>项目基本情况!D3</f>
        <v>46031</v>
      </c>
      <c r="C3" s="2058"/>
      <c r="D3" s="2058"/>
      <c r="E3" s="2058"/>
      <c r="F3" s="2058"/>
      <c r="G3" s="2059"/>
      <c r="H3" s="2059"/>
      <c r="I3" s="2059"/>
      <c r="J3" s="2059"/>
      <c r="K3" s="2059"/>
    </row>
    <row r="4" spans="1:11" ht="33">
      <c r="A4" s="1937" t="s">
        <v>642</v>
      </c>
      <c r="B4" s="1937" t="s">
        <v>641</v>
      </c>
      <c r="C4" s="1937" t="s">
        <v>640</v>
      </c>
      <c r="D4" s="1937" t="s">
        <v>639</v>
      </c>
      <c r="E4" s="2058"/>
      <c r="F4" s="2059"/>
      <c r="G4" s="2059"/>
      <c r="H4" s="2059"/>
      <c r="I4" s="2059"/>
      <c r="J4" s="2059"/>
      <c r="K4" s="2059"/>
    </row>
    <row r="5" spans="1:11" ht="16.5">
      <c r="A5" s="1937" t="s">
        <v>638</v>
      </c>
      <c r="B5" s="2752">
        <f ca="1">SUM(D14:D23)</f>
        <v>2065.6849999999999</v>
      </c>
      <c r="C5" s="2752">
        <f ca="1">ROUND(B5*10000/$B$1,0)</f>
        <v>18902</v>
      </c>
      <c r="D5" s="2752" t="e">
        <f ca="1">ROUND(B5*10000/$B$2,0)</f>
        <v>#DIV/0!</v>
      </c>
      <c r="E5" s="2058"/>
      <c r="F5" s="2059"/>
      <c r="G5" s="2059"/>
      <c r="H5" s="2059"/>
      <c r="I5" s="2059"/>
      <c r="J5" s="2059"/>
      <c r="K5" s="2059"/>
    </row>
    <row r="6" spans="1:11" ht="16.5">
      <c r="A6" s="1937" t="s">
        <v>637</v>
      </c>
      <c r="B6" s="2752">
        <f ca="1">SUM(G14:G23)</f>
        <v>2065.6849999999999</v>
      </c>
      <c r="C6" s="2752">
        <f ca="1">ROUND(B6*10000/$B$1,0)</f>
        <v>18902</v>
      </c>
      <c r="D6" s="2752" t="e">
        <f ca="1">ROUND(B6*10000/$B$2,0)</f>
        <v>#DIV/0!</v>
      </c>
      <c r="E6" s="2058"/>
      <c r="F6" s="2059"/>
      <c r="G6" s="2059"/>
      <c r="H6" s="2059"/>
      <c r="I6" s="2059"/>
      <c r="J6" s="2059"/>
      <c r="K6" s="2059"/>
    </row>
    <row r="7" spans="1:11" ht="16.5">
      <c r="A7" s="1937" t="s">
        <v>645</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636</v>
      </c>
      <c r="B9" s="2751"/>
      <c r="C9" s="2753"/>
      <c r="D9" s="2753"/>
      <c r="E9" s="2058"/>
      <c r="F9" s="2059"/>
      <c r="G9" s="2059"/>
      <c r="H9" s="2059"/>
      <c r="I9" s="2059"/>
      <c r="J9" s="2059"/>
      <c r="K9" s="2059"/>
    </row>
    <row r="10" spans="1:11" ht="16.5">
      <c r="A10" s="1937" t="s">
        <v>635</v>
      </c>
      <c r="B10" s="2752">
        <f>IF(E10="",0,ROUND(B1*(E10*365/G10)/10000,0))</f>
        <v>0</v>
      </c>
      <c r="C10" s="1937" t="s">
        <v>3260</v>
      </c>
      <c r="D10" s="1937" t="s">
        <v>3261</v>
      </c>
      <c r="E10" s="2754"/>
      <c r="F10" s="2637" t="s">
        <v>3262</v>
      </c>
      <c r="G10" s="2634"/>
      <c r="H10" s="2059"/>
      <c r="I10" s="2059"/>
      <c r="J10" s="2059"/>
      <c r="K10" s="2059"/>
    </row>
    <row r="11" spans="1:11" ht="16.5">
      <c r="A11" s="1937" t="s">
        <v>651</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650</v>
      </c>
      <c r="B13" s="1941" t="s">
        <v>647</v>
      </c>
      <c r="C13" s="1941" t="s">
        <v>649</v>
      </c>
      <c r="D13" s="1941" t="s">
        <v>648</v>
      </c>
      <c r="E13" s="1937" t="s">
        <v>640</v>
      </c>
      <c r="F13" s="1937" t="s">
        <v>639</v>
      </c>
      <c r="G13" s="1941" t="s">
        <v>633</v>
      </c>
      <c r="H13" s="1941" t="s">
        <v>644</v>
      </c>
      <c r="I13" s="1941" t="s">
        <v>632</v>
      </c>
      <c r="J13" s="2059"/>
      <c r="K13" s="2059"/>
    </row>
    <row r="14" spans="1:11" ht="16.5">
      <c r="A14" s="1942">
        <f>典型户型修正!A24</f>
        <v>503</v>
      </c>
      <c r="B14" s="2749">
        <f>典型户型修正!B24</f>
        <v>145.47</v>
      </c>
      <c r="C14" s="2749"/>
      <c r="D14" s="2749">
        <f ca="1">典型户型修正!T24/10000</f>
        <v>276.00020000000001</v>
      </c>
      <c r="E14" s="2749">
        <f ca="1">ROUND(D14*10000/B14,0)</f>
        <v>18973</v>
      </c>
      <c r="F14" s="2749" t="e">
        <f ca="1">ROUND(D14*10000/C14,0)</f>
        <v>#DIV/0!</v>
      </c>
      <c r="G14" s="2749">
        <f ca="1">D14</f>
        <v>276.00020000000001</v>
      </c>
      <c r="H14" s="2749"/>
      <c r="I14" s="2749"/>
      <c r="J14" s="2059"/>
      <c r="K14" s="2059"/>
    </row>
    <row r="15" spans="1:11" ht="16.5">
      <c r="A15" s="1942">
        <f>典型户型修正!A25</f>
        <v>504</v>
      </c>
      <c r="B15" s="2750">
        <f>典型户型修正!B25</f>
        <v>164.45</v>
      </c>
      <c r="C15" s="2750"/>
      <c r="D15" s="2750">
        <f ca="1">典型户型修正!T25/10000</f>
        <v>312.01100000000002</v>
      </c>
      <c r="E15" s="2749">
        <f t="shared" ref="E15:E23" ca="1" si="0">ROUND(D15*10000/B15,0)</f>
        <v>18973</v>
      </c>
      <c r="F15" s="2749" t="e">
        <f t="shared" ref="F15:F23" ca="1" si="1">ROUND(D15*10000/C15,0)</f>
        <v>#DIV/0!</v>
      </c>
      <c r="G15" s="2751">
        <f t="shared" ref="G15:G20" ca="1" si="2">D15</f>
        <v>312.01100000000002</v>
      </c>
      <c r="H15" s="2751"/>
      <c r="I15" s="2750"/>
      <c r="J15" s="2059"/>
      <c r="K15" s="2059"/>
    </row>
    <row r="16" spans="1:11" ht="16.5">
      <c r="A16" s="1942">
        <f>典型户型修正!A26</f>
        <v>505</v>
      </c>
      <c r="B16" s="2750">
        <f>典型户型修正!B26</f>
        <v>82.39</v>
      </c>
      <c r="C16" s="2750"/>
      <c r="D16" s="2750">
        <f ca="1">典型户型修正!T26/10000</f>
        <v>156.3185</v>
      </c>
      <c r="E16" s="2749">
        <f t="shared" ca="1" si="0"/>
        <v>18973</v>
      </c>
      <c r="F16" s="2749" t="e">
        <f t="shared" ca="1" si="1"/>
        <v>#DIV/0!</v>
      </c>
      <c r="G16" s="2751">
        <f t="shared" ca="1" si="2"/>
        <v>156.3185</v>
      </c>
      <c r="H16" s="2751"/>
      <c r="I16" s="2750"/>
      <c r="J16" s="2059"/>
      <c r="K16" s="2059"/>
    </row>
    <row r="17" spans="1:11" ht="16.5">
      <c r="A17" s="1942">
        <f>典型户型修正!A27</f>
        <v>506</v>
      </c>
      <c r="B17" s="2750">
        <f>典型户型修正!B27</f>
        <v>204.26</v>
      </c>
      <c r="C17" s="2750"/>
      <c r="D17" s="2750">
        <f ca="1">典型户型修正!T27/10000</f>
        <v>383.66160000000002</v>
      </c>
      <c r="E17" s="2749">
        <f t="shared" ca="1" si="0"/>
        <v>18783</v>
      </c>
      <c r="F17" s="2749" t="e">
        <f t="shared" ca="1" si="1"/>
        <v>#DIV/0!</v>
      </c>
      <c r="G17" s="2751">
        <f t="shared" ca="1" si="2"/>
        <v>383.66160000000002</v>
      </c>
      <c r="H17" s="2751"/>
      <c r="I17" s="2750"/>
      <c r="J17" s="2059"/>
      <c r="K17" s="2059"/>
    </row>
    <row r="18" spans="1:11" ht="16.5">
      <c r="A18" s="1942">
        <f>典型户型修正!A28</f>
        <v>509</v>
      </c>
      <c r="B18" s="2750">
        <f>典型户型修正!B28</f>
        <v>164.45</v>
      </c>
      <c r="C18" s="2750"/>
      <c r="D18" s="2750">
        <f ca="1">典型户型修正!T28/10000</f>
        <v>312.01100000000002</v>
      </c>
      <c r="E18" s="2749">
        <f t="shared" ca="1" si="0"/>
        <v>18973</v>
      </c>
      <c r="F18" s="2749" t="e">
        <f t="shared" ca="1" si="1"/>
        <v>#DIV/0!</v>
      </c>
      <c r="G18" s="2750">
        <f t="shared" ca="1" si="2"/>
        <v>312.01100000000002</v>
      </c>
      <c r="H18" s="2750"/>
      <c r="I18" s="2750"/>
      <c r="J18" s="2059"/>
      <c r="K18" s="2059"/>
    </row>
    <row r="19" spans="1:11" ht="16.5">
      <c r="A19" s="1942">
        <f>典型户型修正!A29</f>
        <v>510</v>
      </c>
      <c r="B19" s="2750">
        <f>典型户型修正!B29</f>
        <v>127.64</v>
      </c>
      <c r="C19" s="2750"/>
      <c r="D19" s="2750">
        <f ca="1">典型户型修正!T29/10000</f>
        <v>242.17140000000001</v>
      </c>
      <c r="E19" s="2749">
        <f t="shared" ca="1" si="0"/>
        <v>18973</v>
      </c>
      <c r="F19" s="2749" t="e">
        <f t="shared" ca="1" si="1"/>
        <v>#DIV/0!</v>
      </c>
      <c r="G19" s="2750">
        <f t="shared" ca="1" si="2"/>
        <v>242.17140000000001</v>
      </c>
      <c r="H19" s="2750"/>
      <c r="I19" s="2750"/>
      <c r="J19" s="2059"/>
      <c r="K19" s="2059"/>
    </row>
    <row r="20" spans="1:11" ht="16.5">
      <c r="A20" s="1942">
        <f>典型户型修正!A30</f>
        <v>806</v>
      </c>
      <c r="B20" s="2750">
        <f>典型户型修正!B30</f>
        <v>204.18</v>
      </c>
      <c r="C20" s="2750"/>
      <c r="D20" s="2750">
        <f ca="1">典型户型修正!T30/10000</f>
        <v>383.51130000000001</v>
      </c>
      <c r="E20" s="2749">
        <f t="shared" ca="1" si="0"/>
        <v>18783</v>
      </c>
      <c r="F20" s="2749" t="e">
        <f t="shared" ca="1" si="1"/>
        <v>#DIV/0!</v>
      </c>
      <c r="G20" s="2750">
        <f t="shared" ca="1" si="2"/>
        <v>383.51130000000001</v>
      </c>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50" t="str">
        <f>项目基本情况!B1</f>
        <v>北京市房地产抵押价值预评估</v>
      </c>
      <c r="C37" s="4150"/>
      <c r="D37" s="4150"/>
      <c r="E37" s="4150"/>
      <c r="F37" s="4150"/>
      <c r="G37" s="4150"/>
      <c r="H37" s="4150"/>
      <c r="I37" s="4150"/>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1239</v>
      </c>
      <c r="B1" s="493"/>
      <c r="C1" s="1332"/>
      <c r="D1" s="493"/>
      <c r="E1" s="493"/>
      <c r="F1" s="1333" t="s">
        <v>1240</v>
      </c>
      <c r="G1" s="1173"/>
      <c r="H1" s="1333" t="str">
        <f>IF(G1="现房","——","估价对象范围")</f>
        <v>估价对象范围</v>
      </c>
      <c r="I1" s="1334"/>
    </row>
    <row r="2" spans="1:12" ht="21.75" customHeight="1" thickBot="1">
      <c r="A2" s="4297" t="str">
        <f>项目基本情况!S2</f>
        <v>北京市房地产</v>
      </c>
      <c r="B2" s="4298"/>
      <c r="C2" s="4298"/>
      <c r="D2" s="4298"/>
      <c r="E2" s="4298"/>
      <c r="F2" s="4298"/>
      <c r="G2" s="4298"/>
      <c r="H2" s="4298"/>
      <c r="I2" s="4299"/>
    </row>
    <row r="3" spans="1:12" ht="12.75">
      <c r="A3" s="4301" t="s">
        <v>1241</v>
      </c>
      <c r="B3" s="4302"/>
      <c r="C3" s="4302"/>
      <c r="D3" s="4302"/>
      <c r="E3" s="4302"/>
      <c r="F3" s="4302"/>
      <c r="G3" s="4302"/>
      <c r="H3" s="4302"/>
      <c r="I3" s="4302"/>
    </row>
    <row r="4" spans="1:12" ht="14.25">
      <c r="A4" s="1336" t="s">
        <v>1242</v>
      </c>
      <c r="B4" s="1337" t="s">
        <v>1243</v>
      </c>
      <c r="C4" s="1338" t="s">
        <v>3747</v>
      </c>
      <c r="D4" s="1338" t="s">
        <v>3739</v>
      </c>
      <c r="E4" s="4303" t="s">
        <v>1244</v>
      </c>
      <c r="F4" s="4304"/>
      <c r="G4" s="4304"/>
      <c r="H4" s="4304"/>
      <c r="I4" s="4305"/>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74" t="s">
        <v>1245</v>
      </c>
      <c r="B5" s="4261">
        <v>25</v>
      </c>
      <c r="C5" s="4277"/>
      <c r="D5" s="4300"/>
      <c r="E5" s="64" t="s">
        <v>1246</v>
      </c>
      <c r="F5" s="1339"/>
      <c r="G5" s="1339"/>
      <c r="H5" s="1339"/>
      <c r="I5" s="1000"/>
    </row>
    <row r="6" spans="1:12" ht="12.75">
      <c r="A6" s="4274"/>
      <c r="B6" s="4261"/>
      <c r="C6" s="4278"/>
      <c r="D6" s="4300"/>
      <c r="E6" s="64" t="s">
        <v>1247</v>
      </c>
      <c r="F6" s="1339"/>
      <c r="G6" s="1339"/>
      <c r="H6" s="1339"/>
      <c r="I6" s="1000"/>
    </row>
    <row r="7" spans="1:12" ht="12.75">
      <c r="A7" s="4274"/>
      <c r="B7" s="4261"/>
      <c r="C7" s="4279"/>
      <c r="D7" s="4300"/>
      <c r="E7" s="64" t="s">
        <v>1248</v>
      </c>
      <c r="F7" s="1339"/>
      <c r="G7" s="1339"/>
      <c r="H7" s="1339"/>
      <c r="I7" s="1000"/>
    </row>
    <row r="8" spans="1:12" ht="12.75">
      <c r="A8" s="4274" t="s">
        <v>1249</v>
      </c>
      <c r="B8" s="4261">
        <v>15</v>
      </c>
      <c r="C8" s="4277"/>
      <c r="D8" s="4300"/>
      <c r="E8" s="64" t="s">
        <v>1250</v>
      </c>
      <c r="F8" s="1339"/>
      <c r="G8" s="1339"/>
      <c r="H8" s="1339"/>
      <c r="I8" s="1000"/>
    </row>
    <row r="9" spans="1:12" ht="12.75">
      <c r="A9" s="4274"/>
      <c r="B9" s="4261"/>
      <c r="C9" s="4279"/>
      <c r="D9" s="4300"/>
      <c r="E9" s="64" t="s">
        <v>1251</v>
      </c>
      <c r="F9" s="1339"/>
      <c r="G9" s="1339"/>
      <c r="H9" s="1339"/>
      <c r="I9" s="1000"/>
    </row>
    <row r="10" spans="1:12" ht="12.75">
      <c r="A10" s="4274" t="s">
        <v>1252</v>
      </c>
      <c r="B10" s="4261">
        <v>15</v>
      </c>
      <c r="C10" s="4277"/>
      <c r="D10" s="4300"/>
      <c r="E10" s="64" t="s">
        <v>1253</v>
      </c>
      <c r="F10" s="1339"/>
      <c r="G10" s="1339"/>
      <c r="H10" s="1339"/>
      <c r="I10" s="1000"/>
    </row>
    <row r="11" spans="1:12" ht="12.75">
      <c r="A11" s="4274"/>
      <c r="B11" s="4261"/>
      <c r="C11" s="4279"/>
      <c r="D11" s="4300"/>
      <c r="E11" s="64" t="s">
        <v>1254</v>
      </c>
      <c r="F11" s="1339"/>
      <c r="G11" s="1339"/>
      <c r="H11" s="1339"/>
      <c r="I11" s="1000"/>
    </row>
    <row r="12" spans="1:12" ht="12.75">
      <c r="A12" s="4274" t="s">
        <v>1255</v>
      </c>
      <c r="B12" s="4261">
        <v>15</v>
      </c>
      <c r="C12" s="4277"/>
      <c r="D12" s="4300"/>
      <c r="E12" s="64" t="s">
        <v>1256</v>
      </c>
      <c r="F12" s="1339"/>
      <c r="G12" s="1339"/>
      <c r="H12" s="1339"/>
      <c r="I12" s="1000"/>
    </row>
    <row r="13" spans="1:12" ht="12.75">
      <c r="A13" s="4274"/>
      <c r="B13" s="4261"/>
      <c r="C13" s="4279"/>
      <c r="D13" s="4300"/>
      <c r="E13" s="64" t="s">
        <v>1257</v>
      </c>
      <c r="F13" s="1339"/>
      <c r="G13" s="1339"/>
      <c r="H13" s="1339"/>
      <c r="I13" s="1000"/>
    </row>
    <row r="14" spans="1:12" ht="12.75">
      <c r="A14" s="4274" t="s">
        <v>1258</v>
      </c>
      <c r="B14" s="4261">
        <v>30</v>
      </c>
      <c r="C14" s="4277">
        <v>7</v>
      </c>
      <c r="D14" s="4300">
        <v>3</v>
      </c>
      <c r="E14" s="64" t="s">
        <v>1259</v>
      </c>
      <c r="F14" s="1339"/>
      <c r="G14" s="1339"/>
      <c r="H14" s="1339"/>
      <c r="I14" s="1000"/>
    </row>
    <row r="15" spans="1:12" ht="12.75">
      <c r="A15" s="4274"/>
      <c r="B15" s="4261"/>
      <c r="C15" s="4278"/>
      <c r="D15" s="4300"/>
      <c r="E15" s="64" t="s">
        <v>1260</v>
      </c>
      <c r="F15" s="1339"/>
      <c r="G15" s="1339"/>
      <c r="H15" s="1339"/>
      <c r="I15" s="1000"/>
    </row>
    <row r="16" spans="1:12" ht="12.75">
      <c r="A16" s="4274"/>
      <c r="B16" s="4261"/>
      <c r="C16" s="4279"/>
      <c r="D16" s="4300"/>
      <c r="E16" s="64" t="s">
        <v>1261</v>
      </c>
      <c r="F16" s="1339"/>
      <c r="G16" s="1339"/>
      <c r="H16" s="1339"/>
      <c r="I16" s="1000"/>
    </row>
    <row r="17" spans="1:36" ht="15">
      <c r="A17" s="1340" t="s">
        <v>1262</v>
      </c>
      <c r="B17" s="43"/>
      <c r="C17" s="2755">
        <f>SUM(C5:C16)</f>
        <v>7</v>
      </c>
      <c r="D17" s="2755">
        <f>SUM(D5:D16)</f>
        <v>3</v>
      </c>
      <c r="E17" s="62"/>
      <c r="F17" s="62"/>
      <c r="G17" s="62"/>
      <c r="H17" s="62"/>
      <c r="I17" s="62"/>
      <c r="K17" s="205"/>
      <c r="L17" s="205" t="s">
        <v>1263</v>
      </c>
      <c r="M17" s="205" t="s">
        <v>1264</v>
      </c>
    </row>
    <row r="18" spans="1:36" ht="31.9" customHeight="1" thickBot="1">
      <c r="A18" s="1341" t="s">
        <v>1265</v>
      </c>
      <c r="B18" s="1263"/>
      <c r="C18" s="2756">
        <f>ROUND(C17/SUM(C17:D17),2)</f>
        <v>0.7</v>
      </c>
      <c r="D18" s="2756">
        <f>1-C18</f>
        <v>0.30000000000000004</v>
      </c>
      <c r="E18" s="4284" t="s">
        <v>2047</v>
      </c>
      <c r="F18" s="4285"/>
      <c r="G18" s="4285"/>
      <c r="H18" s="4285"/>
      <c r="I18" s="4285"/>
      <c r="K18" s="205" t="s">
        <v>1266</v>
      </c>
      <c r="L18" s="2758">
        <f>IF(C1="",'数据-汇总表'!E3,SUMIF(项目类型,C1,'数据-汇总表'!E17:E26)+SUMIF(项目类型,C1,'数据-汇总表'!I17:I26))</f>
        <v>145.47</v>
      </c>
      <c r="M18" s="2758">
        <f>IF(C1="",'数据-汇总表'!E3,SUMIF(项目类型,C1,'数据-汇总表'!E17:E26))</f>
        <v>145.47</v>
      </c>
    </row>
    <row r="19" spans="1:36" ht="15">
      <c r="A19" s="1342" t="s">
        <v>1267</v>
      </c>
      <c r="B19" s="1343" t="s">
        <v>1268</v>
      </c>
      <c r="C19" s="3431">
        <f ca="1">SUMIF(INDIRECT("'"&amp;C4&amp;"'"&amp;"!A:A"),结果表!B19,INDIRECT("'"&amp;C4&amp;"'"&amp;"!B:B"))</f>
        <v>297.67529999999999</v>
      </c>
      <c r="D19" s="3432">
        <f ca="1">SUMIF(INDIRECT("'"&amp;D4&amp;"'"&amp;"!A:A"),结果表!B19,INDIRECT("'"&amp;D4&amp;"'"&amp;"!B:B"))</f>
        <v>225.4248</v>
      </c>
      <c r="E19" s="1342" t="s">
        <v>1269</v>
      </c>
      <c r="F19" s="1343" t="s">
        <v>1268</v>
      </c>
      <c r="G19" s="3427">
        <f ca="1">ROUND(C19*$C$18+D19*$D$18,0)</f>
        <v>276</v>
      </c>
      <c r="H19" s="1344" t="s">
        <v>1270</v>
      </c>
      <c r="I19" s="62"/>
      <c r="K19" s="205" t="s">
        <v>1271</v>
      </c>
      <c r="L19" s="2758">
        <f>IF(C1="",'数据-汇总表'!D3,SUMIF(项目类型,C1,'数据-汇总表'!D17:D26)+SUMIF(项目类型,C1,'数据-汇总表'!H17:H27))</f>
        <v>0</v>
      </c>
      <c r="M19" s="2758">
        <f>IF(C1="",'数据-汇总表'!D3,SUMIF(项目类型,C1,'数据-汇总表'!D17:D26))</f>
        <v>0</v>
      </c>
    </row>
    <row r="20" spans="1:36" ht="15">
      <c r="A20" s="1345"/>
      <c r="B20" s="38" t="s">
        <v>1272</v>
      </c>
      <c r="C20" s="3423">
        <f ca="1">SUMIF(INDIRECT("'"&amp;C4&amp;"'"&amp;"!A:A"),结果表!B20,INDIRECT("'"&amp;C4&amp;"'"&amp;"!B:B"))</f>
        <v>20463</v>
      </c>
      <c r="D20" s="3424">
        <f ca="1">SUMIF(INDIRECT("'"&amp;D4&amp;"'"&amp;"!A:A"),结果表!B20,INDIRECT("'"&amp;D4&amp;"'"&amp;"!B:B"))</f>
        <v>15496</v>
      </c>
      <c r="E20" s="1345"/>
      <c r="F20" s="38" t="s">
        <v>1272</v>
      </c>
      <c r="G20" s="3428">
        <f ca="1">ROUND(C20*$C$18+D20*$D$18,0)</f>
        <v>18973</v>
      </c>
      <c r="H20" s="579" t="s">
        <v>1273</v>
      </c>
      <c r="I20" s="62"/>
    </row>
    <row r="21" spans="1:36" ht="15" customHeight="1" thickBot="1">
      <c r="A21" s="331"/>
      <c r="B21" s="3897" t="s">
        <v>3681</v>
      </c>
      <c r="C21" s="3425">
        <f ca="1">SUMIF(INDIRECT("'"&amp;C4&amp;"'"&amp;"!A:A"),结果表!B21,INDIRECT("'"&amp;C4&amp;"'"&amp;"!B:B"))</f>
        <v>0</v>
      </c>
      <c r="D21" s="3426">
        <f ca="1">SUMIF(INDIRECT("'"&amp;D4&amp;"'"&amp;"!A:A"),结果表!B21,INDIRECT("'"&amp;D4&amp;"'"&amp;"!B:B"))</f>
        <v>0</v>
      </c>
      <c r="E21" s="1345"/>
      <c r="F21" s="39" t="s">
        <v>1274</v>
      </c>
      <c r="G21" s="3428">
        <f ca="1">ROUND(C21*$C$18+D21*$D$18,0)</f>
        <v>0</v>
      </c>
      <c r="H21" s="579" t="s">
        <v>1273</v>
      </c>
      <c r="I21" s="62"/>
    </row>
    <row r="22" spans="1:36" ht="15" thickBot="1">
      <c r="A22" s="1281" t="s">
        <v>1275</v>
      </c>
      <c r="B22" s="1346"/>
      <c r="C22" s="2757"/>
      <c r="D22" s="3429">
        <f ca="1">IF(C19&lt;D19,D19/C19-1,C19/D19-1)</f>
        <v>0.32050821382563055</v>
      </c>
      <c r="E22" s="3887"/>
      <c r="F22" s="3890"/>
      <c r="G22" s="3888" t="e">
        <f ca="1">ROUND(G19/('数据-汇总表'!D3/666.67),0)</f>
        <v>#DIV/0!</v>
      </c>
      <c r="H22" s="3889" t="s">
        <v>3679</v>
      </c>
      <c r="I22" s="62"/>
    </row>
    <row r="23" spans="1:36" ht="13.5" thickBot="1">
      <c r="A23" s="493"/>
      <c r="B23" s="493"/>
      <c r="C23" s="493"/>
      <c r="D23" s="493"/>
      <c r="E23" s="62"/>
      <c r="F23" s="62"/>
      <c r="G23" s="62"/>
      <c r="H23" s="62"/>
      <c r="I23" s="62"/>
    </row>
    <row r="24" spans="1:36" ht="14.25">
      <c r="A24" s="4268" t="s">
        <v>1276</v>
      </c>
      <c r="B24" s="1343" t="s">
        <v>1268</v>
      </c>
      <c r="C24" s="66">
        <f>IF(B30=0,0,D30)</f>
        <v>0</v>
      </c>
      <c r="D24" s="1347"/>
      <c r="E24" s="62"/>
      <c r="F24" s="62"/>
      <c r="G24" s="62"/>
      <c r="H24" s="62"/>
      <c r="I24" s="62"/>
    </row>
    <row r="25" spans="1:36" ht="14.25">
      <c r="A25" s="4269"/>
      <c r="B25" s="3898" t="s">
        <v>3682</v>
      </c>
      <c r="C25" s="69">
        <f>IF(B30=0,0,C30)</f>
        <v>0</v>
      </c>
      <c r="D25" s="1348"/>
      <c r="E25" s="62"/>
      <c r="F25" s="62"/>
      <c r="G25" s="62"/>
      <c r="H25" s="62"/>
      <c r="I25" s="62"/>
    </row>
    <row r="26" spans="1:36" ht="13.5" customHeight="1">
      <c r="A26" s="1349" t="s">
        <v>1277</v>
      </c>
      <c r="B26" s="70" t="s">
        <v>1278</v>
      </c>
      <c r="C26" s="70" t="s">
        <v>1279</v>
      </c>
      <c r="D26" s="71" t="s">
        <v>1280</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1281</v>
      </c>
      <c r="B30" s="2760"/>
      <c r="C30" s="2760"/>
      <c r="D30" s="2760"/>
      <c r="E30" s="1778" t="s">
        <v>2048</v>
      </c>
      <c r="F30" s="62"/>
      <c r="G30" s="62"/>
      <c r="H30" s="62"/>
      <c r="I30" s="62"/>
    </row>
    <row r="31" spans="1:36" s="1784" customFormat="1" ht="26.45" customHeight="1" thickTop="1" thickBot="1">
      <c r="A31" s="1779"/>
      <c r="B31" s="1780"/>
      <c r="C31" s="1780"/>
      <c r="D31" s="1780"/>
      <c r="E31" s="1780"/>
      <c r="F31" s="1780"/>
      <c r="G31" s="1780"/>
      <c r="H31" s="1780"/>
      <c r="I31" s="1781" t="s">
        <v>2049</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1282</v>
      </c>
      <c r="B32" s="1256"/>
      <c r="C32" s="3433">
        <f ca="1">IF(D32="总价",G19-C24,G20-C25)</f>
        <v>18973</v>
      </c>
      <c r="D32" s="1351"/>
      <c r="E32" s="62"/>
      <c r="F32" s="62"/>
      <c r="G32" s="62"/>
      <c r="H32" s="62"/>
      <c r="I32" s="62"/>
    </row>
    <row r="33" spans="1:19" ht="15">
      <c r="A33" s="568" t="s">
        <v>1283</v>
      </c>
      <c r="B33" s="64"/>
      <c r="C33" s="1352"/>
      <c r="D33" s="1353"/>
      <c r="E33" s="1354" t="s">
        <v>1284</v>
      </c>
      <c r="F33" s="1355" t="str">
        <f>IF(D32="楼面单价","取值（单价）","取值（总价）")</f>
        <v>取值（总价）</v>
      </c>
      <c r="G33" s="62"/>
      <c r="H33" s="62"/>
      <c r="I33" s="62"/>
    </row>
    <row r="34" spans="1:19" ht="15">
      <c r="A34" s="1356"/>
      <c r="B34" s="1357" t="s">
        <v>1285</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1286</v>
      </c>
      <c r="F34" s="2762"/>
      <c r="G34" s="62"/>
      <c r="H34" s="62"/>
      <c r="I34" s="62"/>
    </row>
    <row r="35" spans="1:19" ht="15.75" thickBot="1">
      <c r="A35" s="1359"/>
      <c r="B35" s="1360" t="s">
        <v>1287</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1288</v>
      </c>
      <c r="F35" s="2763"/>
      <c r="G35" s="62"/>
      <c r="H35" s="62"/>
      <c r="I35" s="62"/>
    </row>
    <row r="36" spans="1:19" ht="15.75" thickBot="1">
      <c r="A36" s="4288" t="s">
        <v>1289</v>
      </c>
      <c r="B36" s="1362" t="s">
        <v>1290</v>
      </c>
      <c r="C36" s="2764"/>
      <c r="D36" s="1363"/>
      <c r="E36" s="1284"/>
      <c r="F36" s="1364"/>
      <c r="G36" s="62"/>
      <c r="H36" s="62"/>
      <c r="I36" s="62"/>
    </row>
    <row r="37" spans="1:19" ht="15.75" thickBot="1">
      <c r="A37" s="4289"/>
      <c r="B37" s="1272" t="s">
        <v>1291</v>
      </c>
      <c r="C37" s="2765"/>
      <c r="D37" s="827"/>
      <c r="E37" s="827"/>
      <c r="F37" s="1364"/>
      <c r="G37" s="62"/>
      <c r="H37" s="62"/>
      <c r="I37" s="62"/>
    </row>
    <row r="38" spans="1:19" ht="15.75" thickBot="1">
      <c r="A38" s="4290"/>
      <c r="B38" s="1365" t="s">
        <v>1292</v>
      </c>
      <c r="C38" s="2766"/>
      <c r="D38" s="1366" t="s">
        <v>1293</v>
      </c>
      <c r="E38" s="827"/>
      <c r="F38" s="1364"/>
      <c r="G38" s="62"/>
      <c r="H38" s="62"/>
      <c r="I38" s="62"/>
    </row>
    <row r="39" spans="1:19" ht="15">
      <c r="A39" s="1345" t="s">
        <v>1294</v>
      </c>
      <c r="B39" s="1367" t="s">
        <v>1295</v>
      </c>
      <c r="C39" s="1368" t="s">
        <v>1296</v>
      </c>
      <c r="D39" s="1368" t="s">
        <v>1297</v>
      </c>
      <c r="E39" s="1369" t="s">
        <v>1298</v>
      </c>
      <c r="F39" s="1364"/>
      <c r="G39" s="62"/>
      <c r="H39" s="62"/>
      <c r="I39" s="62"/>
    </row>
    <row r="40" spans="1:19" ht="14.25">
      <c r="A40" s="1370" t="s">
        <v>1299</v>
      </c>
      <c r="B40" s="2767"/>
      <c r="C40" s="2768"/>
      <c r="D40" s="2768"/>
      <c r="E40" s="2769"/>
      <c r="F40" s="1364"/>
      <c r="G40" s="62"/>
      <c r="H40" s="62"/>
      <c r="I40" s="62"/>
    </row>
    <row r="41" spans="1:19" ht="14.25">
      <c r="A41" s="1370" t="s">
        <v>1300</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1301</v>
      </c>
      <c r="B44" s="1374"/>
      <c r="C44" s="1374"/>
      <c r="D44" s="1375"/>
      <c r="E44" s="1375"/>
      <c r="F44" s="1376"/>
      <c r="G44" s="1376"/>
      <c r="H44" s="1376"/>
      <c r="I44" s="1376"/>
      <c r="J44" s="1377" t="s">
        <v>1302</v>
      </c>
      <c r="K44" s="4"/>
      <c r="L44" s="4"/>
      <c r="M44" s="4"/>
      <c r="N44" s="4"/>
      <c r="O44" s="4"/>
    </row>
    <row r="45" spans="1:19" ht="14.25" customHeight="1" thickBot="1">
      <c r="A45" s="4265" t="s">
        <v>1303</v>
      </c>
      <c r="B45" s="4266"/>
      <c r="C45" s="4267"/>
      <c r="D45" s="2772">
        <f ca="1">ROUND(H101*F45,0)</f>
        <v>276</v>
      </c>
      <c r="E45" s="75" t="s">
        <v>1304</v>
      </c>
      <c r="F45" s="76">
        <v>1</v>
      </c>
      <c r="G45" s="77" t="s">
        <v>1305</v>
      </c>
      <c r="H45" s="62"/>
      <c r="I45" s="62"/>
      <c r="J45" s="4354" t="s">
        <v>1306</v>
      </c>
      <c r="K45" s="4354"/>
      <c r="L45" s="4354"/>
      <c r="M45" s="4354"/>
      <c r="N45" s="4354"/>
      <c r="O45" s="4354"/>
    </row>
    <row r="46" spans="1:19" ht="14.25" customHeight="1">
      <c r="A46" s="4262" t="s">
        <v>1307</v>
      </c>
      <c r="B46" s="4263"/>
      <c r="C46" s="4263"/>
      <c r="D46" s="4263"/>
      <c r="E46" s="4263"/>
      <c r="F46" s="4263"/>
      <c r="G46" s="4264"/>
      <c r="H46" s="1378"/>
      <c r="I46" s="78"/>
      <c r="J46" s="1945">
        <v>1</v>
      </c>
      <c r="K46" s="4332" t="s">
        <v>1308</v>
      </c>
      <c r="L46" s="4332"/>
      <c r="M46" s="4355"/>
      <c r="N46" s="4355"/>
      <c r="O46" s="4355"/>
    </row>
    <row r="47" spans="1:19" ht="12" customHeight="1">
      <c r="A47" s="79" t="s">
        <v>1309</v>
      </c>
      <c r="B47" s="80"/>
      <c r="C47" s="81"/>
      <c r="D47" s="787" t="s">
        <v>1310</v>
      </c>
      <c r="E47" s="205" t="s">
        <v>1311</v>
      </c>
      <c r="F47" s="82" t="s">
        <v>1312</v>
      </c>
      <c r="G47" s="1963" t="s">
        <v>1313</v>
      </c>
      <c r="H47" s="1964"/>
      <c r="I47" s="78"/>
      <c r="J47" s="1945">
        <v>2</v>
      </c>
      <c r="K47" s="4332" t="s">
        <v>1314</v>
      </c>
      <c r="L47" s="4332"/>
      <c r="M47" s="4356">
        <f>'数据-取费表'!B2</f>
        <v>46031</v>
      </c>
      <c r="N47" s="4356"/>
      <c r="O47" s="4356"/>
    </row>
    <row r="48" spans="1:19" ht="25.5">
      <c r="A48" s="4295" t="s">
        <v>1315</v>
      </c>
      <c r="B48" s="4296"/>
      <c r="C48" s="4296"/>
      <c r="D48" s="3917" t="b">
        <f>IF(H48="情况1",0,IF(H48="情况2",D52,IF(H48="情况3",D53,IF(H48="情况4",D54))))</f>
        <v>0</v>
      </c>
      <c r="E48" s="3918" t="str">
        <f>IF(H48="情况4","(销售额-原购置价)×税（费）率","销售额×税（费）率")</f>
        <v>销售额×税（费）率</v>
      </c>
      <c r="F48" s="3916">
        <f>IF(H48="情况1","免征",'数据-取费表'!B42)</f>
        <v>0</v>
      </c>
      <c r="G48" s="1965" t="s">
        <v>1316</v>
      </c>
      <c r="H48" s="1966"/>
      <c r="I48" s="1378"/>
      <c r="J48" s="1945">
        <v>3</v>
      </c>
      <c r="K48" s="4332" t="s">
        <v>1317</v>
      </c>
      <c r="L48" s="4332"/>
      <c r="M48" s="4357">
        <f ca="1">H101</f>
        <v>276</v>
      </c>
      <c r="N48" s="4357"/>
      <c r="O48" s="4357"/>
      <c r="R48" s="3952" t="s">
        <v>3699</v>
      </c>
      <c r="S48" s="3953"/>
    </row>
    <row r="49" spans="1:35" ht="25.5" customHeight="1">
      <c r="A49" s="3919" t="s">
        <v>1318</v>
      </c>
      <c r="B49" s="4260" t="s">
        <v>1319</v>
      </c>
      <c r="C49" s="4260"/>
      <c r="D49" s="3920">
        <v>0</v>
      </c>
      <c r="E49" s="3921" t="s">
        <v>1320</v>
      </c>
      <c r="F49" s="3922" t="s">
        <v>26</v>
      </c>
      <c r="G49" s="4338"/>
      <c r="H49" s="3912" t="s">
        <v>2050</v>
      </c>
      <c r="I49" s="3913"/>
      <c r="J49" s="1945">
        <v>4</v>
      </c>
      <c r="K49" s="4332" t="str">
        <f>IF(项目基本情况!E8="房地产抵押价值","房地产抵押价值","抵押担保权已注销时的房地产抵押价值")</f>
        <v>房地产抵押价值</v>
      </c>
      <c r="L49" s="4332"/>
      <c r="M49" s="4357">
        <f ca="1">IF(项目基本情况!E8="房地产抵押价值",H107,H109)</f>
        <v>276</v>
      </c>
      <c r="N49" s="4357"/>
      <c r="O49" s="4357"/>
      <c r="R49" s="3954" t="s">
        <v>3700</v>
      </c>
      <c r="S49" s="3952" t="s">
        <v>3701</v>
      </c>
    </row>
    <row r="50" spans="1:35" ht="25.5" customHeight="1">
      <c r="A50" s="3923"/>
      <c r="B50" s="4260" t="s">
        <v>1321</v>
      </c>
      <c r="C50" s="4260"/>
      <c r="D50" s="3924"/>
      <c r="E50" s="3925"/>
      <c r="F50" s="3922"/>
      <c r="G50" s="4339"/>
      <c r="H50" s="1386" t="s">
        <v>2051</v>
      </c>
      <c r="I50" s="3913"/>
      <c r="J50" s="4354" t="s">
        <v>1322</v>
      </c>
      <c r="K50" s="4354"/>
      <c r="L50" s="4354"/>
      <c r="M50" s="4354"/>
      <c r="N50" s="4354"/>
      <c r="O50" s="4354"/>
      <c r="R50" s="3954" t="s">
        <v>3702</v>
      </c>
      <c r="S50" s="3952" t="s">
        <v>3703</v>
      </c>
    </row>
    <row r="51" spans="1:35" ht="20.45" customHeight="1">
      <c r="A51" s="3926"/>
      <c r="B51" s="4260" t="s">
        <v>1323</v>
      </c>
      <c r="C51" s="4260"/>
      <c r="D51" s="3911"/>
      <c r="E51" s="3927"/>
      <c r="F51" s="3922"/>
      <c r="G51" s="4340"/>
      <c r="H51" s="1386" t="s">
        <v>2052</v>
      </c>
      <c r="I51" s="3913"/>
      <c r="J51" s="1946" t="s">
        <v>1324</v>
      </c>
      <c r="K51" s="4332" t="s">
        <v>1325</v>
      </c>
      <c r="L51" s="4332"/>
      <c r="M51" s="1946" t="s">
        <v>1326</v>
      </c>
      <c r="N51" s="1946" t="s">
        <v>1327</v>
      </c>
      <c r="O51" s="1946" t="s">
        <v>1328</v>
      </c>
      <c r="R51" s="3954" t="s">
        <v>3704</v>
      </c>
      <c r="S51" s="3953" t="s">
        <v>3705</v>
      </c>
    </row>
    <row r="52" spans="1:35" ht="24" customHeight="1">
      <c r="A52" s="3928" t="s">
        <v>1329</v>
      </c>
      <c r="B52" s="4260" t="s">
        <v>1330</v>
      </c>
      <c r="C52" s="4260"/>
      <c r="D52" s="3911">
        <f ca="1">ROUND(D45*'数据-取费表'!B42/(1+'数据-取费表'!C43),0)</f>
        <v>0</v>
      </c>
      <c r="E52" s="3918" t="s">
        <v>1331</v>
      </c>
      <c r="F52" s="3909">
        <f>'数据-取费表'!B42</f>
        <v>0</v>
      </c>
      <c r="G52" s="969" t="s">
        <v>3689</v>
      </c>
      <c r="H52" s="1961"/>
      <c r="I52" s="1379"/>
      <c r="J52" s="1945">
        <v>1</v>
      </c>
      <c r="K52" s="4333" t="s">
        <v>1332</v>
      </c>
      <c r="L52" s="4333"/>
      <c r="M52" s="2775" t="b">
        <f>D48</f>
        <v>0</v>
      </c>
      <c r="N52" s="1945" t="str">
        <f>E48</f>
        <v>销售额×税（费）率</v>
      </c>
      <c r="O52" s="1947">
        <f>F48</f>
        <v>0</v>
      </c>
      <c r="R52" s="3952" t="s">
        <v>3706</v>
      </c>
      <c r="S52" s="3952" t="s">
        <v>3710</v>
      </c>
    </row>
    <row r="53" spans="1:35" ht="12" customHeight="1">
      <c r="A53" s="3928" t="s">
        <v>1333</v>
      </c>
      <c r="B53" s="4286" t="s">
        <v>2198</v>
      </c>
      <c r="C53" s="4287"/>
      <c r="D53" s="3911">
        <f ca="1">ROUND(D45*'数据-取费表'!B42/(1+'数据-取费表'!C43),0)</f>
        <v>0</v>
      </c>
      <c r="E53" s="3918" t="s">
        <v>1331</v>
      </c>
      <c r="F53" s="3909">
        <f>'数据-取费表'!B42</f>
        <v>0</v>
      </c>
      <c r="G53" s="1968"/>
      <c r="H53" s="1961"/>
      <c r="I53" s="1379"/>
      <c r="J53" s="1945">
        <v>2</v>
      </c>
      <c r="K53" s="4333" t="s">
        <v>1334</v>
      </c>
      <c r="L53" s="4333"/>
      <c r="M53" s="2775">
        <f t="shared" ref="M53:O54" ca="1" si="0">D55</f>
        <v>0</v>
      </c>
      <c r="N53" s="1945" t="str">
        <f t="shared" si="0"/>
        <v>销售额×税（费）率</v>
      </c>
      <c r="O53" s="1947" t="str">
        <f t="shared" si="0"/>
        <v>免征</v>
      </c>
      <c r="R53" s="3952" t="s">
        <v>3707</v>
      </c>
      <c r="S53" s="3953" t="s">
        <v>3714</v>
      </c>
    </row>
    <row r="54" spans="1:35" ht="12" customHeight="1">
      <c r="A54" s="3928" t="s">
        <v>1335</v>
      </c>
      <c r="B54" s="4286" t="s">
        <v>2199</v>
      </c>
      <c r="C54" s="4287"/>
      <c r="D54" s="3911">
        <f ca="1">C68</f>
        <v>0</v>
      </c>
      <c r="E54" s="3927" t="s">
        <v>1336</v>
      </c>
      <c r="F54" s="3909">
        <f>'数据-取费表'!B42</f>
        <v>0</v>
      </c>
      <c r="G54" s="1968"/>
      <c r="H54" s="1969"/>
      <c r="I54" s="1379"/>
      <c r="J54" s="1945">
        <v>3</v>
      </c>
      <c r="K54" s="4333" t="s">
        <v>1337</v>
      </c>
      <c r="L54" s="4333"/>
      <c r="M54" s="2775">
        <f t="shared" ca="1" si="0"/>
        <v>139</v>
      </c>
      <c r="N54" s="1945" t="str">
        <f t="shared" si="0"/>
        <v>增值额×税（费）率</v>
      </c>
      <c r="O54" s="1948" t="str">
        <f t="shared" si="0"/>
        <v>免征</v>
      </c>
      <c r="R54" s="3954" t="s">
        <v>3708</v>
      </c>
      <c r="S54" s="3953" t="s">
        <v>3711</v>
      </c>
    </row>
    <row r="55" spans="1:35" ht="24" customHeight="1">
      <c r="A55" s="4275" t="s">
        <v>1338</v>
      </c>
      <c r="B55" s="4276"/>
      <c r="C55" s="4276"/>
      <c r="D55" s="2773">
        <f ca="1">IF(H55="个人住宅",0,ROUND(D45*I55,0))</f>
        <v>0</v>
      </c>
      <c r="E55" s="974" t="s">
        <v>1339</v>
      </c>
      <c r="F55" s="1967" t="str">
        <f>IF(H55="正常",I55,"免征")</f>
        <v>免征</v>
      </c>
      <c r="G55" s="1968"/>
      <c r="H55" s="1966"/>
      <c r="I55" s="83">
        <f>'数据-取费表'!B50</f>
        <v>5.0000000000000001E-4</v>
      </c>
      <c r="J55" s="1945">
        <f>IF(H59="非个人房产","",4)</f>
        <v>4</v>
      </c>
      <c r="K55" s="4333" t="str">
        <f>IF(H59="非个人房产","——","个人所得税")</f>
        <v>个人所得税</v>
      </c>
      <c r="L55" s="4333"/>
      <c r="M55" s="2776">
        <f ca="1">D59</f>
        <v>3</v>
      </c>
      <c r="N55" s="1563" t="str">
        <f>E59</f>
        <v>差额计税</v>
      </c>
      <c r="O55" s="1949">
        <f>F59</f>
        <v>0.01</v>
      </c>
      <c r="R55" s="3954" t="s">
        <v>3709</v>
      </c>
      <c r="S55" s="3953" t="s">
        <v>3712</v>
      </c>
    </row>
    <row r="56" spans="1:35" ht="24.75">
      <c r="A56" s="4275" t="s">
        <v>1340</v>
      </c>
      <c r="B56" s="4276"/>
      <c r="C56" s="4276"/>
      <c r="D56" s="2773">
        <f ca="1">IF(H56="个人住宅",D57,D58)</f>
        <v>139</v>
      </c>
      <c r="E56" s="974" t="s">
        <v>1341</v>
      </c>
      <c r="F56" s="1967" t="str">
        <f>IF(H56="正常",F58,"免征")</f>
        <v>免征</v>
      </c>
      <c r="G56" s="1970" t="s">
        <v>1342</v>
      </c>
      <c r="H56" s="1971"/>
      <c r="I56" s="1380"/>
      <c r="J56" s="1945" t="str">
        <f>IF(项目基本情况!K6="上海银行",IF(J55="",4,J55+1),"")</f>
        <v/>
      </c>
      <c r="K56" s="4359" t="str">
        <f>IF(项目基本情况!K6="上海银行","其他处置费用","")</f>
        <v/>
      </c>
      <c r="L56" s="4360"/>
      <c r="M56" s="2775" t="str">
        <f>IF(项目基本情况!K6="上海银行",M69,"")</f>
        <v/>
      </c>
      <c r="N56" s="4359" t="str">
        <f>IF(项目基本情况!K6="上海银行","包含处置中涉及的律师、诉讼、拍卖、评估等费用","")</f>
        <v/>
      </c>
      <c r="O56" s="4362"/>
      <c r="R56" s="3953"/>
      <c r="S56" s="3953" t="s">
        <v>3713</v>
      </c>
    </row>
    <row r="57" spans="1:35" ht="12.75">
      <c r="A57" s="1794" t="s">
        <v>1318</v>
      </c>
      <c r="B57" s="4293" t="s">
        <v>1343</v>
      </c>
      <c r="C57" s="4319"/>
      <c r="D57" s="2774">
        <v>0</v>
      </c>
      <c r="E57" s="226" t="s">
        <v>1320</v>
      </c>
      <c r="F57" s="205"/>
      <c r="G57" s="1968"/>
      <c r="H57" s="1972"/>
      <c r="I57" s="1380"/>
      <c r="J57" s="4333">
        <f>IF(AND(J55="",J56=""),4,IF(项目基本情况!K6="上海银行",结果表!J56+1,结果表!J55+1))</f>
        <v>5</v>
      </c>
      <c r="K57" s="4333" t="s">
        <v>1344</v>
      </c>
      <c r="L57" s="1950" t="s">
        <v>1345</v>
      </c>
      <c r="M57" s="1951"/>
      <c r="N57" s="2777">
        <f ca="1">SUMIF(M52:M56,"&lt;9e307")</f>
        <v>142</v>
      </c>
      <c r="O57" s="1952"/>
      <c r="P57" s="2061">
        <f ca="1">N57/M49</f>
        <v>0.51449275362318836</v>
      </c>
      <c r="R57" s="3951" t="s">
        <v>3715</v>
      </c>
      <c r="S57" s="3951" t="s">
        <v>3716</v>
      </c>
    </row>
    <row r="58" spans="1:35" ht="24.75">
      <c r="A58" s="1794" t="s">
        <v>1329</v>
      </c>
      <c r="B58" s="4293" t="s">
        <v>1346</v>
      </c>
      <c r="C58" s="4294"/>
      <c r="D58" s="2773">
        <f ca="1">IF(H58="转让取得",C81,C97)</f>
        <v>139</v>
      </c>
      <c r="E58" s="974" t="s">
        <v>1341</v>
      </c>
      <c r="F58" s="205" t="s">
        <v>26</v>
      </c>
      <c r="G58" s="1968"/>
      <c r="H58" s="1971"/>
      <c r="I58" s="1380"/>
      <c r="J58" s="4333"/>
      <c r="K58" s="4333"/>
      <c r="L58" s="1950" t="s">
        <v>1347</v>
      </c>
      <c r="M58" s="1953"/>
      <c r="N58" s="1954" t="str">
        <f ca="1">NUMBERSTRING(INT(N57*10000),2)&amp;"元整"</f>
        <v>壹佰肆拾贰万元整</v>
      </c>
      <c r="O58" s="1955"/>
      <c r="R58" s="3951" t="s">
        <v>3717</v>
      </c>
      <c r="S58" s="3951" t="s">
        <v>3718</v>
      </c>
    </row>
    <row r="59" spans="1:35" ht="24.75" thickBot="1">
      <c r="A59" s="4336" t="s">
        <v>1348</v>
      </c>
      <c r="B59" s="4337"/>
      <c r="C59" s="4337"/>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1342</v>
      </c>
      <c r="H59" s="3931"/>
      <c r="I59" s="3932" t="s">
        <v>2053</v>
      </c>
      <c r="J59" s="4334">
        <f>J57+1</f>
        <v>6</v>
      </c>
      <c r="K59" s="4333" t="s">
        <v>1349</v>
      </c>
      <c r="L59" s="1945" t="s">
        <v>1345</v>
      </c>
      <c r="M59" s="1956"/>
      <c r="N59" s="2778">
        <f ca="1">M49-N57</f>
        <v>134</v>
      </c>
      <c r="O59" s="1957"/>
    </row>
    <row r="60" spans="1:35" ht="12" customHeight="1">
      <c r="A60" s="1381"/>
      <c r="B60" s="493"/>
      <c r="C60" s="493"/>
      <c r="D60" s="493"/>
      <c r="E60" s="1186"/>
      <c r="F60" s="1380"/>
      <c r="G60" s="1380"/>
      <c r="H60" s="78"/>
      <c r="I60" s="62"/>
      <c r="J60" s="4335"/>
      <c r="K60" s="4333"/>
      <c r="L60" s="1950" t="s">
        <v>1347</v>
      </c>
      <c r="M60" s="1953"/>
      <c r="N60" s="1954" t="str">
        <f ca="1">NUMBERSTRING(INT(N59*10000),2)&amp;"元整"</f>
        <v>壹佰叁拾肆万元整</v>
      </c>
      <c r="O60" s="1955"/>
    </row>
    <row r="61" spans="1:35" ht="13.5" thickBot="1">
      <c r="A61" s="4273" t="s">
        <v>1350</v>
      </c>
      <c r="B61" s="4273"/>
      <c r="C61" s="4273"/>
      <c r="D61" s="4273"/>
      <c r="E61" s="4273"/>
      <c r="F61" s="1380"/>
      <c r="G61" s="1380"/>
      <c r="H61" s="78"/>
      <c r="I61" s="62"/>
      <c r="J61" s="1945">
        <f>J59+1</f>
        <v>7</v>
      </c>
      <c r="K61" s="4333" t="s">
        <v>1351</v>
      </c>
      <c r="L61" s="4333"/>
      <c r="M61" s="1958"/>
      <c r="N61" s="2779">
        <f ca="1">ROUND(N59*10000/'数据-汇总表'!E3,0)</f>
        <v>9212</v>
      </c>
      <c r="O61" s="1959"/>
    </row>
    <row r="62" spans="1:35" ht="12.75">
      <c r="A62" s="4291" t="s">
        <v>1352</v>
      </c>
      <c r="B62" s="4292"/>
      <c r="C62" s="3933"/>
      <c r="D62" s="3933" t="s">
        <v>1353</v>
      </c>
      <c r="E62" s="3934" t="s">
        <v>1354</v>
      </c>
      <c r="F62" s="1380"/>
      <c r="G62" s="1380"/>
      <c r="H62" s="78"/>
      <c r="I62" s="62"/>
    </row>
    <row r="63" spans="1:35" ht="12.75">
      <c r="A63" s="3935" t="s">
        <v>328</v>
      </c>
      <c r="B63" s="3936" t="s">
        <v>1355</v>
      </c>
      <c r="C63" s="3910">
        <f ca="1">ROUND((C64+C65)/(1+'数据-取费表'!C43),0)</f>
        <v>276</v>
      </c>
      <c r="D63" s="3936"/>
      <c r="E63" s="3950" t="s">
        <v>3691</v>
      </c>
      <c r="F63" s="1380"/>
      <c r="G63" s="1380"/>
      <c r="H63" s="78"/>
      <c r="I63" s="62"/>
      <c r="J63" s="4361" t="s">
        <v>1356</v>
      </c>
      <c r="K63" s="963" t="s">
        <v>1357</v>
      </c>
      <c r="L63" s="2780">
        <f ca="1">IF(M49&gt;10000,M49*0.5%,IF(AND(M49&gt;1000,M49&lt;=10000),M49*1%,IF(AND(M49&gt;100,M49&lt;=1000),M49*3%,IF(AND(M49&gt;10,M49&lt;=100),M49*5%,M49*8%))))</f>
        <v>8.2799999999999994</v>
      </c>
      <c r="M63" s="2758">
        <f ca="1">ROUND(L63,1)</f>
        <v>8.3000000000000007</v>
      </c>
      <c r="N63" s="1960"/>
      <c r="Z63" s="1335"/>
      <c r="AI63" s="1278"/>
    </row>
    <row r="64" spans="1:35" ht="14.25" customHeight="1">
      <c r="A64" s="3937" t="s">
        <v>323</v>
      </c>
      <c r="B64" s="3938" t="s">
        <v>1358</v>
      </c>
      <c r="C64" s="3939">
        <f ca="1">D45</f>
        <v>276</v>
      </c>
      <c r="D64" s="3938" t="s">
        <v>24</v>
      </c>
      <c r="E64" s="3940"/>
      <c r="F64" s="1380"/>
      <c r="G64" s="1380"/>
      <c r="H64" s="78"/>
      <c r="I64" s="62"/>
      <c r="J64" s="4361"/>
      <c r="K64" s="963" t="s">
        <v>1359</v>
      </c>
      <c r="L64" s="2780">
        <f ca="1">IF(M49&gt;2000,M49*0.5%,IF(AND(M49&gt;1000,M49&lt;=2000),M49*0.6%,IF(AND(M49&gt;500,M49&lt;=1000),M49*0.7%,IF(AND(M49&gt;200,M49&lt;=500),M49*0.8%,IF(AND(M49&gt;100,M49&lt;=200),M49*0.9%,IF(AND(M49&gt;50,M49&lt;=100),M49*1%,IF(AND(M49&gt;20,M49&lt;=50),M49*1.5%,IF(AND(M49&gt;10,M49&lt;=20),M49*2%,IF(AND(M49&gt;1,M49&lt;=10),M49*2.5%)))))))))</f>
        <v>2.2080000000000002</v>
      </c>
      <c r="M64" s="2758">
        <f t="shared" ref="M64:M65" ca="1" si="1">ROUND(L64,1)</f>
        <v>2.2000000000000002</v>
      </c>
      <c r="N64" s="1961" t="s">
        <v>1360</v>
      </c>
      <c r="Z64" s="1335"/>
      <c r="AI64" s="1278"/>
    </row>
    <row r="65" spans="1:35" ht="14.25" customHeight="1">
      <c r="A65" s="3937" t="s">
        <v>324</v>
      </c>
      <c r="B65" s="3938" t="s">
        <v>1361</v>
      </c>
      <c r="C65" s="3941"/>
      <c r="D65" s="3938"/>
      <c r="E65" s="3940"/>
      <c r="F65" s="1380"/>
      <c r="G65" s="1380"/>
      <c r="H65" s="78"/>
      <c r="I65" s="62"/>
      <c r="J65" s="4361"/>
      <c r="K65" s="963" t="s">
        <v>1362</v>
      </c>
      <c r="L65" s="2780">
        <f ca="1">IF(M49&gt;1000,M49*0.1%,IF(AND(M49&gt;500,M49&lt;=1000),M49*0.5%,IF(AND(M49&gt;50,M49&lt;=500),M49*1%,IF(AND(M49&gt;1,M49&lt;=50),M49*1.5%))))</f>
        <v>2.7600000000000002</v>
      </c>
      <c r="M65" s="2758">
        <f t="shared" ca="1" si="1"/>
        <v>2.8</v>
      </c>
      <c r="N65" s="1961" t="s">
        <v>1360</v>
      </c>
      <c r="Z65" s="1335"/>
      <c r="AI65" s="1278"/>
    </row>
    <row r="66" spans="1:35" ht="14.25" customHeight="1">
      <c r="A66" s="3935" t="s">
        <v>325</v>
      </c>
      <c r="B66" s="3942" t="s">
        <v>1363</v>
      </c>
      <c r="C66" s="3943"/>
      <c r="D66" s="3942" t="s">
        <v>24</v>
      </c>
      <c r="E66" s="3914" t="s">
        <v>3690</v>
      </c>
      <c r="F66" s="3915"/>
      <c r="G66" s="3915"/>
      <c r="H66" s="78"/>
      <c r="I66" s="62"/>
      <c r="J66" s="4361"/>
      <c r="K66" s="963" t="s">
        <v>1364</v>
      </c>
      <c r="L66" s="2780">
        <f ca="1">M49*0.5%</f>
        <v>1.3800000000000001</v>
      </c>
      <c r="M66" s="2758">
        <f ca="1">IF(L66&gt;0.5,0.5,ROUND(L66,0))</f>
        <v>0.5</v>
      </c>
      <c r="N66" s="1961" t="s">
        <v>1365</v>
      </c>
      <c r="Z66" s="1335"/>
      <c r="AI66" s="1278"/>
    </row>
    <row r="67" spans="1:35" ht="14.25" customHeight="1">
      <c r="A67" s="3935" t="s">
        <v>326</v>
      </c>
      <c r="B67" s="3942" t="s">
        <v>1366</v>
      </c>
      <c r="C67" s="3944">
        <f ca="1">C63-C66</f>
        <v>276</v>
      </c>
      <c r="D67" s="3938" t="s">
        <v>24</v>
      </c>
      <c r="E67" s="3940"/>
      <c r="F67" s="1380"/>
      <c r="G67" s="1380"/>
      <c r="H67" s="78"/>
      <c r="I67" s="62"/>
      <c r="J67" s="4361"/>
      <c r="K67" s="963" t="s">
        <v>1367</v>
      </c>
      <c r="L67" s="2780">
        <f ca="1">IF(M49&gt;=10000,(8.25+(M49-10000)*0.01%),IF(AND(M49&gt;=8000,M49&lt;10000),(7.85+(M49-8000)*0.02%),IF(AND(M49&gt;=5000,M49&lt;8000),(6.65+(M49-5000)*0.04%),IF(AND(M49&gt;=2000,M49&lt;5000),(4.25+(PM49-2000)*0.08%),IF(AND(M49&gt;=1000,M49&lt;2000),(2.75+(M49-1000)*0.15%),IF(AND(M49&gt;=100,M49&lt;1000),(0.5+(M49-100)*0.25%),IF(AND(M49&gt;0,M49&lt;100),M49*0.5%)))))))</f>
        <v>0.94</v>
      </c>
      <c r="M67" s="2758">
        <f ca="1">ROUND(L67*0.9,1)</f>
        <v>0.8</v>
      </c>
      <c r="N67" s="1960"/>
      <c r="Z67" s="1335"/>
      <c r="AI67" s="1278"/>
    </row>
    <row r="68" spans="1:35" ht="14.25" customHeight="1" thickBot="1">
      <c r="A68" s="3945" t="s">
        <v>327</v>
      </c>
      <c r="B68" s="3946" t="s">
        <v>1368</v>
      </c>
      <c r="C68" s="3947">
        <f ca="1">IF(C67&lt;=0,0,ROUND(C67*D68,0))</f>
        <v>0</v>
      </c>
      <c r="D68" s="3948">
        <f>'数据-取费表'!B42</f>
        <v>0</v>
      </c>
      <c r="E68" s="3949"/>
      <c r="F68" s="1380"/>
      <c r="G68" s="1380"/>
      <c r="H68" s="78"/>
      <c r="I68" s="62"/>
      <c r="J68" s="4361"/>
      <c r="K68" s="963" t="s">
        <v>1369</v>
      </c>
      <c r="L68" s="2780">
        <f ca="1">IF(M49&gt;10000,M49*0.5%,IF(AND(M49&gt;5000,M49&lt;=10000),M49*1%,IF(AND(M49&gt;1000,M49&lt;=5000),M49*2%,IF(AND(M49&gt;200,M49&lt;=1000),M49*3%,M49*5%))))</f>
        <v>8.2799999999999994</v>
      </c>
      <c r="M68" s="2758">
        <f ca="1">ROUND(L68,1)</f>
        <v>8.3000000000000007</v>
      </c>
      <c r="N68" s="1960"/>
      <c r="Z68" s="1335"/>
      <c r="AI68" s="1278"/>
    </row>
    <row r="69" spans="1:35" ht="16.5" customHeight="1">
      <c r="A69" s="1382"/>
      <c r="B69" s="1383"/>
      <c r="C69" s="1384"/>
      <c r="D69" s="1385"/>
      <c r="E69" s="1386"/>
      <c r="F69" s="1186"/>
      <c r="G69" s="1186"/>
      <c r="H69" s="1187"/>
      <c r="I69" s="493"/>
      <c r="J69" s="4361"/>
      <c r="K69" s="963" t="s">
        <v>1370</v>
      </c>
      <c r="L69" s="2780"/>
      <c r="M69" s="2758">
        <f ca="1">ROUND(SUM(M63:M68),0)</f>
        <v>23</v>
      </c>
      <c r="N69" s="1962">
        <f ca="1">M69/M49</f>
        <v>8.3333333333333329E-2</v>
      </c>
      <c r="Z69" s="1335"/>
      <c r="AI69" s="1278"/>
    </row>
    <row r="70" spans="1:35" s="492" customFormat="1" ht="15" thickBot="1">
      <c r="A70" s="4317" t="s">
        <v>1371</v>
      </c>
      <c r="B70" s="4318"/>
      <c r="C70" s="4318"/>
      <c r="D70" s="4318"/>
      <c r="E70" s="4318"/>
      <c r="F70" s="4318"/>
      <c r="G70" s="4318"/>
      <c r="H70" s="4318"/>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308" t="s">
        <v>1352</v>
      </c>
      <c r="B71" s="4309"/>
      <c r="C71" s="1545"/>
      <c r="D71" s="1545" t="s">
        <v>1353</v>
      </c>
      <c r="E71" s="93" t="s">
        <v>1354</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1372</v>
      </c>
      <c r="C72" s="2781">
        <f ca="1">ROUND(D45/(1+'数据-取费表'!C43),0)</f>
        <v>276</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1373</v>
      </c>
      <c r="C73" s="2781">
        <f ca="1">C74+C78</f>
        <v>28</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1374</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1375</v>
      </c>
      <c r="C75" s="2783"/>
      <c r="D75" s="86" t="s">
        <v>24</v>
      </c>
      <c r="E75" s="98" t="s">
        <v>1376</v>
      </c>
      <c r="F75" s="1975"/>
      <c r="G75" s="98" t="s">
        <v>1377</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1378</v>
      </c>
      <c r="C76" s="2782">
        <f>IF(F75="购房发票",ROUND(C75*H75*D76,0),0)</f>
        <v>0</v>
      </c>
      <c r="D76" s="1977">
        <v>0.05</v>
      </c>
      <c r="E76" s="4293" t="s">
        <v>1379</v>
      </c>
      <c r="F76" s="4294"/>
      <c r="G76" s="4294"/>
      <c r="H76" s="4316"/>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1380</v>
      </c>
      <c r="C77" s="2782">
        <f>ROUND(IF(G77="个人住宅",0,IF(G77="2016年5月1日前购买",C75*D77,C75*D77/(1+'数据-取费表'!C43))),0)</f>
        <v>0</v>
      </c>
      <c r="D77" s="1978">
        <f>'数据-取费表'!B49+'数据-取费表'!B50</f>
        <v>3.0499999999999999E-2</v>
      </c>
      <c r="E77" s="9" t="s">
        <v>1381</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1382</v>
      </c>
      <c r="C78" s="2782">
        <f ca="1">ROUND(D45*D78/(1+'数据-取费表'!C43),0)</f>
        <v>28</v>
      </c>
      <c r="D78" s="1979">
        <f>'数据-取费表'!B44</f>
        <v>0.1</v>
      </c>
      <c r="E78" s="4270" t="s">
        <v>1383</v>
      </c>
      <c r="F78" s="4271"/>
      <c r="G78" s="4271"/>
      <c r="H78" s="4280"/>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1384</v>
      </c>
      <c r="C79" s="2781">
        <f ca="1">C72-C73</f>
        <v>248</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1385</v>
      </c>
      <c r="C80" s="2781">
        <f ca="1">IF(C79&lt;=0,0,C79/C73)</f>
        <v>8.8571428571428577</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1386</v>
      </c>
      <c r="C81" s="2784">
        <f ca="1">ROUND(IF(C79&lt;=0,0,IF(C80&gt;=200%,C79*60%-C73*35%,IF(C80&gt;=100%,C79*50%-C73*15%,IF(C80&gt;=50%,C79*40%-C73*5%,IF(C80&lt;50%,C79*30%,0))))),0)</f>
        <v>139</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317" t="s">
        <v>1387</v>
      </c>
      <c r="B83" s="4318"/>
      <c r="C83" s="4318"/>
      <c r="D83" s="4318"/>
      <c r="E83" s="4318"/>
      <c r="F83" s="4318"/>
      <c r="G83" s="4318"/>
      <c r="H83" s="4318"/>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308" t="s">
        <v>1352</v>
      </c>
      <c r="B84" s="4309"/>
      <c r="C84" s="1545"/>
      <c r="D84" s="1545" t="s">
        <v>1353</v>
      </c>
      <c r="E84" s="93" t="s">
        <v>1354</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1372</v>
      </c>
      <c r="C85" s="2781">
        <f ca="1">ROUND(D45/(1+'数据-取费表'!C43),0)</f>
        <v>276</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1373</v>
      </c>
      <c r="C86" s="2781">
        <f ca="1">IF(H88="仅含出让金",C87+C90+C91+C92+C93+C94,C87+C91+C92+C93+C94)</f>
        <v>28</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1388</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1389</v>
      </c>
      <c r="C88" s="2783"/>
      <c r="D88" s="1979"/>
      <c r="E88" s="107" t="s">
        <v>1390</v>
      </c>
      <c r="F88" s="1790"/>
      <c r="G88" s="108" t="s">
        <v>1391</v>
      </c>
      <c r="H88" s="1394"/>
      <c r="I88" s="1391"/>
      <c r="J88" s="1943" t="s">
        <v>2195</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1380</v>
      </c>
      <c r="C89" s="2782">
        <f>ROUND(C88*D89,0)</f>
        <v>0</v>
      </c>
      <c r="D89" s="1979">
        <f>'数据-取费表'!B49+'数据-取费表'!B50</f>
        <v>3.0499999999999999E-2</v>
      </c>
      <c r="E89" s="107" t="s">
        <v>1392</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1393</v>
      </c>
      <c r="C90" s="2783"/>
      <c r="D90" s="1979"/>
      <c r="E90" s="107" t="str">
        <f>IF(H88="-","土地取得成本中已包含该笔费用"," ")</f>
        <v xml:space="preserve"> </v>
      </c>
      <c r="F90" s="1790"/>
      <c r="G90" s="4363" t="s">
        <v>2045</v>
      </c>
      <c r="H90" s="4364"/>
      <c r="I90" s="1391"/>
      <c r="J90" s="1943" t="s">
        <v>2196</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1394</v>
      </c>
      <c r="B91" s="86" t="s">
        <v>1395</v>
      </c>
      <c r="C91" s="2782">
        <f>IF(H91="——",成本法!C9,I91)</f>
        <v>0</v>
      </c>
      <c r="D91" s="1979"/>
      <c r="E91" s="4270" t="s">
        <v>1396</v>
      </c>
      <c r="F91" s="4271"/>
      <c r="G91" s="4271"/>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1397</v>
      </c>
      <c r="B92" s="86" t="s">
        <v>1398</v>
      </c>
      <c r="C92" s="2782">
        <f>ROUND((C87+C90+C91)*D92,0)</f>
        <v>0</v>
      </c>
      <c r="D92" s="1982"/>
      <c r="E92" s="4270" t="s">
        <v>1399</v>
      </c>
      <c r="F92" s="4271"/>
      <c r="G92" s="4271"/>
      <c r="H92" s="4280"/>
      <c r="I92" s="1391"/>
      <c r="J92" s="1944" t="s">
        <v>2197</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1400</v>
      </c>
      <c r="B93" s="86" t="s">
        <v>1382</v>
      </c>
      <c r="C93" s="2782">
        <f ca="1">ROUND(D45*D93/(1+'数据-取费表'!C43),0)</f>
        <v>28</v>
      </c>
      <c r="D93" s="1979">
        <f>'数据-取费表'!B44</f>
        <v>0.1</v>
      </c>
      <c r="E93" s="4270" t="s">
        <v>1383</v>
      </c>
      <c r="F93" s="4271"/>
      <c r="G93" s="4271"/>
      <c r="H93" s="4280"/>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1401</v>
      </c>
      <c r="B94" s="86" t="s">
        <v>1402</v>
      </c>
      <c r="C94" s="2783">
        <f>ROUND((C87+C90+C91)*D94,0)</f>
        <v>0</v>
      </c>
      <c r="D94" s="1979">
        <v>0.2</v>
      </c>
      <c r="E94" s="4281" t="s">
        <v>1403</v>
      </c>
      <c r="F94" s="4282"/>
      <c r="G94" s="4282"/>
      <c r="H94" s="4283"/>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1384</v>
      </c>
      <c r="C95" s="2781">
        <f ca="1">ROUND(C85-C86,0)</f>
        <v>248</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1385</v>
      </c>
      <c r="C96" s="2781">
        <f ca="1">IF(C95&lt;=0,0,C95/C86)</f>
        <v>8.8571428571428577</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1386</v>
      </c>
      <c r="C97" s="2784">
        <f ca="1">ROUND(IF(C95&lt;=0,0,IF(C96&gt;=200%,C95*60%-C86*35%,IF(C96&gt;=100%,C95*50%-C86*15%,IF(C96&gt;=50%,C95*40%-C86*5%,IF(C96&lt;50%,C95*30%,0))))),0)</f>
        <v>139</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1404</v>
      </c>
      <c r="B99" s="493"/>
      <c r="C99" s="493"/>
      <c r="D99" s="493"/>
      <c r="E99" s="1186"/>
      <c r="F99" s="1186"/>
      <c r="G99" s="1186"/>
      <c r="H99" s="1187"/>
      <c r="I99" s="62"/>
    </row>
    <row r="100" spans="1:35" ht="18.75" customHeight="1">
      <c r="A100" s="4254" t="s">
        <v>1405</v>
      </c>
      <c r="B100" s="4255"/>
      <c r="C100" s="4255"/>
      <c r="D100" s="4272"/>
      <c r="E100" s="4255" t="s">
        <v>1406</v>
      </c>
      <c r="F100" s="4255"/>
      <c r="G100" s="4255"/>
      <c r="H100" s="4272"/>
      <c r="I100" s="62"/>
    </row>
    <row r="101" spans="1:35" ht="18.75" customHeight="1">
      <c r="A101" s="4341" t="s">
        <v>1407</v>
      </c>
      <c r="B101" s="4342"/>
      <c r="C101" s="1984" t="str">
        <f>C4</f>
        <v>比较法-办公</v>
      </c>
      <c r="D101" s="1985" t="str">
        <f>D4</f>
        <v>收益法 (元)</v>
      </c>
      <c r="E101" s="4358" t="s">
        <v>1408</v>
      </c>
      <c r="F101" s="4307"/>
      <c r="G101" s="1396" t="s">
        <v>1409</v>
      </c>
      <c r="H101" s="2794">
        <f ca="1">H118</f>
        <v>276</v>
      </c>
      <c r="I101" s="62"/>
    </row>
    <row r="102" spans="1:35" ht="18.75" customHeight="1">
      <c r="A102" s="4311" t="s">
        <v>1410</v>
      </c>
      <c r="B102" s="1983" t="s">
        <v>1409</v>
      </c>
      <c r="C102" s="2786">
        <f ca="1">IF(D32="楼面单价",ROUND(C19,0),C19)</f>
        <v>297.67529999999999</v>
      </c>
      <c r="D102" s="2787">
        <f ca="1">IF(D32="楼面单价",ROUND(D19,0),D19)</f>
        <v>225.4248</v>
      </c>
      <c r="E102" s="4358"/>
      <c r="F102" s="4307"/>
      <c r="G102" s="1396" t="s">
        <v>1411</v>
      </c>
      <c r="H102" s="2795">
        <f ca="1">I118</f>
        <v>1304255</v>
      </c>
      <c r="I102" s="62"/>
    </row>
    <row r="103" spans="1:35" ht="42.75" customHeight="1">
      <c r="A103" s="4311"/>
      <c r="B103" s="1983" t="s">
        <v>1411</v>
      </c>
      <c r="C103" s="2788">
        <f ca="1">C20</f>
        <v>20463</v>
      </c>
      <c r="D103" s="2789">
        <f ca="1">D20</f>
        <v>15496</v>
      </c>
      <c r="E103" s="4352" t="s">
        <v>1412</v>
      </c>
      <c r="F103" s="4353"/>
      <c r="G103" s="1397" t="s">
        <v>1413</v>
      </c>
      <c r="H103" s="2794">
        <f>IF(D36="正常操作",H104+H105+H106,H105+H106)</f>
        <v>0</v>
      </c>
      <c r="I103" s="62"/>
    </row>
    <row r="104" spans="1:35" ht="18.75" customHeight="1">
      <c r="A104" s="4311" t="s">
        <v>1414</v>
      </c>
      <c r="B104" s="1986" t="s">
        <v>1409</v>
      </c>
      <c r="C104" s="2790">
        <f ca="1">H118</f>
        <v>276</v>
      </c>
      <c r="D104" s="2791"/>
      <c r="E104" s="1272" t="s">
        <v>1415</v>
      </c>
      <c r="F104" s="1269"/>
      <c r="G104" s="1397" t="s">
        <v>1413</v>
      </c>
      <c r="H104" s="1988">
        <f>IF(D36="同一抵押权人同一抵押物续贷",C36&amp;"（续贷，未扣减，详见特别提示）",C36)</f>
        <v>0</v>
      </c>
      <c r="I104" s="62"/>
    </row>
    <row r="105" spans="1:35" ht="18.75" customHeight="1" thickBot="1">
      <c r="A105" s="4312"/>
      <c r="B105" s="1987" t="s">
        <v>1411</v>
      </c>
      <c r="C105" s="2792">
        <f ca="1">I118</f>
        <v>1304255</v>
      </c>
      <c r="D105" s="2793"/>
      <c r="E105" s="1272" t="s">
        <v>1416</v>
      </c>
      <c r="F105" s="1269"/>
      <c r="G105" s="1397" t="s">
        <v>1413</v>
      </c>
      <c r="H105" s="2796">
        <f>C37</f>
        <v>0</v>
      </c>
      <c r="I105" s="62"/>
    </row>
    <row r="106" spans="1:35" ht="18.75" customHeight="1">
      <c r="A106" s="493" t="s">
        <v>1417</v>
      </c>
      <c r="B106" s="493"/>
      <c r="C106" s="493"/>
      <c r="D106" s="493"/>
      <c r="E106" s="1398" t="s">
        <v>1418</v>
      </c>
      <c r="F106" s="1269"/>
      <c r="G106" s="1397" t="s">
        <v>1413</v>
      </c>
      <c r="H106" s="2796">
        <f>C38</f>
        <v>0</v>
      </c>
      <c r="I106" s="62"/>
    </row>
    <row r="107" spans="1:35" ht="18.75" customHeight="1">
      <c r="A107" s="62"/>
      <c r="B107" s="62"/>
      <c r="C107" s="62"/>
      <c r="D107" s="62"/>
      <c r="E107" s="4306" t="str">
        <f>IF(项目基本情况!E8="已注销","——","3.房地产抵押价值")</f>
        <v>3.房地产抵押价值</v>
      </c>
      <c r="F107" s="4307"/>
      <c r="G107" s="1396" t="s">
        <v>1409</v>
      </c>
      <c r="H107" s="2794">
        <f ca="1">IF(E107="——","——",H101-H103)</f>
        <v>276</v>
      </c>
      <c r="I107" s="62"/>
    </row>
    <row r="108" spans="1:35" ht="18.75" customHeight="1">
      <c r="A108" s="62"/>
      <c r="B108" s="62"/>
      <c r="C108" s="62"/>
      <c r="D108" s="62"/>
      <c r="E108" s="4306"/>
      <c r="F108" s="4307"/>
      <c r="G108" s="1396" t="s">
        <v>1411</v>
      </c>
      <c r="H108" s="2795">
        <f ca="1">IF(H107=H101,H102,ROUND(H107*10000/'数据-汇总表'!E3,0))</f>
        <v>1304255</v>
      </c>
      <c r="I108" s="62"/>
    </row>
    <row r="109" spans="1:35" ht="18.75" customHeight="1">
      <c r="A109" s="62"/>
      <c r="B109" s="62"/>
      <c r="C109" s="62"/>
      <c r="D109" s="62"/>
      <c r="E109" s="4306" t="str">
        <f>IF(项目基本情况!E8="已注销及未注销","4.抵押担保权已注销时的房地产抵押价值",IF(项目基本情况!E8="已注销","3.抵押担保权已注销时的房地产抵押价值","——"))</f>
        <v>——</v>
      </c>
      <c r="F109" s="4307"/>
      <c r="G109" s="1396" t="s">
        <v>1409</v>
      </c>
      <c r="H109" s="2797" t="str">
        <f>IF(E109="——","——",H101-H105-H106)</f>
        <v>——</v>
      </c>
      <c r="I109" s="62"/>
    </row>
    <row r="110" spans="1:35" ht="18.75" customHeight="1">
      <c r="A110" s="62"/>
      <c r="B110" s="62"/>
      <c r="C110" s="62"/>
      <c r="D110" s="62"/>
      <c r="E110" s="4306"/>
      <c r="F110" s="4307"/>
      <c r="G110" s="1396" t="s">
        <v>1411</v>
      </c>
      <c r="H110" s="2795" t="str">
        <f>IF(H109="——","——",ROUND(H109*10000/'数据-汇总表'!E3,0))</f>
        <v>——</v>
      </c>
      <c r="I110" s="62"/>
    </row>
    <row r="111" spans="1:35" ht="18.75" customHeight="1">
      <c r="A111" s="62"/>
      <c r="B111" s="62"/>
      <c r="C111" s="62"/>
      <c r="D111" s="62"/>
      <c r="E111" s="4343" t="str">
        <f>IF(项目基本情况!E9="抵押净值",IF(OR(项目基本情况!E8="已注销",项目基本情况!E8="房地产抵押价值"),"4.抵押净值","5.抵押净值"),"——")</f>
        <v>——</v>
      </c>
      <c r="F111" s="4310"/>
      <c r="G111" s="1396" t="s">
        <v>1409</v>
      </c>
      <c r="H111" s="2794" t="str">
        <f>IF(E111="——","——",N59)</f>
        <v>——</v>
      </c>
      <c r="I111" s="62"/>
    </row>
    <row r="112" spans="1:35" ht="18.75" customHeight="1" thickBot="1">
      <c r="A112" s="62"/>
      <c r="B112" s="62"/>
      <c r="C112" s="62"/>
      <c r="D112" s="62"/>
      <c r="E112" s="4344"/>
      <c r="F112" s="4345"/>
      <c r="G112" s="1399" t="s">
        <v>1411</v>
      </c>
      <c r="H112" s="2798" t="str">
        <f>IF(E111="——","——",N61)</f>
        <v>——</v>
      </c>
      <c r="I112" s="62"/>
    </row>
    <row r="113" spans="1:27" ht="18.75" customHeight="1">
      <c r="A113" s="62"/>
      <c r="B113" s="62"/>
      <c r="C113" s="62"/>
      <c r="D113" s="62"/>
      <c r="E113" s="4313" t="s">
        <v>1417</v>
      </c>
      <c r="F113" s="4313"/>
      <c r="G113" s="4313"/>
      <c r="H113" s="4313"/>
      <c r="I113" s="62"/>
    </row>
    <row r="114" spans="1:27" ht="3.75" customHeight="1">
      <c r="A114" s="493"/>
      <c r="B114" s="493"/>
      <c r="C114" s="493"/>
      <c r="D114" s="493"/>
      <c r="E114" s="1381"/>
      <c r="F114" s="1381"/>
      <c r="G114" s="1381"/>
      <c r="H114" s="1381"/>
      <c r="I114" s="493"/>
    </row>
    <row r="115" spans="1:27" ht="18.75" customHeight="1">
      <c r="A115" s="4324" t="s">
        <v>1419</v>
      </c>
      <c r="B115" s="4325"/>
      <c r="C115" s="4325"/>
      <c r="D115" s="4325"/>
      <c r="E115" s="4325"/>
      <c r="F115" s="4325"/>
      <c r="G115" s="4325"/>
      <c r="H115" s="4325"/>
      <c r="I115" s="4326"/>
    </row>
    <row r="116" spans="1:27" ht="27" customHeight="1">
      <c r="A116" s="4274" t="s">
        <v>1420</v>
      </c>
      <c r="B116" s="4314" t="s">
        <v>1421</v>
      </c>
      <c r="C116" s="4314" t="s">
        <v>1422</v>
      </c>
      <c r="D116" s="4328" t="s">
        <v>1423</v>
      </c>
      <c r="E116" s="4329"/>
      <c r="F116" s="4323" t="s">
        <v>1424</v>
      </c>
      <c r="G116" s="4323"/>
      <c r="H116" s="4274" t="s">
        <v>1425</v>
      </c>
      <c r="I116" s="4274"/>
      <c r="K116" s="3438"/>
      <c r="L116" s="3439" t="s">
        <v>3531</v>
      </c>
      <c r="M116" s="3439" t="s">
        <v>3532</v>
      </c>
      <c r="N116" s="3439" t="s">
        <v>3533</v>
      </c>
    </row>
    <row r="117" spans="1:27" ht="18.75" customHeight="1">
      <c r="A117" s="4274"/>
      <c r="B117" s="4315"/>
      <c r="C117" s="4315"/>
      <c r="D117" s="1792" t="s">
        <v>1426</v>
      </c>
      <c r="E117" s="1792" t="s">
        <v>1427</v>
      </c>
      <c r="F117" s="1792" t="s">
        <v>1426</v>
      </c>
      <c r="G117" s="1792" t="s">
        <v>1428</v>
      </c>
      <c r="H117" s="1792" t="s">
        <v>1426</v>
      </c>
      <c r="I117" s="1792" t="s">
        <v>1428</v>
      </c>
      <c r="K117" s="3439" t="s">
        <v>3529</v>
      </c>
      <c r="L117" s="1335" t="e">
        <f ca="1">C34</f>
        <v>#REF!</v>
      </c>
      <c r="M117" s="3438" t="e">
        <f ca="1">C35</f>
        <v>#REF!</v>
      </c>
      <c r="N117" s="3440">
        <f ca="1">C32</f>
        <v>18973</v>
      </c>
    </row>
    <row r="118" spans="1:27" ht="24.75" customHeight="1">
      <c r="A118" s="1989" t="str">
        <f>项目基本情况!S2</f>
        <v>北京市房地产</v>
      </c>
      <c r="B118" s="2799">
        <f>M18</f>
        <v>145.47</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276</v>
      </c>
      <c r="I118" s="2800">
        <f ca="1">ROUND(IF(D32="楼面单价",C32,N117*10000/B118),0)</f>
        <v>1304255</v>
      </c>
      <c r="K118" s="3438"/>
      <c r="L118" s="3438"/>
      <c r="M118" s="3438"/>
      <c r="N118" s="3438"/>
    </row>
    <row r="119" spans="1:27" ht="18.75" customHeight="1">
      <c r="A119" s="4274" t="s">
        <v>1429</v>
      </c>
      <c r="B119" s="4274"/>
      <c r="C119" s="4274"/>
      <c r="D119" s="4330" t="e">
        <f ca="1">NUMBERSTRING(INT(D118*10000),2)&amp;"元整"</f>
        <v>#REF!</v>
      </c>
      <c r="E119" s="4331"/>
      <c r="F119" s="4330" t="e">
        <f ca="1">NUMBERSTRING(INT(F118*10000),2)&amp;"元整"</f>
        <v>#REF!</v>
      </c>
      <c r="G119" s="4331"/>
      <c r="H119" s="4330" t="str">
        <f ca="1">NUMBERSTRING(INT(H118*10000),2)&amp;"元整"</f>
        <v>贰佰柒拾陆万元整</v>
      </c>
      <c r="I119" s="4331"/>
      <c r="K119" s="3439" t="s">
        <v>3530</v>
      </c>
      <c r="L119" s="3438" t="e">
        <f ca="1">C34</f>
        <v>#REF!</v>
      </c>
      <c r="M119" s="3438" t="e">
        <f ca="1">C35</f>
        <v>#REF!</v>
      </c>
      <c r="N119" s="3440">
        <f ca="1">C32</f>
        <v>18973</v>
      </c>
    </row>
    <row r="120" spans="1:27" ht="18.75" customHeight="1">
      <c r="A120" s="4349" t="str">
        <f>IF(项目基本情况!B9="房地产市场价值","",MID(E103,3,LEN(E103)-2))</f>
        <v>估价师知悉的法定优先受偿款</v>
      </c>
      <c r="B120" s="4350"/>
      <c r="C120" s="4351"/>
      <c r="D120" s="4349">
        <f>H103</f>
        <v>0</v>
      </c>
      <c r="E120" s="4350"/>
      <c r="F120" s="4350"/>
      <c r="G120" s="4350"/>
      <c r="H120" s="4350"/>
      <c r="I120" s="4351"/>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320" t="s">
        <v>1429</v>
      </c>
      <c r="B121" s="4321"/>
      <c r="C121" s="4322"/>
      <c r="D121" s="4320" t="str">
        <f>IF(D120=0,"零元整",NUMBERSTRING(INT(D120*10000),2)&amp;"元整")</f>
        <v>零元整</v>
      </c>
      <c r="E121" s="4321"/>
      <c r="F121" s="4321"/>
      <c r="G121" s="4321"/>
      <c r="H121" s="4321"/>
      <c r="I121" s="4322"/>
      <c r="AA121" s="527"/>
    </row>
    <row r="122" spans="1:27" ht="18.75" customHeight="1">
      <c r="A122" s="4310" t="str">
        <f>IF(项目基本情况!B9="房地产市场价值","",MID(E107,3,LEN(E107)-2))</f>
        <v>房地产抵押价值</v>
      </c>
      <c r="B122" s="4310"/>
      <c r="C122" s="4310"/>
      <c r="D122" s="4346">
        <f ca="1">H107</f>
        <v>276</v>
      </c>
      <c r="E122" s="4347"/>
      <c r="F122" s="4347"/>
      <c r="G122" s="4347"/>
      <c r="H122" s="4347"/>
      <c r="I122" s="4348"/>
      <c r="AA122" s="527"/>
    </row>
    <row r="123" spans="1:27" ht="18.75" customHeight="1">
      <c r="A123" s="4274" t="s">
        <v>1429</v>
      </c>
      <c r="B123" s="4274"/>
      <c r="C123" s="4274"/>
      <c r="D123" s="4320" t="str">
        <f ca="1">NUMBERSTRING(INT(D122*10000),2)&amp;"元整"</f>
        <v>贰佰柒拾陆万元整</v>
      </c>
      <c r="E123" s="4321"/>
      <c r="F123" s="4321"/>
      <c r="G123" s="4321"/>
      <c r="H123" s="4321"/>
      <c r="I123" s="4322"/>
      <c r="AA123" s="527"/>
    </row>
    <row r="124" spans="1:27" ht="18.75" customHeight="1">
      <c r="A124" s="4310" t="str">
        <f>IF(项目基本情况!B9="房地产市场价值","",MID(E109,3,LEN(E109)-2))</f>
        <v/>
      </c>
      <c r="B124" s="4310"/>
      <c r="C124" s="4310"/>
      <c r="D124" s="4346" t="str">
        <f>H109</f>
        <v>——</v>
      </c>
      <c r="E124" s="4347"/>
      <c r="F124" s="4347"/>
      <c r="G124" s="4347"/>
      <c r="H124" s="4347"/>
      <c r="I124" s="4348"/>
      <c r="AA124" s="527"/>
    </row>
    <row r="125" spans="1:27" ht="18.75" customHeight="1">
      <c r="A125" s="4274" t="s">
        <v>1429</v>
      </c>
      <c r="B125" s="4274"/>
      <c r="C125" s="4274"/>
      <c r="D125" s="4320" t="e">
        <f>NUMBERSTRING(INT(D124*10000),2)&amp;"元整"</f>
        <v>#VALUE!</v>
      </c>
      <c r="E125" s="4321"/>
      <c r="F125" s="4321"/>
      <c r="G125" s="4321"/>
      <c r="H125" s="4321"/>
      <c r="I125" s="4322"/>
      <c r="AA125" s="527"/>
    </row>
    <row r="126" spans="1:27" ht="18.75" customHeight="1">
      <c r="A126" s="4310" t="str">
        <f>IF(项目基本情况!B9="房地产市场价值","",MID(E111,3,LEN(E111)-2))</f>
        <v/>
      </c>
      <c r="B126" s="4310"/>
      <c r="C126" s="4310"/>
      <c r="D126" s="4346" t="str">
        <f>H111</f>
        <v>——</v>
      </c>
      <c r="E126" s="4347"/>
      <c r="F126" s="4347"/>
      <c r="G126" s="4347"/>
      <c r="H126" s="4347"/>
      <c r="I126" s="4348"/>
      <c r="AA126" s="527"/>
    </row>
    <row r="127" spans="1:27" ht="18.75" customHeight="1">
      <c r="A127" s="4274" t="s">
        <v>1429</v>
      </c>
      <c r="B127" s="4274"/>
      <c r="C127" s="4274"/>
      <c r="D127" s="4320" t="e">
        <f>NUMBERSTRING(INT(D126*10000),2)&amp;"元整"</f>
        <v>#VALUE!</v>
      </c>
      <c r="E127" s="4321"/>
      <c r="F127" s="4321"/>
      <c r="G127" s="4321"/>
      <c r="H127" s="4321"/>
      <c r="I127" s="4322"/>
      <c r="AA127" s="527"/>
    </row>
    <row r="128" spans="1:27" ht="21.75" customHeight="1">
      <c r="A128" s="4327" t="s">
        <v>1430</v>
      </c>
      <c r="B128" s="4327"/>
      <c r="C128" s="4327"/>
      <c r="D128" s="4327"/>
      <c r="E128" s="4327"/>
      <c r="F128" s="4327"/>
      <c r="G128" s="4327"/>
      <c r="H128" s="4327"/>
      <c r="I128" s="4327"/>
      <c r="AA128" s="527"/>
    </row>
    <row r="129" spans="1:35" ht="21.75" customHeight="1">
      <c r="A129" s="1400" t="s">
        <v>1431</v>
      </c>
      <c r="B129" s="1401"/>
      <c r="C129" s="1402" t="s">
        <v>1432</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1433</v>
      </c>
      <c r="G135" s="1415"/>
      <c r="H135" s="1415"/>
      <c r="I135" s="1416" t="s">
        <v>1434</v>
      </c>
    </row>
    <row r="136" spans="1:35" ht="21.75" customHeight="1">
      <c r="A136" s="527"/>
      <c r="B136" s="1417" t="s">
        <v>1435</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1436</v>
      </c>
    </row>
    <row r="139" spans="1:35" ht="21.75" customHeight="1">
      <c r="A139" s="527"/>
      <c r="B139" s="1417" t="s">
        <v>1437</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1436</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 type="list" allowBlank="1" showInputMessage="1" showErrorMessage="1" sqref="B25" xr:uid="{00000000-0002-0000-13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1438</v>
      </c>
      <c r="B1" s="3122"/>
      <c r="C1" s="3833"/>
      <c r="D1" s="112"/>
      <c r="E1" s="112"/>
      <c r="F1" s="112"/>
      <c r="G1" s="820">
        <f>MATCH(B1,'数据-取费表'!A6:A16,0)+5</f>
        <v>7</v>
      </c>
    </row>
    <row r="2" spans="1:9" s="114" customFormat="1" ht="15.75">
      <c r="A2" s="115" t="s">
        <v>1439</v>
      </c>
      <c r="B2" s="2682">
        <f ca="1">IF(C1="含税",E2+C33,E2+C32)</f>
        <v>75</v>
      </c>
      <c r="C2" s="113" t="s">
        <v>1440</v>
      </c>
      <c r="D2" s="1420" t="s">
        <v>41</v>
      </c>
      <c r="E2" s="3962">
        <f ca="1">IF(D2="——",0,SUMIF(INDIRECT("'"&amp;G2&amp;"'"&amp;"!A:A"),"承租人权益价值",INDIRECT("'"&amp;G2&amp;"'"&amp;"!c:c")))</f>
        <v>0</v>
      </c>
      <c r="F2" s="1421" t="s">
        <v>1440</v>
      </c>
      <c r="G2" s="1422"/>
    </row>
    <row r="3" spans="1:9" s="114" customFormat="1" ht="16.5" thickBot="1">
      <c r="A3" s="117" t="s">
        <v>1441</v>
      </c>
      <c r="B3" s="2683">
        <f ca="1">ROUND(B2*10000/(IF(B1="",'数据-汇总表'!E3,INDIRECT("'数据-取费表'!k"&amp;$G$1))),0)</f>
        <v>5156</v>
      </c>
      <c r="C3" s="113" t="s">
        <v>1442</v>
      </c>
      <c r="D3" s="113"/>
      <c r="E3" s="2669"/>
      <c r="F3" s="113"/>
      <c r="G3" s="113"/>
    </row>
    <row r="4" spans="1:9" s="114" customFormat="1" ht="16.5" thickBot="1">
      <c r="A4" s="2730" t="s">
        <v>3350</v>
      </c>
      <c r="B4" s="2731" t="s">
        <v>3351</v>
      </c>
      <c r="C4" s="2666" t="s">
        <v>3352</v>
      </c>
      <c r="D4" s="2704" t="s">
        <v>3358</v>
      </c>
      <c r="E4" s="2705" t="s">
        <v>3359</v>
      </c>
      <c r="F4" s="2705" t="s">
        <v>3360</v>
      </c>
      <c r="G4" s="2667" t="s">
        <v>3353</v>
      </c>
    </row>
    <row r="5" spans="1:9" s="122" customFormat="1" ht="15.75">
      <c r="A5" s="2706" t="s">
        <v>3349</v>
      </c>
      <c r="B5" s="2707" t="s">
        <v>3354</v>
      </c>
      <c r="C5" s="2679">
        <f ca="1">ROUND((C6+C9+C21+C24+C25+C28)/(1-F22-C26-C29),0)</f>
        <v>90</v>
      </c>
      <c r="D5" s="2708"/>
      <c r="E5" s="2708"/>
      <c r="F5" s="2708"/>
      <c r="G5" s="2957" t="s">
        <v>3517</v>
      </c>
    </row>
    <row r="6" spans="1:9" s="2693" customFormat="1" ht="15">
      <c r="A6" s="2671" t="s">
        <v>3361</v>
      </c>
      <c r="B6" s="2734" t="s">
        <v>3362</v>
      </c>
      <c r="C6" s="2709">
        <f>C7+C8</f>
        <v>0</v>
      </c>
      <c r="D6" s="2670"/>
      <c r="E6" s="2670"/>
      <c r="F6" s="2670"/>
      <c r="G6" s="2710"/>
    </row>
    <row r="7" spans="1:9" s="128" customFormat="1">
      <c r="A7" s="2711" t="s">
        <v>1449</v>
      </c>
      <c r="B7" s="2735" t="s">
        <v>1450</v>
      </c>
      <c r="C7" s="3396"/>
      <c r="D7" s="2712"/>
      <c r="E7" s="2713"/>
      <c r="F7" s="2713"/>
      <c r="G7" s="175"/>
    </row>
    <row r="8" spans="1:9" s="128" customFormat="1">
      <c r="A8" s="2711" t="s">
        <v>1451</v>
      </c>
      <c r="B8" s="2735" t="s">
        <v>1452</v>
      </c>
      <c r="C8" s="2681">
        <f>ROUND(C7*F8,0)</f>
        <v>0</v>
      </c>
      <c r="D8" s="163"/>
      <c r="E8" s="2713"/>
      <c r="F8" s="2714">
        <f>IF(项目基本情况!B8="出让",0,'数据-取费表'!B49+'数据-取费表'!B50)</f>
        <v>3.0499999999999999E-2</v>
      </c>
      <c r="G8" s="175"/>
    </row>
    <row r="9" spans="1:9" s="2693" customFormat="1" ht="15">
      <c r="A9" s="2715" t="s">
        <v>336</v>
      </c>
      <c r="B9" s="2736" t="s">
        <v>3307</v>
      </c>
      <c r="C9" s="2694">
        <f ca="1">C10+C11+C12+C13+C19+C20</f>
        <v>73.909400000000005</v>
      </c>
      <c r="D9" s="2716"/>
      <c r="E9" s="2717"/>
      <c r="F9" s="2718"/>
      <c r="G9" s="2719"/>
      <c r="I9" s="128"/>
    </row>
    <row r="10" spans="1:9" s="128" customFormat="1">
      <c r="A10" s="2737" t="s">
        <v>344</v>
      </c>
      <c r="B10" s="2738" t="s">
        <v>3343</v>
      </c>
      <c r="C10" s="2681">
        <f ca="1">IF(B1="",IF(F10=100%,'数据-取费表'!M16,'数据-取费表'!O16),IF(F10=100%,INDIRECT("'数据-取费表'!m"&amp;$G$1)+INDIRECT("'数据-取费表'!t"&amp;$G$1),INDIRECT("'数据-取费表'!o"&amp;$G$1)+INDIRECT("'数据-取费表'!aq"&amp;$G$1)))</f>
        <v>60</v>
      </c>
      <c r="D10" s="2712"/>
      <c r="E10" s="163"/>
      <c r="F10" s="2720">
        <f ca="1">IF('数据-取费表'!B24=0,1,IF(B1="",'数据-取费表'!N16,INDIRECT("'数据-取费表'!n"&amp;$G$1)))</f>
        <v>1</v>
      </c>
      <c r="G10" s="175" t="s">
        <v>1477</v>
      </c>
    </row>
    <row r="11" spans="1:9" s="128" customFormat="1">
      <c r="A11" s="2737" t="s">
        <v>349</v>
      </c>
      <c r="B11" s="2738" t="s">
        <v>3344</v>
      </c>
      <c r="C11" s="2681">
        <f ca="1">ROUND(C10*F11,0)</f>
        <v>3</v>
      </c>
      <c r="D11" s="163"/>
      <c r="E11" s="163"/>
      <c r="F11" s="2692">
        <f>'数据-取费表'!B33</f>
        <v>0.05</v>
      </c>
      <c r="G11" s="3960" t="s">
        <v>3733</v>
      </c>
    </row>
    <row r="12" spans="1:9" s="128" customFormat="1">
      <c r="A12" s="2737" t="s">
        <v>350</v>
      </c>
      <c r="B12" s="2738" t="s">
        <v>3345</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1481</v>
      </c>
    </row>
    <row r="13" spans="1:9" s="128" customFormat="1">
      <c r="A13" s="2737" t="s">
        <v>3308</v>
      </c>
      <c r="B13" s="2738" t="s">
        <v>3346</v>
      </c>
      <c r="C13" s="2681">
        <f ca="1">C14+C17+C18</f>
        <v>8.9093999999999998</v>
      </c>
      <c r="D13" s="163"/>
      <c r="E13" s="2713"/>
      <c r="F13" s="2714"/>
      <c r="G13" s="175"/>
    </row>
    <row r="14" spans="1:9" s="137" customFormat="1">
      <c r="A14" s="2664" t="s">
        <v>3309</v>
      </c>
      <c r="B14" s="2739" t="s">
        <v>3342</v>
      </c>
      <c r="C14" s="2681">
        <f ca="1">IF(G14="已包含在土地购买价格中","0",IF(B1="",'数据-取费表'!B29,IF(G15="全部缴纳",C15+C16,H15)))</f>
        <v>2.9094000000000002</v>
      </c>
      <c r="D14" s="2721"/>
      <c r="E14" s="163"/>
      <c r="F14" s="2714"/>
      <c r="G14" s="1423"/>
    </row>
    <row r="15" spans="1:9" s="128" customFormat="1">
      <c r="A15" s="2740" t="s">
        <v>353</v>
      </c>
      <c r="B15" s="2741" t="s">
        <v>1455</v>
      </c>
      <c r="C15" s="2722">
        <f ca="1">ROUND(D15*E15/10000,0)</f>
        <v>0</v>
      </c>
      <c r="D15" s="2722">
        <f ca="1">IF(B1="",'数据-汇总表'!E5,IF(INDIRECT("'数据-取费表'!c"&amp;$G$1)="住宅",INDIRECT("'数据-取费表'!k"&amp;$G$1),0))</f>
        <v>0</v>
      </c>
      <c r="E15" s="2722">
        <f>'数据-取费表'!B27</f>
        <v>160</v>
      </c>
      <c r="F15" s="2714"/>
      <c r="G15" s="1424"/>
      <c r="H15" s="826"/>
      <c r="I15" s="1425" t="s">
        <v>1456</v>
      </c>
    </row>
    <row r="16" spans="1:9" s="128" customFormat="1">
      <c r="A16" s="2740" t="s">
        <v>354</v>
      </c>
      <c r="B16" s="2741" t="s">
        <v>1457</v>
      </c>
      <c r="C16" s="2722">
        <f ca="1">ROUND(D16*E16/10000,0)</f>
        <v>3</v>
      </c>
      <c r="D16" s="2722">
        <f ca="1">IF(B1="",'数据-汇总表'!E6,IF(INDIRECT("'数据-取费表'!c"&amp;$G$1)="住宅",INDIRECT("'数据-取费表'!s"&amp;$G$1),INDIRECT("'数据-取费表'!k"&amp;$G$1)+INDIRECT("'数据-取费表'!s"&amp;$G$1)))</f>
        <v>145.47</v>
      </c>
      <c r="E16" s="2722">
        <f>'数据-取费表'!B28</f>
        <v>200</v>
      </c>
      <c r="F16" s="2714"/>
      <c r="G16" s="140"/>
    </row>
    <row r="17" spans="1:7" s="128" customFormat="1">
      <c r="A17" s="2664" t="s">
        <v>3310</v>
      </c>
      <c r="B17" s="2742" t="s">
        <v>3315</v>
      </c>
      <c r="C17" s="2681">
        <f ca="1">IF(G17="已包含在土地取得成本中","0",ROUND(D17*E17/10000,0))</f>
        <v>3</v>
      </c>
      <c r="D17" s="2723">
        <f ca="1">D15+D16</f>
        <v>145.47</v>
      </c>
      <c r="E17" s="2723">
        <f>'数据-取费表'!B31</f>
        <v>200</v>
      </c>
      <c r="F17" s="2689"/>
      <c r="G17" s="1423"/>
    </row>
    <row r="18" spans="1:7" s="128" customFormat="1">
      <c r="A18" s="2743" t="s">
        <v>3311</v>
      </c>
      <c r="B18" s="2742" t="s">
        <v>1482</v>
      </c>
      <c r="C18" s="2681">
        <f ca="1">ROUND(E18*D18*F10/10000,0)</f>
        <v>3</v>
      </c>
      <c r="D18" s="2681">
        <f ca="1">D17</f>
        <v>145.47</v>
      </c>
      <c r="E18" s="2681">
        <f>'数据-取费表'!B35</f>
        <v>200</v>
      </c>
      <c r="F18" s="2692"/>
      <c r="G18" s="175" t="s">
        <v>1483</v>
      </c>
    </row>
    <row r="19" spans="1:7" s="128" customFormat="1">
      <c r="A19" s="2737" t="s">
        <v>352</v>
      </c>
      <c r="B19" s="2738" t="s">
        <v>3347</v>
      </c>
      <c r="C19" s="2681">
        <f ca="1">ROUND(C10*F19,0)</f>
        <v>1</v>
      </c>
      <c r="D19" s="163"/>
      <c r="E19" s="163"/>
      <c r="F19" s="2692">
        <f>'数据-取费表'!B36</f>
        <v>0.01</v>
      </c>
      <c r="G19" s="175" t="s">
        <v>1479</v>
      </c>
    </row>
    <row r="20" spans="1:7" s="128" customFormat="1">
      <c r="A20" s="2737" t="s">
        <v>3312</v>
      </c>
      <c r="B20" s="2738" t="s">
        <v>3348</v>
      </c>
      <c r="C20" s="2681">
        <f ca="1">ROUND(C10*F20,0)</f>
        <v>1</v>
      </c>
      <c r="D20" s="2724"/>
      <c r="E20" s="159"/>
      <c r="F20" s="2692">
        <f>'数据-取费表'!B37</f>
        <v>0.01</v>
      </c>
      <c r="G20" s="175" t="s">
        <v>1479</v>
      </c>
    </row>
    <row r="21" spans="1:7" s="2693" customFormat="1" ht="15">
      <c r="A21" s="2671" t="s">
        <v>3363</v>
      </c>
      <c r="B21" s="2734" t="s">
        <v>3364</v>
      </c>
      <c r="C21" s="2694">
        <f ca="1">ROUND((C6+C9)*F21,0)</f>
        <v>1</v>
      </c>
      <c r="D21" s="2695"/>
      <c r="E21" s="2695"/>
      <c r="F21" s="2699">
        <f>'数据-取费表'!B38</f>
        <v>0.02</v>
      </c>
      <c r="G21" s="2696" t="s">
        <v>3365</v>
      </c>
    </row>
    <row r="22" spans="1:7" s="2693" customFormat="1" ht="15">
      <c r="A22" s="2671" t="s">
        <v>3366</v>
      </c>
      <c r="B22" s="2734" t="s">
        <v>3367</v>
      </c>
      <c r="C22" s="2697" t="str">
        <f>F22&amp;"V"</f>
        <v>0.02V</v>
      </c>
      <c r="D22" s="315"/>
      <c r="E22" s="2695"/>
      <c r="F22" s="2699">
        <f>'数据-取费表'!B39</f>
        <v>0.02</v>
      </c>
      <c r="G22" s="2696" t="s">
        <v>3368</v>
      </c>
    </row>
    <row r="23" spans="1:7" s="2693" customFormat="1" ht="15">
      <c r="A23" s="2671" t="s">
        <v>3369</v>
      </c>
      <c r="B23" s="2736" t="s">
        <v>3316</v>
      </c>
      <c r="C23" s="2672" t="str">
        <f ca="1">SUM(C24:C25)&amp;"+"&amp;C26&amp;"V"</f>
        <v>2+0.0006V</v>
      </c>
      <c r="D23" s="2698"/>
      <c r="E23" s="315"/>
      <c r="F23" s="2699">
        <f ca="1">'数据-取费表'!B41</f>
        <v>3.1300000000000001E-2</v>
      </c>
      <c r="G23" s="2696" t="str">
        <f>IF('数据-取费表'!B22&lt;=1,"单利计息","复利计息")</f>
        <v>复利计息</v>
      </c>
    </row>
    <row r="24" spans="1:7" s="128" customFormat="1">
      <c r="A24" s="2744" t="s">
        <v>1459</v>
      </c>
      <c r="B24" s="2742" t="s">
        <v>1460</v>
      </c>
      <c r="C24" s="2687">
        <f ca="1">ROUND(IF('数据-取费表'!B22&lt;=1,C6*F23*'数据-取费表'!B23,C6*(POWER((1+F23),'数据-取费表'!B23)-1)),0)</f>
        <v>0</v>
      </c>
      <c r="D24" s="152"/>
      <c r="E24" s="152"/>
      <c r="F24" s="2688"/>
      <c r="G24" s="154" t="s">
        <v>1461</v>
      </c>
    </row>
    <row r="25" spans="1:7" s="128" customFormat="1">
      <c r="A25" s="2744" t="s">
        <v>1462</v>
      </c>
      <c r="B25" s="2742" t="s">
        <v>3317</v>
      </c>
      <c r="C25" s="2687">
        <f ca="1">ROUND(IF('数据-取费表'!B22&lt;=1,(C9+C21)*F23*'数据-取费表'!B23/2,(C9+C21)*(POWER((1+F23),'数据-取费表'!B23/2)-1)),0)</f>
        <v>2</v>
      </c>
      <c r="D25" s="152"/>
      <c r="E25" s="152"/>
      <c r="F25" s="2688"/>
      <c r="G25" s="154" t="s">
        <v>1463</v>
      </c>
    </row>
    <row r="26" spans="1:7" s="128" customFormat="1">
      <c r="A26" s="2744" t="s">
        <v>348</v>
      </c>
      <c r="B26" s="2742" t="s">
        <v>1464</v>
      </c>
      <c r="C26" s="2684">
        <f ca="1">ROUND(IF('数据-取费表'!B22&lt;=1,F22*F23*'数据-取费表'!B23/2,F22*(POWER((1+F23),'数据-取费表'!B23/2)-1)),4)</f>
        <v>5.9999999999999995E-4</v>
      </c>
      <c r="D26" s="152"/>
      <c r="E26" s="155"/>
      <c r="F26" s="2688"/>
      <c r="G26" s="157"/>
    </row>
    <row r="27" spans="1:7" s="2693" customFormat="1" ht="15">
      <c r="A27" s="2671" t="s">
        <v>3370</v>
      </c>
      <c r="B27" s="2736" t="s">
        <v>3318</v>
      </c>
      <c r="C27" s="2700" t="str">
        <f ca="1">C28&amp;"+"&amp;C29&amp;"V"</f>
        <v>11+0.003V</v>
      </c>
      <c r="D27" s="2698"/>
      <c r="E27" s="315"/>
      <c r="F27" s="2701">
        <f ca="1">IF(B1="",'数据-取费表'!Q16,INDIRECT("'数据-取费表'!q"&amp;$G$1))</f>
        <v>0.15</v>
      </c>
      <c r="G27" s="2696" t="s">
        <v>3371</v>
      </c>
    </row>
    <row r="28" spans="1:7" s="128" customFormat="1">
      <c r="A28" s="2737" t="s">
        <v>344</v>
      </c>
      <c r="B28" s="2742" t="s">
        <v>1469</v>
      </c>
      <c r="C28" s="3436">
        <f ca="1">ROUND(C6*F27*'数据-取费表'!B23/'数据-取费表'!B22+(C9+C21)*F27,0)</f>
        <v>11</v>
      </c>
      <c r="D28" s="149"/>
      <c r="E28" s="150"/>
      <c r="F28" s="2689"/>
      <c r="G28" s="3437" t="s">
        <v>3528</v>
      </c>
    </row>
    <row r="29" spans="1:7" s="128" customFormat="1">
      <c r="A29" s="2737" t="s">
        <v>345</v>
      </c>
      <c r="B29" s="2742" t="s">
        <v>1470</v>
      </c>
      <c r="C29" s="2684">
        <f ca="1">ROUND(F22*F27,4)</f>
        <v>3.0000000000000001E-3</v>
      </c>
      <c r="D29" s="149"/>
      <c r="E29" s="150"/>
      <c r="F29" s="2689"/>
      <c r="G29" s="161"/>
    </row>
    <row r="30" spans="1:7" s="2693" customFormat="1" ht="15">
      <c r="A30" s="2671" t="s">
        <v>3372</v>
      </c>
      <c r="B30" s="2734" t="s">
        <v>3373</v>
      </c>
      <c r="C30" s="2702">
        <v>0</v>
      </c>
      <c r="D30" s="315"/>
      <c r="E30" s="2673"/>
      <c r="F30" s="2699"/>
      <c r="G30" s="2703" t="s">
        <v>3319</v>
      </c>
    </row>
    <row r="31" spans="1:7" s="128" customFormat="1" ht="15.75">
      <c r="A31" s="2745">
        <v>2</v>
      </c>
      <c r="B31" s="2746" t="s">
        <v>3320</v>
      </c>
      <c r="C31" s="2685">
        <f ca="1">C57</f>
        <v>15</v>
      </c>
      <c r="D31" s="2675"/>
      <c r="E31" s="2675"/>
      <c r="F31" s="2690">
        <f>IF('数据-取费表'!B24=0,'数据-取费表'!N16,1)</f>
        <v>0.82</v>
      </c>
      <c r="G31" s="2676" t="s">
        <v>3356</v>
      </c>
    </row>
    <row r="32" spans="1:7" s="128" customFormat="1" ht="15.75">
      <c r="A32" s="2663" t="s">
        <v>3321</v>
      </c>
      <c r="B32" s="2662" t="s">
        <v>3322</v>
      </c>
      <c r="C32" s="2685">
        <f ca="1">C5-C31</f>
        <v>75</v>
      </c>
      <c r="D32" s="2675"/>
      <c r="E32" s="2675"/>
      <c r="F32" s="2674"/>
      <c r="G32" s="2677" t="s">
        <v>3355</v>
      </c>
    </row>
    <row r="33" spans="1:7" s="128" customFormat="1" ht="16.5" thickBot="1">
      <c r="A33" s="2747">
        <v>4</v>
      </c>
      <c r="B33" s="2748" t="s">
        <v>3357</v>
      </c>
      <c r="C33" s="2686">
        <f ca="1">ROUND(C32*(1+F33),0)</f>
        <v>77</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3323</v>
      </c>
      <c r="B38" s="3055"/>
      <c r="C38" s="3055"/>
      <c r="D38" s="3055"/>
      <c r="E38" s="3055"/>
      <c r="F38" s="3055"/>
      <c r="G38" s="3056"/>
    </row>
    <row r="39" spans="1:7" ht="15.75" thickBot="1">
      <c r="A39" s="3057" t="s">
        <v>3350</v>
      </c>
      <c r="B39" s="3058" t="s">
        <v>3351</v>
      </c>
      <c r="C39" s="3059" t="s">
        <v>3352</v>
      </c>
      <c r="D39" s="3060" t="s">
        <v>3497</v>
      </c>
      <c r="E39" s="3061" t="s">
        <v>3498</v>
      </c>
      <c r="F39" s="3061" t="s">
        <v>3499</v>
      </c>
      <c r="G39" s="3062" t="s">
        <v>3353</v>
      </c>
    </row>
    <row r="40" spans="1:7" ht="15">
      <c r="A40" s="3063" t="s">
        <v>3500</v>
      </c>
      <c r="B40" s="3064" t="s">
        <v>3324</v>
      </c>
      <c r="C40" s="3065">
        <f ca="1">SUM(C41:C46)</f>
        <v>68</v>
      </c>
      <c r="D40" s="3063"/>
      <c r="E40" s="3063"/>
      <c r="F40" s="3063"/>
      <c r="G40" s="3063"/>
    </row>
    <row r="41" spans="1:7" ht="15.75">
      <c r="A41" s="2729" t="s">
        <v>3325</v>
      </c>
      <c r="B41" s="2880" t="str">
        <f t="shared" ref="B41:C43" si="0">B10</f>
        <v xml:space="preserve">  建安费用</v>
      </c>
      <c r="C41" s="2660">
        <f t="shared" ca="1" si="0"/>
        <v>60</v>
      </c>
      <c r="D41" s="2655"/>
      <c r="E41" s="2655"/>
      <c r="F41" s="2656"/>
      <c r="G41" s="2656"/>
    </row>
    <row r="42" spans="1:7" ht="15.75">
      <c r="A42" s="2729" t="s">
        <v>3326</v>
      </c>
      <c r="B42" s="2880" t="str">
        <f t="shared" si="0"/>
        <v xml:space="preserve">  前期费用</v>
      </c>
      <c r="C42" s="2660">
        <f t="shared" ca="1" si="0"/>
        <v>3</v>
      </c>
      <c r="D42" s="2655"/>
      <c r="E42" s="2655"/>
      <c r="F42" s="2656"/>
      <c r="G42" s="2656"/>
    </row>
    <row r="43" spans="1:7" ht="15.75">
      <c r="A43" s="2729" t="s">
        <v>3399</v>
      </c>
      <c r="B43" s="2733" t="str">
        <f t="shared" si="0"/>
        <v xml:space="preserve">  公共配套设施费用</v>
      </c>
      <c r="C43" s="2660">
        <f t="shared" ca="1" si="0"/>
        <v>0</v>
      </c>
      <c r="D43" s="2655"/>
      <c r="E43" s="2655"/>
      <c r="F43" s="2656"/>
      <c r="G43" s="2656"/>
    </row>
    <row r="44" spans="1:7" ht="15.75">
      <c r="A44" s="2729" t="s">
        <v>3308</v>
      </c>
      <c r="B44" s="2733" t="str">
        <f>B18</f>
        <v>红线内市政费用</v>
      </c>
      <c r="C44" s="2660">
        <f ca="1">C18</f>
        <v>3</v>
      </c>
      <c r="D44" s="2655"/>
      <c r="E44" s="2655"/>
      <c r="F44" s="2656"/>
      <c r="G44" s="2656"/>
    </row>
    <row r="45" spans="1:7" ht="15.75">
      <c r="A45" s="2744" t="s">
        <v>3327</v>
      </c>
      <c r="B45" s="2739" t="str">
        <f>B19</f>
        <v xml:space="preserve">  其他工程费</v>
      </c>
      <c r="C45" s="2665">
        <f ca="1">C19</f>
        <v>1</v>
      </c>
      <c r="D45" s="2879"/>
      <c r="E45" s="2879"/>
      <c r="F45" s="2668"/>
      <c r="G45" s="2668"/>
    </row>
    <row r="46" spans="1:7" ht="15.75">
      <c r="A46" s="2744" t="s">
        <v>3398</v>
      </c>
      <c r="B46" s="2739" t="s">
        <v>3328</v>
      </c>
      <c r="C46" s="2665">
        <f ca="1">C20</f>
        <v>1</v>
      </c>
      <c r="D46" s="2879"/>
      <c r="E46" s="2879"/>
      <c r="F46" s="2668"/>
      <c r="G46" s="2668"/>
    </row>
    <row r="47" spans="1:7" ht="15">
      <c r="A47" s="2881" t="s">
        <v>3501</v>
      </c>
      <c r="B47" s="2882" t="s">
        <v>3502</v>
      </c>
      <c r="C47" s="2883">
        <f ca="1">ROUND(C40*F47,0)</f>
        <v>1</v>
      </c>
      <c r="D47" s="2884"/>
      <c r="E47" s="2884"/>
      <c r="F47" s="2885">
        <f>F21</f>
        <v>0.02</v>
      </c>
      <c r="G47" s="2886" t="s">
        <v>3503</v>
      </c>
    </row>
    <row r="48" spans="1:7" ht="15">
      <c r="A48" s="2881" t="s">
        <v>3504</v>
      </c>
      <c r="B48" s="2882" t="s">
        <v>3505</v>
      </c>
      <c r="C48" s="2887" t="str">
        <f>F48&amp;"V建1"</f>
        <v>0.02V建1</v>
      </c>
      <c r="D48" s="2884"/>
      <c r="E48" s="2884"/>
      <c r="F48" s="2885">
        <f>F22</f>
        <v>0.02</v>
      </c>
      <c r="G48" s="2886" t="s">
        <v>3506</v>
      </c>
    </row>
    <row r="49" spans="1:7" ht="15">
      <c r="A49" s="2881" t="s">
        <v>3507</v>
      </c>
      <c r="B49" s="2888" t="s">
        <v>3397</v>
      </c>
      <c r="C49" s="2694" t="str">
        <f ca="1">C50&amp;"+"&amp;C51&amp;"V建1"</f>
        <v>2+0.0006V建1</v>
      </c>
      <c r="D49" s="315"/>
      <c r="E49" s="315"/>
      <c r="F49" s="2889">
        <f ca="1">F23</f>
        <v>3.1300000000000001E-2</v>
      </c>
      <c r="G49" s="3066" t="str">
        <f>IF('数据-取费表'!B22&lt;=1,"单利计息","复利计息")</f>
        <v>复利计息</v>
      </c>
    </row>
    <row r="50" spans="1:7">
      <c r="A50" s="2729" t="s">
        <v>3325</v>
      </c>
      <c r="B50" s="2732" t="s">
        <v>3401</v>
      </c>
      <c r="C50" s="2905">
        <f ca="1">ROUND(IF('数据-取费表'!B22&lt;=1,(C40+C47)*F49*'数据-取费表'!B22/2,(C40+C47)*(POWER((1+F49),'数据-取费表'!B22/2)-1)),0)</f>
        <v>2</v>
      </c>
      <c r="D50" s="1087"/>
      <c r="E50" s="1087"/>
      <c r="F50" s="1070"/>
      <c r="G50" s="4365" t="s">
        <v>3341</v>
      </c>
    </row>
    <row r="51" spans="1:7">
      <c r="A51" s="2729" t="s">
        <v>3326</v>
      </c>
      <c r="B51" s="2733" t="s">
        <v>3331</v>
      </c>
      <c r="C51" s="2906">
        <f ca="1">ROUND(IF('数据-取费表'!B22&lt;=1,F48*F23*'数据-取费表'!B22/2,F48*(POWER((1+F23),'数据-取费表'!B22/2)-1)),4)</f>
        <v>5.9999999999999995E-4</v>
      </c>
      <c r="D51" s="1087"/>
      <c r="E51" s="1087"/>
      <c r="F51" s="1070"/>
      <c r="G51" s="4366"/>
    </row>
    <row r="52" spans="1:7" ht="15">
      <c r="A52" s="2881" t="s">
        <v>3508</v>
      </c>
      <c r="B52" s="2890" t="s">
        <v>3332</v>
      </c>
      <c r="C52" s="2891" t="str">
        <f ca="1">C53&amp;"+"&amp;C54&amp;"V建1"</f>
        <v>10+0.003V建1</v>
      </c>
      <c r="D52" s="2892"/>
      <c r="E52" s="2884"/>
      <c r="F52" s="2893">
        <f ca="1">F27</f>
        <v>0.15</v>
      </c>
      <c r="G52" s="2894" t="s">
        <v>3509</v>
      </c>
    </row>
    <row r="53" spans="1:7">
      <c r="A53" s="2729" t="s">
        <v>3329</v>
      </c>
      <c r="B53" s="2732" t="s">
        <v>3333</v>
      </c>
      <c r="C53" s="2660">
        <f ca="1">ROUND((C40+C47)*F27,0)</f>
        <v>10</v>
      </c>
      <c r="D53" s="2661"/>
      <c r="E53" s="2657"/>
      <c r="F53" s="2658"/>
      <c r="G53" s="2659"/>
    </row>
    <row r="54" spans="1:7">
      <c r="A54" s="2729" t="s">
        <v>3330</v>
      </c>
      <c r="B54" s="2732" t="s">
        <v>3334</v>
      </c>
      <c r="C54" s="2728">
        <f ca="1">ROUND(F48*F27,4)</f>
        <v>3.0000000000000001E-3</v>
      </c>
      <c r="D54" s="2661"/>
      <c r="E54" s="2657"/>
      <c r="F54" s="2658"/>
      <c r="G54" s="2659"/>
    </row>
    <row r="55" spans="1:7" ht="15">
      <c r="A55" s="2671" t="s">
        <v>3510</v>
      </c>
      <c r="B55" s="2895" t="s">
        <v>3511</v>
      </c>
      <c r="C55" s="2896">
        <v>0</v>
      </c>
      <c r="D55" s="2698"/>
      <c r="E55" s="315"/>
      <c r="F55" s="2889"/>
      <c r="G55" s="2897" t="s">
        <v>3337</v>
      </c>
    </row>
    <row r="56" spans="1:7" ht="16.5">
      <c r="A56" s="2671" t="s">
        <v>3516</v>
      </c>
      <c r="B56" s="2895" t="s">
        <v>3512</v>
      </c>
      <c r="C56" s="2694">
        <f ca="1">ROUND((C40+C47+C50+C53)/(1-F48-C51-C54),0)</f>
        <v>83</v>
      </c>
      <c r="D56" s="315"/>
      <c r="E56" s="315"/>
      <c r="F56" s="2898"/>
      <c r="G56" s="2897" t="s">
        <v>3338</v>
      </c>
    </row>
    <row r="57" spans="1:7" ht="15">
      <c r="A57" s="2671" t="s">
        <v>3472</v>
      </c>
      <c r="B57" s="2899" t="s">
        <v>3335</v>
      </c>
      <c r="C57" s="2694">
        <f ca="1">ROUND(C56*(1-F57),0)</f>
        <v>15</v>
      </c>
      <c r="D57" s="315"/>
      <c r="E57" s="315"/>
      <c r="F57" s="2898">
        <f>F31</f>
        <v>0.82</v>
      </c>
      <c r="G57" s="2897" t="s">
        <v>3339</v>
      </c>
    </row>
    <row r="58" spans="1:7" ht="16.5">
      <c r="A58" s="2671" t="s">
        <v>3513</v>
      </c>
      <c r="B58" s="2895" t="s">
        <v>3514</v>
      </c>
      <c r="C58" s="2694">
        <f ca="1">C56-C57</f>
        <v>68</v>
      </c>
      <c r="D58" s="315"/>
      <c r="E58" s="315"/>
      <c r="F58" s="2898"/>
      <c r="G58" s="2897" t="s">
        <v>3340</v>
      </c>
    </row>
    <row r="59" spans="1:7" ht="15">
      <c r="A59" s="2900" t="s">
        <v>3400</v>
      </c>
      <c r="B59" s="2901" t="s">
        <v>3336</v>
      </c>
      <c r="C59" s="2902">
        <f ca="1">ROUND(C58*(1+F59),0)</f>
        <v>70</v>
      </c>
      <c r="D59" s="2903"/>
      <c r="E59" s="2903"/>
      <c r="F59" s="2904">
        <f>F33</f>
        <v>0.03</v>
      </c>
      <c r="G59" s="2903" t="s">
        <v>3515</v>
      </c>
    </row>
    <row r="60" spans="1:7" ht="14.25">
      <c r="A60" s="2653"/>
      <c r="B60" s="2654"/>
    </row>
    <row r="62" spans="1:7" ht="21" customHeight="1">
      <c r="B62" s="2725" t="s">
        <v>1509</v>
      </c>
      <c r="C62" s="185"/>
    </row>
    <row r="63" spans="1:7" ht="21" customHeight="1">
      <c r="B63" s="72" t="s">
        <v>782</v>
      </c>
      <c r="C63" s="2726">
        <f ca="1">1-C64</f>
        <v>9.2999999999999972E-2</v>
      </c>
    </row>
    <row r="64" spans="1:7" ht="21" customHeight="1">
      <c r="B64" s="72" t="s">
        <v>783</v>
      </c>
      <c r="C64" s="2727">
        <f ca="1">ROUND(C58/C32,3)</f>
        <v>0.90700000000000003</v>
      </c>
      <c r="D64" s="183" t="s">
        <v>3402</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1438</v>
      </c>
      <c r="B1" s="1093"/>
      <c r="C1" s="1426" t="s">
        <v>1510</v>
      </c>
      <c r="D1" s="112"/>
      <c r="E1" s="112"/>
      <c r="F1" s="112"/>
      <c r="G1" s="820">
        <f>MATCH(B1,'数据-取费表'!A6:A16,0)+5</f>
        <v>7</v>
      </c>
      <c r="H1" s="762" t="str">
        <f>IF(ISERROR(FIND("住宅",B1)),"非住宅","住宅")</f>
        <v>非住宅</v>
      </c>
    </row>
    <row r="2" spans="1:8" s="114" customFormat="1" ht="18" customHeight="1">
      <c r="A2" s="115" t="s">
        <v>1439</v>
      </c>
      <c r="B2" s="2621">
        <f ca="1">ROUND(IF(D2="——",C52/10000,C52/10000-E2),4)</f>
        <v>2690.5063</v>
      </c>
      <c r="C2" s="113" t="s">
        <v>1440</v>
      </c>
      <c r="D2" s="1420" t="s">
        <v>41</v>
      </c>
      <c r="E2" s="836" t="e">
        <f ca="1">SUMIF(INDIRECT("'"&amp;G2&amp;"'"&amp;"!A:A"),"承租人权益价值",INDIRECT("'"&amp;G2&amp;"'"&amp;"!c:c"))</f>
        <v>#REF!</v>
      </c>
      <c r="F2" s="1421" t="s">
        <v>1440</v>
      </c>
      <c r="G2" s="1422"/>
    </row>
    <row r="3" spans="1:8" s="114" customFormat="1" ht="18" customHeight="1" thickBot="1">
      <c r="A3" s="117" t="s">
        <v>1441</v>
      </c>
      <c r="B3" s="118">
        <f ca="1">ROUND(B2*10000/(IF(B1="",'数据-汇总表'!E3,INDIRECT("'数据-取费表'!k"&amp;$G$1))),0)</f>
        <v>184953</v>
      </c>
      <c r="C3" s="113" t="s">
        <v>1442</v>
      </c>
      <c r="D3" s="113"/>
      <c r="E3" s="113"/>
      <c r="F3" s="113"/>
      <c r="G3" s="113"/>
    </row>
    <row r="4" spans="1:8" s="122" customFormat="1" ht="15.75">
      <c r="A4" s="119" t="s">
        <v>1443</v>
      </c>
      <c r="B4" s="120"/>
      <c r="C4" s="120"/>
      <c r="D4" s="120"/>
      <c r="E4" s="120"/>
      <c r="F4" s="120"/>
      <c r="G4" s="121"/>
    </row>
    <row r="5" spans="1:8" s="128" customFormat="1" ht="13.5" customHeight="1">
      <c r="A5" s="169" t="s">
        <v>1444</v>
      </c>
      <c r="B5" s="124" t="s">
        <v>1445</v>
      </c>
      <c r="C5" s="125">
        <f ca="1">C6+C7+C8</f>
        <v>20659704</v>
      </c>
      <c r="D5" s="125" t="s">
        <v>1446</v>
      </c>
      <c r="E5" s="126" t="s">
        <v>1447</v>
      </c>
      <c r="F5" s="126" t="s">
        <v>1448</v>
      </c>
      <c r="G5" s="127"/>
    </row>
    <row r="6" spans="1:8" s="128" customFormat="1" ht="13.5" customHeight="1">
      <c r="A6" s="563" t="s">
        <v>1449</v>
      </c>
      <c r="B6" s="129" t="s">
        <v>1450</v>
      </c>
      <c r="C6" s="130">
        <v>20020000</v>
      </c>
      <c r="D6" s="131"/>
      <c r="E6" s="132"/>
      <c r="F6" s="132"/>
      <c r="G6" s="133"/>
    </row>
    <row r="7" spans="1:8" s="128" customFormat="1" ht="13.5" customHeight="1">
      <c r="A7" s="563" t="s">
        <v>1451</v>
      </c>
      <c r="B7" s="129" t="s">
        <v>1452</v>
      </c>
      <c r="C7" s="134">
        <f>ROUND(C6*F7,0)</f>
        <v>610610</v>
      </c>
      <c r="D7" s="134"/>
      <c r="E7" s="132"/>
      <c r="F7" s="135">
        <f>IF(项目基本情况!B8="出让",0,'数据-取费表'!B49+'数据-取费表'!B50)</f>
        <v>3.0499999999999999E-2</v>
      </c>
      <c r="G7" s="133"/>
    </row>
    <row r="8" spans="1:8" s="137" customFormat="1">
      <c r="A8" s="563" t="s">
        <v>1453</v>
      </c>
      <c r="B8" s="129" t="s">
        <v>1454</v>
      </c>
      <c r="C8" s="134">
        <f ca="1">IF(G8="已包含在土地购买价格中",0,C9+C10)</f>
        <v>29094</v>
      </c>
      <c r="D8" s="136"/>
      <c r="E8" s="134"/>
      <c r="F8" s="135"/>
      <c r="G8" s="1423"/>
    </row>
    <row r="9" spans="1:8" s="128" customFormat="1" ht="13.5" customHeight="1">
      <c r="A9" s="564" t="s">
        <v>353</v>
      </c>
      <c r="B9" s="138" t="s">
        <v>1455</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1457</v>
      </c>
      <c r="C10" s="139">
        <f ca="1">ROUND(D10*E10,0)</f>
        <v>29094</v>
      </c>
      <c r="D10" s="590">
        <f ca="1">IF(B1="",'数据-汇总表'!E6,IF(INDIRECT("'数据-取费表'!c"&amp;$G$1)="住宅",INDIRECT("'数据-取费表'!s"&amp;$G$1),INDIRECT("'数据-取费表'!k"&amp;$G$1)+INDIRECT("'数据-取费表'!s"&amp;$G$1)))</f>
        <v>145.47</v>
      </c>
      <c r="E10" s="139">
        <f>'数据-取费表'!B28</f>
        <v>200</v>
      </c>
      <c r="F10" s="135"/>
      <c r="G10" s="140"/>
    </row>
    <row r="11" spans="1:8" s="128" customFormat="1" ht="13.5" customHeight="1">
      <c r="A11" s="141" t="s">
        <v>4</v>
      </c>
      <c r="B11" s="129" t="s">
        <v>1458</v>
      </c>
      <c r="C11" s="125"/>
      <c r="D11" s="132"/>
      <c r="E11" s="132"/>
      <c r="F11" s="132"/>
      <c r="G11" s="133"/>
    </row>
    <row r="12" spans="1:8" s="128" customFormat="1" ht="13.5" customHeight="1">
      <c r="A12" s="141" t="s">
        <v>5</v>
      </c>
      <c r="B12" s="129" t="s">
        <v>1511</v>
      </c>
      <c r="C12" s="125">
        <v>0</v>
      </c>
      <c r="D12" s="132"/>
      <c r="E12" s="142"/>
      <c r="F12" s="135">
        <v>3.0499999999999999E-2</v>
      </c>
      <c r="G12" s="133"/>
    </row>
    <row r="13" spans="1:8" s="128" customFormat="1" ht="13.5" customHeight="1">
      <c r="A13" s="141" t="s">
        <v>6</v>
      </c>
      <c r="B13" s="129" t="s">
        <v>1512</v>
      </c>
      <c r="C13" s="125"/>
      <c r="D13" s="132"/>
      <c r="E13" s="132"/>
      <c r="F13" s="132"/>
      <c r="G13" s="133"/>
    </row>
    <row r="14" spans="1:8" s="128" customFormat="1" ht="13.5" customHeight="1">
      <c r="A14" s="141" t="s">
        <v>7</v>
      </c>
      <c r="B14" s="129" t="s">
        <v>1454</v>
      </c>
      <c r="C14" s="125"/>
      <c r="D14" s="132"/>
      <c r="E14" s="132"/>
      <c r="F14" s="132"/>
      <c r="G14" s="133" t="s">
        <v>1513</v>
      </c>
    </row>
    <row r="15" spans="1:8" s="128" customFormat="1" ht="13.5" customHeight="1">
      <c r="A15" s="141" t="s">
        <v>8</v>
      </c>
      <c r="B15" s="129" t="s">
        <v>1514</v>
      </c>
      <c r="C15" s="134"/>
      <c r="D15" s="132"/>
      <c r="E15" s="132"/>
      <c r="F15" s="132"/>
      <c r="G15" s="133" t="s">
        <v>1515</v>
      </c>
    </row>
    <row r="16" spans="1:8" s="128" customFormat="1" ht="13.5" customHeight="1">
      <c r="A16" s="141" t="s">
        <v>9</v>
      </c>
      <c r="B16" s="129" t="s">
        <v>1454</v>
      </c>
      <c r="C16" s="134"/>
      <c r="D16" s="132"/>
      <c r="E16" s="132"/>
      <c r="F16" s="132"/>
      <c r="G16" s="133"/>
    </row>
    <row r="17" spans="1:7" s="128" customFormat="1" ht="13.5" customHeight="1">
      <c r="A17" s="141" t="s">
        <v>10</v>
      </c>
      <c r="B17" s="129" t="s">
        <v>1516</v>
      </c>
      <c r="C17" s="143"/>
      <c r="D17" s="143"/>
      <c r="E17" s="143"/>
      <c r="F17" s="143"/>
      <c r="G17" s="133" t="s">
        <v>1515</v>
      </c>
    </row>
    <row r="18" spans="1:7" s="128" customFormat="1" ht="13.5" customHeight="1">
      <c r="A18" s="141" t="s">
        <v>11</v>
      </c>
      <c r="B18" s="129" t="s">
        <v>1517</v>
      </c>
      <c r="C18" s="134">
        <v>0</v>
      </c>
      <c r="D18" s="132"/>
      <c r="E18" s="132"/>
      <c r="F18" s="135">
        <v>3.0499999999999999E-2</v>
      </c>
      <c r="G18" s="133" t="s">
        <v>1518</v>
      </c>
    </row>
    <row r="19" spans="1:7" s="137" customFormat="1" ht="13.5" customHeight="1">
      <c r="A19" s="169" t="s">
        <v>1519</v>
      </c>
      <c r="B19" s="124" t="s">
        <v>1520</v>
      </c>
      <c r="C19" s="125">
        <f ca="1">IF(G19="已包含在土地取得成本中","0",ROUND(D19*E19,0))</f>
        <v>29094</v>
      </c>
      <c r="D19" s="126">
        <f ca="1">D9+D10</f>
        <v>145.47</v>
      </c>
      <c r="E19" s="125">
        <f>'数据-取费表'!B31</f>
        <v>200</v>
      </c>
      <c r="F19" s="145"/>
      <c r="G19" s="1423"/>
    </row>
    <row r="20" spans="1:7" s="128" customFormat="1" ht="13.5" customHeight="1">
      <c r="A20" s="169" t="s">
        <v>1521</v>
      </c>
      <c r="B20" s="124" t="s">
        <v>1522</v>
      </c>
      <c r="C20" s="146">
        <f ca="1">ROUND((C5+C19)*F20,0)</f>
        <v>413776</v>
      </c>
      <c r="D20" s="146"/>
      <c r="E20" s="146"/>
      <c r="F20" s="147">
        <f>'数据-取费表'!B38</f>
        <v>0.02</v>
      </c>
      <c r="G20" s="148" t="s">
        <v>1523</v>
      </c>
    </row>
    <row r="21" spans="1:7" s="128" customFormat="1" ht="13.5" customHeight="1">
      <c r="A21" s="169" t="s">
        <v>1524</v>
      </c>
      <c r="B21" s="124" t="s">
        <v>1525</v>
      </c>
      <c r="C21" s="149">
        <f>F21</f>
        <v>0.02</v>
      </c>
      <c r="D21" s="150" t="s">
        <v>1526</v>
      </c>
      <c r="E21" s="146"/>
      <c r="F21" s="147">
        <f>'数据-取费表'!B39</f>
        <v>0.02</v>
      </c>
      <c r="G21" s="148" t="s">
        <v>1527</v>
      </c>
    </row>
    <row r="22" spans="1:7" s="128" customFormat="1" ht="13.5" customHeight="1">
      <c r="A22" s="169" t="s">
        <v>1528</v>
      </c>
      <c r="B22" s="124" t="s">
        <v>1529</v>
      </c>
      <c r="C22" s="146">
        <f ca="1">ROUND(SUM(C23:C25),0)</f>
        <v>1328339</v>
      </c>
      <c r="D22" s="149">
        <f ca="1">C26</f>
        <v>5.9999999999999995E-4</v>
      </c>
      <c r="E22" s="150" t="s">
        <v>1526</v>
      </c>
      <c r="F22" s="151">
        <f ca="1">'数据-取费表'!B41</f>
        <v>3.1300000000000001E-2</v>
      </c>
      <c r="G22" s="148" t="str">
        <f>IF('数据-取费表'!B22&lt;=1,"单利计息","复利计息")</f>
        <v>复利计息</v>
      </c>
    </row>
    <row r="23" spans="1:7" s="128" customFormat="1" ht="13.5" customHeight="1">
      <c r="A23" s="565" t="s">
        <v>1449</v>
      </c>
      <c r="B23" s="129" t="s">
        <v>1530</v>
      </c>
      <c r="C23" s="152">
        <f ca="1">ROUND(IF('数据-取费表'!B22&lt;=1,C5*F22*'数据-取费表'!B22,C5*(POWER((1+F22),'数据-取费表'!B22)-1)),0)</f>
        <v>1313538</v>
      </c>
      <c r="D23" s="152"/>
      <c r="E23" s="152"/>
      <c r="F23" s="153"/>
      <c r="G23" s="154" t="s">
        <v>1531</v>
      </c>
    </row>
    <row r="24" spans="1:7" s="128" customFormat="1" ht="13.5" customHeight="1">
      <c r="A24" s="565" t="s">
        <v>1451</v>
      </c>
      <c r="B24" s="129" t="s">
        <v>1532</v>
      </c>
      <c r="C24" s="152">
        <f ca="1">ROUND(IF('数据-取费表'!B22&lt;=1,C19*F22*('数据-取费表'!B19/2+'数据-取费表'!B20),C19*(POWER((1+F22),('数据-取费表'!B19/2+'数据-取费表'!B20))-1)),0)</f>
        <v>1850</v>
      </c>
      <c r="D24" s="152"/>
      <c r="E24" s="152"/>
      <c r="F24" s="153"/>
      <c r="G24" s="154" t="s">
        <v>1533</v>
      </c>
    </row>
    <row r="25" spans="1:7" s="128" customFormat="1" ht="24">
      <c r="A25" s="565" t="s">
        <v>1453</v>
      </c>
      <c r="B25" s="129" t="s">
        <v>1534</v>
      </c>
      <c r="C25" s="152">
        <f ca="1">ROUND(IF('数据-取费表'!B22&lt;=1,C20*F22*'数据-取费表'!B22/2,C20*(POWER((1+F22),'数据-取费表'!B22/2)-1)),0)</f>
        <v>12951</v>
      </c>
      <c r="D25" s="152"/>
      <c r="E25" s="155"/>
      <c r="F25" s="153"/>
      <c r="G25" s="156" t="s">
        <v>1535</v>
      </c>
    </row>
    <row r="26" spans="1:7" s="128" customFormat="1">
      <c r="A26" s="565" t="s">
        <v>348</v>
      </c>
      <c r="B26" s="129" t="s">
        <v>1464</v>
      </c>
      <c r="C26" s="152">
        <f ca="1">ROUND(IF('数据-取费表'!B22&lt;=1,F21*F22*'数据-取费表'!B22/2,F21*(POWER((1+F22),'数据-取费表'!B22/2)-1)),4)</f>
        <v>5.9999999999999995E-4</v>
      </c>
      <c r="D26" s="152"/>
      <c r="E26" s="155"/>
      <c r="F26" s="153"/>
      <c r="G26" s="157"/>
    </row>
    <row r="27" spans="1:7" s="128" customFormat="1" ht="24.75">
      <c r="A27" s="169" t="s">
        <v>1465</v>
      </c>
      <c r="B27" s="158" t="s">
        <v>1466</v>
      </c>
      <c r="C27" s="159">
        <f ca="1">C28</f>
        <v>3165386</v>
      </c>
      <c r="D27" s="149">
        <f ca="1">C29</f>
        <v>3.0000000000000001E-3</v>
      </c>
      <c r="E27" s="150" t="s">
        <v>1467</v>
      </c>
      <c r="F27" s="160">
        <f ca="1">IF(B1="",'数据-取费表'!Q16,INDIRECT("'数据-取费表'!q"&amp;$G$1))</f>
        <v>0.15</v>
      </c>
      <c r="G27" s="161" t="s">
        <v>1468</v>
      </c>
    </row>
    <row r="28" spans="1:7" s="128" customFormat="1" ht="13.5" customHeight="1">
      <c r="A28" s="565" t="s">
        <v>344</v>
      </c>
      <c r="B28" s="162" t="s">
        <v>1469</v>
      </c>
      <c r="C28" s="163">
        <f ca="1">ROUND((C5+C19+C20)*F27,0)</f>
        <v>3165386</v>
      </c>
      <c r="D28" s="149"/>
      <c r="E28" s="150"/>
      <c r="F28" s="160"/>
      <c r="G28" s="161"/>
    </row>
    <row r="29" spans="1:7" s="128" customFormat="1" ht="13.5" customHeight="1">
      <c r="A29" s="565" t="s">
        <v>345</v>
      </c>
      <c r="B29" s="162" t="s">
        <v>1470</v>
      </c>
      <c r="C29" s="152">
        <f ca="1">ROUND(C21*F27,4)</f>
        <v>3.0000000000000001E-3</v>
      </c>
      <c r="D29" s="149"/>
      <c r="E29" s="150"/>
      <c r="F29" s="160"/>
      <c r="G29" s="161"/>
    </row>
    <row r="30" spans="1:7" s="128" customFormat="1" ht="13.5" customHeight="1">
      <c r="A30" s="169" t="s">
        <v>1471</v>
      </c>
      <c r="B30" s="124" t="s">
        <v>1472</v>
      </c>
      <c r="C30" s="149">
        <f>ROUND(F30/(1+'数据-取费表'!C43),4)</f>
        <v>5.9999999999999995E-4</v>
      </c>
      <c r="D30" s="150" t="s">
        <v>1467</v>
      </c>
      <c r="E30" s="155"/>
      <c r="F30" s="3397">
        <v>5.5999999999999995E-4</v>
      </c>
      <c r="G30" s="148" t="s">
        <v>1473</v>
      </c>
    </row>
    <row r="31" spans="1:7" ht="16.5" customHeight="1">
      <c r="A31" s="123">
        <v>1</v>
      </c>
      <c r="B31" s="124" t="s">
        <v>1474</v>
      </c>
      <c r="C31" s="125">
        <f ca="1">ROUND((C5+C19+C20+C22+C27)/(1-C21-D22-D27-C30),0)</f>
        <v>26231091</v>
      </c>
      <c r="D31" s="144"/>
      <c r="E31" s="125"/>
      <c r="F31" s="164"/>
      <c r="G31" s="148" t="s">
        <v>1475</v>
      </c>
    </row>
    <row r="32" spans="1:7" s="122" customFormat="1" ht="15.75">
      <c r="A32" s="166" t="s">
        <v>1536</v>
      </c>
      <c r="B32" s="167"/>
      <c r="C32" s="167"/>
      <c r="D32" s="167"/>
      <c r="E32" s="167"/>
      <c r="F32" s="167"/>
      <c r="G32" s="168"/>
    </row>
    <row r="33" spans="1:7" s="128" customFormat="1" ht="13.5" customHeight="1">
      <c r="A33" s="169" t="s">
        <v>335</v>
      </c>
      <c r="B33" s="124" t="s">
        <v>1537</v>
      </c>
      <c r="C33" s="170">
        <f ca="1">SUM(C34:C38)</f>
        <v>665624</v>
      </c>
      <c r="D33" s="146"/>
      <c r="E33" s="126"/>
      <c r="F33" s="155"/>
      <c r="G33" s="148"/>
    </row>
    <row r="34" spans="1:7" s="172" customFormat="1" ht="13.5" customHeight="1">
      <c r="A34" s="565" t="s">
        <v>344</v>
      </c>
      <c r="B34" s="129" t="s">
        <v>1476</v>
      </c>
      <c r="C34" s="134">
        <f ca="1">ROUND(IF(B1="",SUMPRODUCT('数据-取费表'!K6:K14,'数据-取费表'!L6:L14),INDIRECT("'数据-取费表'!l"&amp;$G$1)*INDIRECT("'数据-取费表'!k"&amp;$G$1)+'数据-取费表'!L14*INDIRECT("'数据-取费表'!S"&amp;$G$1)),0)</f>
        <v>600500</v>
      </c>
      <c r="D34" s="131"/>
      <c r="E34" s="134"/>
      <c r="F34" s="171"/>
      <c r="G34" s="133"/>
    </row>
    <row r="35" spans="1:7" ht="13.5" customHeight="1">
      <c r="A35" s="565" t="s">
        <v>349</v>
      </c>
      <c r="B35" s="129" t="s">
        <v>1478</v>
      </c>
      <c r="C35" s="134">
        <f ca="1">ROUND(C34*F35,0)</f>
        <v>30025</v>
      </c>
      <c r="D35" s="134"/>
      <c r="E35" s="134"/>
      <c r="F35" s="173">
        <f>'数据-取费表'!B33</f>
        <v>0.05</v>
      </c>
      <c r="G35" s="133" t="s">
        <v>1479</v>
      </c>
    </row>
    <row r="36" spans="1:7" ht="24">
      <c r="A36" s="565" t="s">
        <v>350</v>
      </c>
      <c r="B36" s="129" t="s">
        <v>1480</v>
      </c>
      <c r="C36" s="134">
        <f ca="1">ROUND(IF(B1="",SUM('数据-取费表'!AP6:AP13)*F36,IF(INDIRECT("'数据-取费表'!c"&amp;$G$1)="住宅",INDIRECT("'数据-取费表'!k"&amp;$G$1)*INDIRECT("'数据-取费表'!l"&amp;$G$1)*F36,0)),0)</f>
        <v>0</v>
      </c>
      <c r="D36" s="134"/>
      <c r="E36" s="134"/>
      <c r="F36" s="173">
        <f>'数据-取费表'!B34</f>
        <v>0</v>
      </c>
      <c r="G36" s="174" t="s">
        <v>1481</v>
      </c>
    </row>
    <row r="37" spans="1:7" s="172" customFormat="1" ht="13.5" customHeight="1">
      <c r="A37" s="565" t="s">
        <v>351</v>
      </c>
      <c r="B37" s="129" t="s">
        <v>1482</v>
      </c>
      <c r="C37" s="163">
        <f ca="1">ROUND(E37*D37,0)</f>
        <v>29094</v>
      </c>
      <c r="D37" s="131">
        <f ca="1">D19</f>
        <v>145.47</v>
      </c>
      <c r="E37" s="163">
        <f>'数据-取费表'!B35</f>
        <v>200</v>
      </c>
      <c r="F37" s="173"/>
      <c r="G37" s="175"/>
    </row>
    <row r="38" spans="1:7" ht="13.5" customHeight="1">
      <c r="A38" s="565" t="s">
        <v>352</v>
      </c>
      <c r="B38" s="129" t="s">
        <v>1484</v>
      </c>
      <c r="C38" s="134">
        <f ca="1">ROUND(C34*F38,0)</f>
        <v>6005</v>
      </c>
      <c r="D38" s="134"/>
      <c r="E38" s="134"/>
      <c r="F38" s="173">
        <f>'数据-取费表'!B36</f>
        <v>0.01</v>
      </c>
      <c r="G38" s="133" t="s">
        <v>1479</v>
      </c>
    </row>
    <row r="39" spans="1:7" s="128" customFormat="1" ht="13.5" customHeight="1">
      <c r="A39" s="169" t="s">
        <v>1485</v>
      </c>
      <c r="B39" s="124" t="s">
        <v>1486</v>
      </c>
      <c r="C39" s="146">
        <f ca="1">ROUND(C33*F20,0)</f>
        <v>13312</v>
      </c>
      <c r="D39" s="146"/>
      <c r="E39" s="146"/>
      <c r="F39" s="147">
        <f>F20</f>
        <v>0.02</v>
      </c>
      <c r="G39" s="148" t="s">
        <v>1487</v>
      </c>
    </row>
    <row r="40" spans="1:7" s="128" customFormat="1" ht="13.5" customHeight="1">
      <c r="A40" s="169" t="s">
        <v>1488</v>
      </c>
      <c r="B40" s="124" t="s">
        <v>1489</v>
      </c>
      <c r="C40" s="149">
        <f>F21</f>
        <v>0.02</v>
      </c>
      <c r="D40" s="150" t="s">
        <v>1490</v>
      </c>
      <c r="E40" s="146"/>
      <c r="F40" s="147">
        <f>F21</f>
        <v>0.02</v>
      </c>
      <c r="G40" s="148" t="s">
        <v>1491</v>
      </c>
    </row>
    <row r="41" spans="1:7" s="128" customFormat="1" ht="13.5" customHeight="1">
      <c r="A41" s="169" t="s">
        <v>1492</v>
      </c>
      <c r="B41" s="124" t="s">
        <v>1493</v>
      </c>
      <c r="C41" s="146">
        <f ca="1">ROUND(SUM(C42:C43),0)</f>
        <v>21251</v>
      </c>
      <c r="D41" s="149">
        <f ca="1">C44</f>
        <v>5.9999999999999995E-4</v>
      </c>
      <c r="E41" s="150" t="s">
        <v>1490</v>
      </c>
      <c r="F41" s="151">
        <f ca="1">F22</f>
        <v>3.1300000000000001E-2</v>
      </c>
      <c r="G41" s="148" t="str">
        <f>IF('数据-取费表'!B22&lt;=1,"单利计息","复利计息")</f>
        <v>复利计息</v>
      </c>
    </row>
    <row r="42" spans="1:7" ht="13.5" customHeight="1">
      <c r="A42" s="565" t="s">
        <v>344</v>
      </c>
      <c r="B42" s="129" t="s">
        <v>1494</v>
      </c>
      <c r="C42" s="152">
        <f ca="1">ROUND(IF('数据-取费表'!B22&lt;=1,C33*F22*'数据-取费表'!B20/2,C33*(POWER((1+F22),'数据-取费表'!B20/2)-1)),0)</f>
        <v>20834</v>
      </c>
      <c r="D42" s="152"/>
      <c r="E42" s="152"/>
      <c r="F42" s="153"/>
      <c r="G42" s="4365" t="s">
        <v>1538</v>
      </c>
    </row>
    <row r="43" spans="1:7" ht="13.5" customHeight="1">
      <c r="A43" s="565" t="s">
        <v>345</v>
      </c>
      <c r="B43" s="129" t="s">
        <v>1495</v>
      </c>
      <c r="C43" s="152">
        <f ca="1">ROUND(IF('数据-取费表'!B22&lt;=1,C39*F22*'数据-取费表'!B20/2,C39*(POWER((1+F22),'数据-取费表'!B20/2)-1)),0)</f>
        <v>417</v>
      </c>
      <c r="D43" s="152"/>
      <c r="E43" s="152"/>
      <c r="F43" s="153"/>
      <c r="G43" s="4367"/>
    </row>
    <row r="44" spans="1:7" ht="13.5" customHeight="1">
      <c r="A44" s="565" t="s">
        <v>346</v>
      </c>
      <c r="B44" s="129" t="s">
        <v>1496</v>
      </c>
      <c r="C44" s="152">
        <f ca="1">ROUND(IF('数据-取费表'!B22&lt;=1,C40*F22*'数据-取费表'!B20/2,C40*(POWER((1+F22),'数据-取费表'!B20/2)-1)),4)</f>
        <v>5.9999999999999995E-4</v>
      </c>
      <c r="D44" s="152"/>
      <c r="E44" s="152"/>
      <c r="F44" s="153"/>
      <c r="G44" s="4366"/>
    </row>
    <row r="45" spans="1:7" s="128" customFormat="1" ht="13.5" customHeight="1">
      <c r="A45" s="169" t="s">
        <v>1497</v>
      </c>
      <c r="B45" s="158" t="s">
        <v>1466</v>
      </c>
      <c r="C45" s="159">
        <f ca="1">C46</f>
        <v>101840</v>
      </c>
      <c r="D45" s="149">
        <f ca="1">C47</f>
        <v>3.0000000000000001E-3</v>
      </c>
      <c r="E45" s="150" t="s">
        <v>1490</v>
      </c>
      <c r="F45" s="160">
        <f ca="1">F27</f>
        <v>0.15</v>
      </c>
      <c r="G45" s="161" t="s">
        <v>1498</v>
      </c>
    </row>
    <row r="46" spans="1:7" s="128" customFormat="1" ht="13.5" customHeight="1">
      <c r="A46" s="565" t="s">
        <v>344</v>
      </c>
      <c r="B46" s="162" t="s">
        <v>1499</v>
      </c>
      <c r="C46" s="163">
        <f ca="1">ROUND((C33+C39)*F27,0)</f>
        <v>101840</v>
      </c>
      <c r="D46" s="177"/>
      <c r="E46" s="150"/>
      <c r="F46" s="160"/>
      <c r="G46" s="161"/>
    </row>
    <row r="47" spans="1:7" s="128" customFormat="1" ht="13.5" customHeight="1">
      <c r="A47" s="565" t="s">
        <v>345</v>
      </c>
      <c r="B47" s="162" t="s">
        <v>1500</v>
      </c>
      <c r="C47" s="152">
        <f ca="1">ROUND(C40*F27,4)</f>
        <v>3.0000000000000001E-3</v>
      </c>
      <c r="D47" s="177"/>
      <c r="E47" s="150"/>
      <c r="F47" s="160"/>
      <c r="G47" s="161"/>
    </row>
    <row r="48" spans="1:7" s="128" customFormat="1" ht="13.5" customHeight="1">
      <c r="A48" s="169" t="s">
        <v>1465</v>
      </c>
      <c r="B48" s="124" t="s">
        <v>1501</v>
      </c>
      <c r="C48" s="176">
        <f>ROUND(F30/(1+'数据-取费表'!C43),4)</f>
        <v>5.9999999999999995E-4</v>
      </c>
      <c r="D48" s="150" t="s">
        <v>1490</v>
      </c>
      <c r="E48" s="146"/>
      <c r="F48" s="3398">
        <f>F30</f>
        <v>5.5999999999999995E-4</v>
      </c>
      <c r="G48" s="148" t="s">
        <v>1502</v>
      </c>
    </row>
    <row r="49" spans="1:7" ht="16.5" customHeight="1">
      <c r="A49" s="169" t="s">
        <v>1471</v>
      </c>
      <c r="B49" s="124" t="s">
        <v>1539</v>
      </c>
      <c r="C49" s="146">
        <f ca="1">ROUND((C33+C39+C41+C45)/(1-C40-D41-D45-C48),0)</f>
        <v>821917</v>
      </c>
      <c r="D49" s="146"/>
      <c r="E49" s="146"/>
      <c r="F49" s="178"/>
      <c r="G49" s="148" t="s">
        <v>1503</v>
      </c>
    </row>
    <row r="50" spans="1:7" s="172" customFormat="1">
      <c r="A50" s="169" t="s">
        <v>1504</v>
      </c>
      <c r="B50" s="124" t="s">
        <v>1505</v>
      </c>
      <c r="C50" s="146"/>
      <c r="D50" s="146"/>
      <c r="E50" s="146"/>
      <c r="F50" s="178">
        <f>IF('数据-取费表'!B24=0,'数据-取费表'!N16,1)</f>
        <v>0.82</v>
      </c>
      <c r="G50" s="161"/>
    </row>
    <row r="51" spans="1:7" ht="16.5" customHeight="1">
      <c r="A51" s="169" t="s">
        <v>1506</v>
      </c>
      <c r="B51" s="124" t="s">
        <v>1540</v>
      </c>
      <c r="C51" s="146">
        <f ca="1">ROUND(C49*F50,0)</f>
        <v>673972</v>
      </c>
      <c r="D51" s="146"/>
      <c r="E51" s="146"/>
      <c r="F51" s="178"/>
      <c r="G51" s="148" t="s">
        <v>1507</v>
      </c>
    </row>
    <row r="52" spans="1:7" s="122" customFormat="1" ht="16.5" thickBot="1">
      <c r="A52" s="179" t="s">
        <v>1508</v>
      </c>
      <c r="B52" s="180"/>
      <c r="C52" s="181">
        <f ca="1">C31+C51</f>
        <v>26905063</v>
      </c>
      <c r="D52" s="180"/>
      <c r="E52" s="180"/>
      <c r="F52" s="180"/>
      <c r="G52" s="182"/>
    </row>
    <row r="55" spans="1:7" ht="15">
      <c r="B55" s="184" t="s">
        <v>1509</v>
      </c>
      <c r="C55" s="185"/>
    </row>
    <row r="56" spans="1:7">
      <c r="B56" s="187" t="s">
        <v>782</v>
      </c>
      <c r="C56" s="189">
        <f ca="1">1-C57</f>
        <v>0.97499999999999998</v>
      </c>
    </row>
    <row r="57" spans="1:7">
      <c r="B57" s="187" t="s">
        <v>783</v>
      </c>
      <c r="C57" s="188">
        <f ca="1">ROUND(C51/C52,3)</f>
        <v>2.5000000000000001E-2</v>
      </c>
    </row>
  </sheetData>
  <sheetProtection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857</v>
      </c>
      <c r="B1" s="510"/>
      <c r="C1" s="3067"/>
      <c r="D1" s="990" t="s">
        <v>41</v>
      </c>
      <c r="E1" s="991" t="s">
        <v>658</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784</v>
      </c>
      <c r="B2" s="3015" t="e">
        <f ca="1">IF(D2="含税",C28+J29+L51,C25+J28+L51)</f>
        <v>#DIV/0!</v>
      </c>
      <c r="C2" s="1008" t="s">
        <v>785</v>
      </c>
      <c r="D2" s="3832"/>
      <c r="E2" s="1013"/>
      <c r="F2" s="1014"/>
      <c r="G2" s="2075"/>
      <c r="H2" s="2065"/>
      <c r="I2" s="2065"/>
      <c r="J2" s="2065"/>
      <c r="K2" s="2066"/>
      <c r="L2" s="2065"/>
      <c r="M2" s="2065"/>
    </row>
    <row r="3" spans="1:37" ht="18" customHeight="1" thickBot="1">
      <c r="A3" s="1015" t="s">
        <v>786</v>
      </c>
      <c r="B3" s="3029">
        <f ca="1">IF(ISERROR(B2*10000/F29),0,ROUND(B2*10000/F29,0))</f>
        <v>0</v>
      </c>
      <c r="C3" s="1008" t="s">
        <v>787</v>
      </c>
      <c r="D3" s="1008"/>
      <c r="E3" s="1013"/>
      <c r="F3" s="1014"/>
      <c r="G3" s="2075"/>
      <c r="H3" s="496" t="s">
        <v>856</v>
      </c>
      <c r="I3" s="1009"/>
      <c r="J3" s="1009"/>
      <c r="K3" s="1010"/>
      <c r="L3" s="1009"/>
      <c r="M3" s="1009"/>
    </row>
    <row r="4" spans="1:37" ht="18" customHeight="1">
      <c r="A4" s="198" t="s">
        <v>667</v>
      </c>
      <c r="B4" s="199" t="s">
        <v>668</v>
      </c>
      <c r="C4" s="199" t="s">
        <v>669</v>
      </c>
      <c r="D4" s="199" t="s">
        <v>670</v>
      </c>
      <c r="E4" s="200" t="s">
        <v>671</v>
      </c>
      <c r="F4" s="201"/>
      <c r="G4" s="1011"/>
      <c r="H4" s="198" t="s">
        <v>667</v>
      </c>
      <c r="I4" s="199" t="s">
        <v>668</v>
      </c>
      <c r="J4" s="199" t="s">
        <v>669</v>
      </c>
      <c r="K4" s="199" t="s">
        <v>670</v>
      </c>
      <c r="L4" s="200" t="s">
        <v>671</v>
      </c>
      <c r="M4" s="201"/>
    </row>
    <row r="5" spans="1:37" ht="18" customHeight="1">
      <c r="A5" s="202">
        <v>1</v>
      </c>
      <c r="B5" s="2978" t="s">
        <v>3439</v>
      </c>
      <c r="C5" s="3014">
        <f ca="1">C6+C10+C12</f>
        <v>0</v>
      </c>
      <c r="D5" s="992" t="s">
        <v>673</v>
      </c>
      <c r="E5" s="772"/>
      <c r="F5" s="773"/>
      <c r="G5" s="1011"/>
      <c r="H5" s="202">
        <v>1</v>
      </c>
      <c r="I5" s="203" t="s">
        <v>672</v>
      </c>
      <c r="J5" s="3014">
        <f ca="1">J6+J10+J12</f>
        <v>0</v>
      </c>
      <c r="K5" s="992" t="s">
        <v>673</v>
      </c>
      <c r="L5" s="772"/>
      <c r="M5" s="773"/>
    </row>
    <row r="6" spans="1:37" ht="18" customHeight="1">
      <c r="A6" s="770" t="s">
        <v>392</v>
      </c>
      <c r="B6" s="2976" t="s">
        <v>3433</v>
      </c>
      <c r="C6" s="3978">
        <f ca="1">C7-C9</f>
        <v>0</v>
      </c>
      <c r="D6" s="2977" t="s">
        <v>3437</v>
      </c>
      <c r="E6" s="2975" t="s">
        <v>3431</v>
      </c>
      <c r="F6" s="3404">
        <f ca="1">INDIRECT("'数据-取费表'!u"&amp;$G$1)</f>
        <v>0</v>
      </c>
      <c r="G6" s="1011"/>
      <c r="H6" s="770" t="s">
        <v>392</v>
      </c>
      <c r="I6" s="3444" t="s">
        <v>674</v>
      </c>
      <c r="J6" s="3015">
        <f ca="1">J7-J9</f>
        <v>0</v>
      </c>
      <c r="K6" s="2977" t="s">
        <v>3437</v>
      </c>
      <c r="L6" s="2975" t="s">
        <v>3431</v>
      </c>
      <c r="M6" s="3965">
        <f ca="1">INDIRECT("'数据-取费表'!z"&amp;$G$1)</f>
        <v>0</v>
      </c>
    </row>
    <row r="7" spans="1:37" ht="18" customHeight="1">
      <c r="A7" s="4368" t="s">
        <v>391</v>
      </c>
      <c r="B7" s="4371" t="s">
        <v>3434</v>
      </c>
      <c r="C7" s="4376">
        <f ca="1">ROUND(F6*F7*F8/10000,0)</f>
        <v>0</v>
      </c>
      <c r="D7" s="4370" t="s">
        <v>3521</v>
      </c>
      <c r="E7" s="777" t="s">
        <v>677</v>
      </c>
      <c r="F7" s="3964">
        <f ca="1">IF(INDIRECT("'数据-取费表'!ah"&amp;$G$1)="",INDIRECT("'数据-取费表'!k"&amp;$G$1),INDIRECT("'数据-取费表'!ah"&amp;$G$1))</f>
        <v>0</v>
      </c>
      <c r="G7" s="1011"/>
      <c r="H7" s="4368" t="s">
        <v>391</v>
      </c>
      <c r="I7" s="4371" t="s">
        <v>3434</v>
      </c>
      <c r="J7" s="4373">
        <f ca="1">ROUND(M6*M8*M7/10000,0)</f>
        <v>0</v>
      </c>
      <c r="K7" s="4377" t="s">
        <v>3436</v>
      </c>
      <c r="L7" s="205" t="s">
        <v>677</v>
      </c>
      <c r="M7" s="3966">
        <f ca="1">F7</f>
        <v>0</v>
      </c>
    </row>
    <row r="8" spans="1:37" ht="18" customHeight="1">
      <c r="A8" s="4369"/>
      <c r="B8" s="4372"/>
      <c r="C8" s="4376"/>
      <c r="D8" s="4370"/>
      <c r="E8" s="205" t="s">
        <v>678</v>
      </c>
      <c r="F8" s="3964">
        <f ca="1">INDIRECT("'数据-取费表'!ai"&amp;$G$1)</f>
        <v>0</v>
      </c>
      <c r="G8" s="1011"/>
      <c r="H8" s="4369"/>
      <c r="I8" s="4372"/>
      <c r="J8" s="4373"/>
      <c r="K8" s="4377"/>
      <c r="L8" s="205" t="s">
        <v>678</v>
      </c>
      <c r="M8" s="3966">
        <f ca="1">INDIRECT("'数据-取费表'!ai"&amp;$G$1)</f>
        <v>0</v>
      </c>
    </row>
    <row r="9" spans="1:37" ht="18" customHeight="1">
      <c r="A9" s="2958" t="s">
        <v>3435</v>
      </c>
      <c r="B9" s="3443" t="s">
        <v>3432</v>
      </c>
      <c r="C9" s="3037">
        <f ca="1">ROUND(C7*F9,0)</f>
        <v>0</v>
      </c>
      <c r="D9" s="2977" t="s">
        <v>3438</v>
      </c>
      <c r="E9" s="205" t="s">
        <v>679</v>
      </c>
      <c r="F9" s="3050">
        <f ca="1">INDIRECT("'数据-取费表'!w"&amp;$G$1)</f>
        <v>0</v>
      </c>
      <c r="G9" s="1011"/>
      <c r="H9" s="2958" t="s">
        <v>3435</v>
      </c>
      <c r="I9" s="3443" t="s">
        <v>3432</v>
      </c>
      <c r="J9" s="3015">
        <f ca="1">ROUND(J7*M9,0)</f>
        <v>0</v>
      </c>
      <c r="K9" s="72"/>
      <c r="L9" s="216" t="s">
        <v>679</v>
      </c>
      <c r="M9" s="217">
        <f ca="1">INDIRECT("'数据-取费表'!ab"&amp;$G$1)</f>
        <v>0</v>
      </c>
    </row>
    <row r="10" spans="1:37" ht="18" customHeight="1">
      <c r="A10" s="770" t="s">
        <v>396</v>
      </c>
      <c r="B10" s="993" t="s">
        <v>680</v>
      </c>
      <c r="C10" s="3971">
        <f ca="1">ROUND(IF(F10="押一",C6/12*F11,IF(F10="押二",C6/12*2*F11,IF(F10="押三",C6/12*3*F11,C11*F11))),0)</f>
        <v>0</v>
      </c>
      <c r="D10" s="77" t="s">
        <v>2033</v>
      </c>
      <c r="E10" s="216" t="s">
        <v>681</v>
      </c>
      <c r="F10" s="812"/>
      <c r="G10" s="1011"/>
      <c r="H10" s="770" t="s">
        <v>396</v>
      </c>
      <c r="I10" s="993" t="s">
        <v>680</v>
      </c>
      <c r="J10" s="3016">
        <f ca="1">ROUND(IF(M10="押一",J6/12*M11,IF(M10="押二",J6/12*2*M11,IF(M10="押三",J6/12*3*M11,J11*M11))),0)</f>
        <v>0</v>
      </c>
      <c r="K10" s="77" t="s">
        <v>2032</v>
      </c>
      <c r="L10" s="216" t="s">
        <v>681</v>
      </c>
      <c r="M10" s="812"/>
    </row>
    <row r="11" spans="1:37" ht="18" customHeight="1">
      <c r="A11" s="211"/>
      <c r="B11" s="3399" t="s">
        <v>3527</v>
      </c>
      <c r="C11" s="2981"/>
      <c r="D11" s="995"/>
      <c r="E11" s="216" t="s">
        <v>682</v>
      </c>
      <c r="F11" s="3123">
        <f ca="1">'数据-取费表'!B40</f>
        <v>1.4999999999999999E-2</v>
      </c>
      <c r="G11" s="1011"/>
      <c r="H11" s="778"/>
      <c r="I11" s="994" t="s">
        <v>659</v>
      </c>
      <c r="J11" s="2981"/>
      <c r="K11" s="493"/>
      <c r="L11" s="216" t="s">
        <v>682</v>
      </c>
      <c r="M11" s="603">
        <f ca="1">'数据-取费表'!B40</f>
        <v>1.4999999999999999E-2</v>
      </c>
    </row>
    <row r="12" spans="1:37" ht="18" customHeight="1" thickBot="1">
      <c r="A12" s="783" t="s">
        <v>431</v>
      </c>
      <c r="B12" s="996" t="s">
        <v>683</v>
      </c>
      <c r="C12" s="3017"/>
      <c r="D12" s="785"/>
      <c r="E12" s="790"/>
      <c r="F12" s="786"/>
      <c r="G12" s="1011"/>
      <c r="H12" s="783" t="s">
        <v>431</v>
      </c>
      <c r="I12" s="996" t="s">
        <v>683</v>
      </c>
      <c r="J12" s="3018"/>
      <c r="K12" s="798"/>
      <c r="L12" s="790"/>
      <c r="M12" s="786"/>
    </row>
    <row r="13" spans="1:37" ht="18" customHeight="1" thickTop="1">
      <c r="A13" s="779" t="s">
        <v>387</v>
      </c>
      <c r="B13" s="780" t="s">
        <v>694</v>
      </c>
      <c r="C13" s="2982">
        <f ca="1">ROUND(C14+C21+C22+C23,0)</f>
        <v>0</v>
      </c>
      <c r="D13" s="787" t="s">
        <v>695</v>
      </c>
      <c r="E13" s="788"/>
      <c r="F13" s="773"/>
      <c r="G13" s="1011"/>
      <c r="H13" s="779" t="s">
        <v>387</v>
      </c>
      <c r="I13" s="780" t="s">
        <v>694</v>
      </c>
      <c r="J13" s="3019">
        <f ca="1">ROUND(J14+J21+J22+J23,0)</f>
        <v>0</v>
      </c>
      <c r="K13" s="975" t="s">
        <v>3490</v>
      </c>
      <c r="L13" s="788"/>
      <c r="M13" s="773"/>
    </row>
    <row r="14" spans="1:37" ht="18" customHeight="1">
      <c r="A14" s="711" t="s">
        <v>392</v>
      </c>
      <c r="B14" s="205" t="s">
        <v>699</v>
      </c>
      <c r="C14" s="2960">
        <f ca="1">ROUND(IF(AND(项目基本情况!B11="自然人",项目基本情况!B10="北京市"),C6*F14,C15+C18+C19),2)</f>
        <v>0</v>
      </c>
      <c r="D14" s="975" t="s">
        <v>3490</v>
      </c>
      <c r="E14" s="974" t="s">
        <v>750</v>
      </c>
      <c r="F14" s="3044">
        <f ca="1">IF(项目基本情况!B11="企业","——",IF(M52="住宅",IF(F6*F7*F8/12/(1+'数据-取费表'!F30)&gt;100000,4%,2.5%),IF(F6*F7*F8/12/(1+'数据-取费表'!F30)&gt;100000,12%,7%)))</f>
        <v>7.0000000000000007E-2</v>
      </c>
      <c r="G14" s="1011"/>
      <c r="H14" s="711" t="s">
        <v>392</v>
      </c>
      <c r="I14" s="205" t="s">
        <v>699</v>
      </c>
      <c r="J14" s="2983">
        <f ca="1">ROUND(IF(AND(项目基本情况!B11="自然人",项目基本情况!B10="北京市"),J6*M14/(1+'数据-取费表'!C43),J15+J18+J19),2)</f>
        <v>0</v>
      </c>
      <c r="K14" s="3011" t="s">
        <v>3489</v>
      </c>
      <c r="L14" s="974" t="s">
        <v>701</v>
      </c>
      <c r="M14" s="1785">
        <f ca="1">IF(项目基本情况!B11="企业","",IF('数据-取费表'!B10="住宅",IF(M6*M7*M8/12/(1+'数据-取费表'!F30)&gt;100000,4%,2.5%),IF(M6*M7*M8/12/(1+'数据-取费表'!F30)&gt;100000,12%,7%)))</f>
        <v>7.0000000000000007E-2</v>
      </c>
    </row>
    <row r="15" spans="1:37" s="1022" customFormat="1" ht="18" customHeight="1">
      <c r="A15" s="2958" t="s">
        <v>3440</v>
      </c>
      <c r="B15" s="2975" t="s">
        <v>3441</v>
      </c>
      <c r="C15" s="2960">
        <f ca="1">ROUND((C16-C17)*(1+F15),2)</f>
        <v>0</v>
      </c>
      <c r="D15" s="3011" t="s">
        <v>3489</v>
      </c>
      <c r="E15" s="205" t="s">
        <v>3478</v>
      </c>
      <c r="F15" s="3045">
        <f>'数据-取费表'!B44</f>
        <v>0.1</v>
      </c>
      <c r="G15" s="1021"/>
      <c r="H15" s="711" t="s">
        <v>391</v>
      </c>
      <c r="I15" s="2975" t="s">
        <v>3441</v>
      </c>
      <c r="J15" s="2960">
        <f ca="1">ROUND((J16-J17)*(1+M15),2)</f>
        <v>0</v>
      </c>
      <c r="K15" s="1070"/>
      <c r="L15" s="205" t="s">
        <v>3478</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3309</v>
      </c>
      <c r="B16" s="2980" t="s">
        <v>3442</v>
      </c>
      <c r="C16" s="2987">
        <f ca="1">ROUND(C6*F16,2)</f>
        <v>0</v>
      </c>
      <c r="D16" s="1070"/>
      <c r="E16" s="2988" t="s">
        <v>3444</v>
      </c>
      <c r="F16" s="3045">
        <v>0.09</v>
      </c>
      <c r="G16" s="1011"/>
      <c r="H16" s="2664" t="s">
        <v>3309</v>
      </c>
      <c r="I16" s="2980" t="s">
        <v>3442</v>
      </c>
      <c r="J16" s="2987">
        <f ca="1">ROUND(J6*M16,2)</f>
        <v>0</v>
      </c>
      <c r="K16" s="2989" t="s">
        <v>3445</v>
      </c>
      <c r="L16" s="2988" t="s">
        <v>3444</v>
      </c>
      <c r="M16" s="232">
        <v>0.09</v>
      </c>
    </row>
    <row r="17" spans="1:37" s="1022" customFormat="1" ht="18" customHeight="1">
      <c r="A17" s="2664" t="s">
        <v>3310</v>
      </c>
      <c r="B17" s="2980" t="s">
        <v>3443</v>
      </c>
      <c r="C17" s="3012">
        <f ca="1">ROUND(C21*F16+((C22+C23)*F17),2)</f>
        <v>0</v>
      </c>
      <c r="D17" s="2989" t="s">
        <v>3445</v>
      </c>
      <c r="E17" s="2989"/>
      <c r="F17" s="3045">
        <v>0.06</v>
      </c>
      <c r="G17" s="1021"/>
      <c r="H17" s="2664" t="s">
        <v>3310</v>
      </c>
      <c r="I17" s="2980" t="s">
        <v>3443</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707</v>
      </c>
      <c r="C18" s="2960">
        <f ca="1">IF(项目基本情况!B11="自然人","——",IF(D18="按不含税租金收入计税",ROUND(C6*F18,2),IF(D18="按房产原值计税",ROUND(C47*F18*0.7,2),INDIRECT("'数据-取费表'!Aj"&amp;$G$1))))</f>
        <v>0</v>
      </c>
      <c r="D18" s="2979"/>
      <c r="E18" s="205" t="s">
        <v>692</v>
      </c>
      <c r="F18" s="3046">
        <f>IF(D18="按票据","——",IF(D18="按不含税租金收入计税",'数据-取费表'!B52,'数据-取费表'!B51))</f>
        <v>1.2E-2</v>
      </c>
      <c r="G18" s="1021"/>
      <c r="H18" s="711" t="s">
        <v>393</v>
      </c>
      <c r="I18" s="205" t="s">
        <v>707</v>
      </c>
      <c r="J18" s="2960">
        <f ca="1">IF(K18="按不含税租金收入计税",ROUND(J6*M18,2),ROUND(C47*M18*0.7,2))</f>
        <v>0</v>
      </c>
      <c r="K18" s="997"/>
      <c r="L18" s="205" t="s">
        <v>692</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660</v>
      </c>
      <c r="B19" s="74" t="s">
        <v>710</v>
      </c>
      <c r="C19" s="2984">
        <f ca="1">IF(项目基本情况!B11="自然人","——",ROUND(F19*F20/10000,2))</f>
        <v>0</v>
      </c>
      <c r="D19" s="226" t="s">
        <v>711</v>
      </c>
      <c r="E19" s="205" t="s">
        <v>712</v>
      </c>
      <c r="F19" s="3047">
        <f>'数据-取费表'!B53</f>
        <v>1.5</v>
      </c>
      <c r="G19" s="1011"/>
      <c r="H19" s="711" t="s">
        <v>660</v>
      </c>
      <c r="I19" s="74" t="s">
        <v>710</v>
      </c>
      <c r="J19" s="2984">
        <f ca="1">ROUND(M19*M20/10000,2)</f>
        <v>0</v>
      </c>
      <c r="K19" s="226" t="s">
        <v>711</v>
      </c>
      <c r="L19" s="205" t="s">
        <v>712</v>
      </c>
      <c r="M19" s="227">
        <f>'数据-取费表'!B53</f>
        <v>1.5</v>
      </c>
    </row>
    <row r="20" spans="1:37" s="1022" customFormat="1" ht="18" customHeight="1">
      <c r="A20" s="228"/>
      <c r="B20" s="801"/>
      <c r="C20" s="2985"/>
      <c r="D20" s="229"/>
      <c r="E20" s="205" t="s">
        <v>716</v>
      </c>
      <c r="F20" s="3041">
        <f ca="1">INDIRECT("'数据-取费表'!r"&amp;$G$1)</f>
        <v>0</v>
      </c>
      <c r="G20" s="1021"/>
      <c r="H20" s="228"/>
      <c r="I20" s="214"/>
      <c r="J20" s="2985"/>
      <c r="K20" s="229"/>
      <c r="L20" s="205" t="s">
        <v>716</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718</v>
      </c>
      <c r="C21" s="2960">
        <f ca="1">ROUND(C47*F21,2)</f>
        <v>0</v>
      </c>
      <c r="D21" s="974" t="s">
        <v>3479</v>
      </c>
      <c r="E21" s="205" t="s">
        <v>692</v>
      </c>
      <c r="F21" s="3048">
        <f ca="1">INDIRECT("'数据-取费表'!Ak"&amp;$G$1)</f>
        <v>0</v>
      </c>
      <c r="G21" s="1021"/>
      <c r="H21" s="711" t="s">
        <v>396</v>
      </c>
      <c r="I21" s="205" t="s">
        <v>718</v>
      </c>
      <c r="J21" s="2960">
        <f ca="1">ROUND(J31*M21,2)</f>
        <v>0</v>
      </c>
      <c r="K21" s="974" t="s">
        <v>719</v>
      </c>
      <c r="L21" s="205" t="s">
        <v>692</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722</v>
      </c>
      <c r="C22" s="2960">
        <f ca="1">ROUND(C49*F22,2)</f>
        <v>0</v>
      </c>
      <c r="D22" s="974" t="s">
        <v>3487</v>
      </c>
      <c r="E22" s="205" t="s">
        <v>724</v>
      </c>
      <c r="F22" s="3049">
        <f ca="1">INDIRECT("'数据-取费表'!Al"&amp;$G$1)</f>
        <v>0</v>
      </c>
      <c r="G22" s="1011"/>
      <c r="H22" s="711" t="s">
        <v>431</v>
      </c>
      <c r="I22" s="205" t="s">
        <v>722</v>
      </c>
      <c r="J22" s="2960">
        <f ca="1">ROUND(J33*M22,2)</f>
        <v>0</v>
      </c>
      <c r="K22" s="974" t="s">
        <v>723</v>
      </c>
      <c r="L22" s="205" t="s">
        <v>724</v>
      </c>
      <c r="M22" s="231">
        <f ca="1">INDIRECT("'数据-取费表'!Al"&amp;$G$1)</f>
        <v>0</v>
      </c>
    </row>
    <row r="23" spans="1:37" s="1022" customFormat="1" ht="18" customHeight="1" thickBot="1">
      <c r="A23" s="789" t="s">
        <v>664</v>
      </c>
      <c r="B23" s="790" t="s">
        <v>708</v>
      </c>
      <c r="C23" s="2986">
        <f ca="1">ROUND(C5*F23,2)</f>
        <v>0</v>
      </c>
      <c r="D23" s="792" t="s">
        <v>728</v>
      </c>
      <c r="E23" s="790" t="s">
        <v>724</v>
      </c>
      <c r="F23" s="3124">
        <f ca="1">INDIRECT("'数据-取费表'!Am"&amp;$G$1)</f>
        <v>0</v>
      </c>
      <c r="G23" s="1021"/>
      <c r="H23" s="789" t="s">
        <v>664</v>
      </c>
      <c r="I23" s="790" t="s">
        <v>708</v>
      </c>
      <c r="J23" s="2986">
        <f ca="1">ROUND(J5*M23,2)</f>
        <v>0</v>
      </c>
      <c r="K23" s="792" t="s">
        <v>728</v>
      </c>
      <c r="L23" s="790" t="s">
        <v>724</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752</v>
      </c>
      <c r="C24" s="2982">
        <f ca="1">C5-C13</f>
        <v>0</v>
      </c>
      <c r="D24" s="795" t="s">
        <v>753</v>
      </c>
      <c r="E24" s="796"/>
      <c r="F24" s="797"/>
      <c r="G24" s="1021"/>
      <c r="H24" s="779" t="s">
        <v>388</v>
      </c>
      <c r="I24" s="794" t="s">
        <v>732</v>
      </c>
      <c r="J24" s="3019">
        <f ca="1">J5-J13</f>
        <v>0</v>
      </c>
      <c r="K24" s="795" t="s">
        <v>733</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86" t="s">
        <v>754</v>
      </c>
      <c r="C25" s="4387" t="e">
        <f ca="1">ROUND(C24*(1-((1+F27)/(1+F25))^F26)/(F25-F27),0)</f>
        <v>#DIV/0!</v>
      </c>
      <c r="D25" s="226" t="s">
        <v>738</v>
      </c>
      <c r="E25" s="205" t="s">
        <v>739</v>
      </c>
      <c r="F25" s="3050">
        <f ca="1">INDIRECT("'数据-取费表'!I"&amp;$G$1)</f>
        <v>0</v>
      </c>
      <c r="G25" s="1011"/>
      <c r="H25" s="4378" t="s">
        <v>389</v>
      </c>
      <c r="I25" s="4381" t="s">
        <v>737</v>
      </c>
      <c r="J25" s="4384">
        <f ca="1">IF(J5&lt;&gt;0,ROUND(J24*(1-((1+M27)/(1+M25))^M26)/(M25-M27),0),0)</f>
        <v>0</v>
      </c>
      <c r="K25" s="226" t="s">
        <v>738</v>
      </c>
      <c r="L25" s="216" t="s">
        <v>739</v>
      </c>
      <c r="M25" s="217">
        <f ca="1">INDIRECT("'数据-取费表'!I"&amp;$G$1)</f>
        <v>0</v>
      </c>
    </row>
    <row r="26" spans="1:37">
      <c r="A26" s="3068"/>
      <c r="B26" s="4386"/>
      <c r="C26" s="4387"/>
      <c r="D26" s="233" t="s">
        <v>755</v>
      </c>
      <c r="E26" s="205" t="s">
        <v>743</v>
      </c>
      <c r="F26" s="3052">
        <f ca="1">IF(INDIRECT("'数据-取费表'!af"&amp;$G$1)=0,INDIRECT("'数据-取费表'!ae"&amp;$G$1),INDIRECT("'数据-取费表'!af"&amp;$G$1))</f>
        <v>0</v>
      </c>
      <c r="G26" s="1011"/>
      <c r="H26" s="4379"/>
      <c r="I26" s="4382"/>
      <c r="J26" s="4373"/>
      <c r="K26" s="974" t="s">
        <v>742</v>
      </c>
      <c r="L26" s="205" t="s">
        <v>743</v>
      </c>
      <c r="M26" s="234">
        <f ca="1">INDIRECT("'数据-取费表'!ag"&amp;$G$1)</f>
        <v>0</v>
      </c>
    </row>
    <row r="27" spans="1:37" ht="18" customHeight="1">
      <c r="A27" s="1057"/>
      <c r="B27" s="4386"/>
      <c r="C27" s="4387"/>
      <c r="D27" s="229"/>
      <c r="E27" s="205" t="s">
        <v>746</v>
      </c>
      <c r="F27" s="3050">
        <f ca="1">INDIRECT("'数据-取费表'!v"&amp;$G$1)</f>
        <v>0</v>
      </c>
      <c r="G27" s="1011"/>
      <c r="H27" s="4380"/>
      <c r="I27" s="4383"/>
      <c r="J27" s="4385"/>
      <c r="K27" s="974"/>
      <c r="L27" s="205" t="s">
        <v>746</v>
      </c>
      <c r="M27" s="215">
        <f ca="1">INDIRECT("'数据-取费表'!aa"&amp;$G$1)</f>
        <v>0</v>
      </c>
    </row>
    <row r="28" spans="1:37" s="1022" customFormat="1" ht="18" customHeight="1" thickBot="1">
      <c r="A28" s="3068" t="s">
        <v>3520</v>
      </c>
      <c r="B28" s="2990" t="s">
        <v>3518</v>
      </c>
      <c r="C28" s="3081" t="e">
        <f ca="1">ROUND(C25*(1+F28),0)</f>
        <v>#DIV/0!</v>
      </c>
      <c r="D28" s="3625"/>
      <c r="E28" s="3626" t="str">
        <f>IF(D28="其他类型公式—收益价值×（1+9%）","销项税率","征收率")</f>
        <v>征收率</v>
      </c>
      <c r="F28" s="3627">
        <f>IF(D28="其他类型公式—收益价值×（1+9%）",9%,3%)</f>
        <v>0.03</v>
      </c>
      <c r="G28" s="1021"/>
      <c r="H28" s="218" t="s">
        <v>390</v>
      </c>
      <c r="I28" s="2993" t="s">
        <v>748</v>
      </c>
      <c r="J28" s="3015">
        <f ca="1">ROUND(J25/(1+F25)^F26,0)</f>
        <v>0</v>
      </c>
      <c r="K28" s="72" t="s">
        <v>749</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756</v>
      </c>
      <c r="C29" s="1016" t="e">
        <f ca="1">ROUND(C28*10000/F29,0)</f>
        <v>#DIV/0!</v>
      </c>
      <c r="D29" s="238" t="s">
        <v>3523</v>
      </c>
      <c r="E29" s="239" t="s">
        <v>758</v>
      </c>
      <c r="F29" s="3053">
        <f ca="1">INDIRECT("'数据-取费表'!k"&amp;$G$1)</f>
        <v>0</v>
      </c>
      <c r="G29" s="1021"/>
      <c r="H29" s="235">
        <v>7</v>
      </c>
      <c r="I29" s="3630" t="s">
        <v>3519</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3446</v>
      </c>
      <c r="B31" s="2992" t="s">
        <v>3447</v>
      </c>
      <c r="C31" s="3968">
        <f ca="1">SUM(C32:C37)</f>
        <v>0</v>
      </c>
      <c r="D31" s="3004" t="s">
        <v>3454</v>
      </c>
      <c r="E31" s="3000"/>
      <c r="F31" s="3001"/>
      <c r="G31" s="1011"/>
      <c r="H31" s="3021" t="s">
        <v>3446</v>
      </c>
      <c r="I31" s="3024" t="s">
        <v>3492</v>
      </c>
      <c r="J31" s="3025">
        <f ca="1">C47</f>
        <v>0</v>
      </c>
      <c r="K31" s="3635" t="s">
        <v>3488</v>
      </c>
      <c r="L31" s="3026"/>
      <c r="M31" s="3441"/>
    </row>
    <row r="32" spans="1:37" ht="18" customHeight="1">
      <c r="A32" s="2958" t="s">
        <v>3440</v>
      </c>
      <c r="B32" s="2922" t="s">
        <v>687</v>
      </c>
      <c r="C32" s="2856">
        <f ca="1">INDIRECT("'数据-取费表'!m"&amp;$G$1)+INDIRECT("'数据-取费表'!t"&amp;$G$1)</f>
        <v>0</v>
      </c>
      <c r="D32" s="974" t="s">
        <v>688</v>
      </c>
      <c r="E32" s="974"/>
      <c r="F32" s="234"/>
      <c r="G32" s="1011"/>
      <c r="H32" s="3022" t="s">
        <v>3493</v>
      </c>
      <c r="I32" s="3027" t="s">
        <v>3474</v>
      </c>
      <c r="J32" s="2905">
        <f ca="1">ROUND(J31*(1-M32),0)</f>
        <v>0</v>
      </c>
      <c r="K32" s="205" t="s">
        <v>3477</v>
      </c>
      <c r="L32" s="2977" t="s">
        <v>3495</v>
      </c>
      <c r="M32" s="215">
        <f ca="1">INDIRECT("'数据-取费表'!ad"&amp;$G$1)</f>
        <v>0</v>
      </c>
    </row>
    <row r="33" spans="1:13" ht="18" customHeight="1" thickBot="1">
      <c r="A33" s="2958" t="s">
        <v>3448</v>
      </c>
      <c r="B33" s="2922" t="s">
        <v>690</v>
      </c>
      <c r="C33" s="2961">
        <f ca="1">ROUND(C32*F33,0)</f>
        <v>0</v>
      </c>
      <c r="D33" s="205" t="s">
        <v>691</v>
      </c>
      <c r="E33" s="205" t="s">
        <v>692</v>
      </c>
      <c r="F33" s="3046">
        <f>'数据-取费表'!B33</f>
        <v>0.05</v>
      </c>
      <c r="G33" s="1011"/>
      <c r="H33" s="3023" t="s">
        <v>3494</v>
      </c>
      <c r="I33" s="3028" t="s">
        <v>3476</v>
      </c>
      <c r="J33" s="3029">
        <f ca="1">J31-J32</f>
        <v>0</v>
      </c>
      <c r="K33" s="3002" t="s">
        <v>3522</v>
      </c>
      <c r="L33" s="238"/>
      <c r="M33" s="3030"/>
    </row>
    <row r="34" spans="1:13" ht="18" customHeight="1">
      <c r="A34" s="2958" t="s">
        <v>3449</v>
      </c>
      <c r="B34" s="2922" t="s">
        <v>693</v>
      </c>
      <c r="C34" s="2961">
        <f ca="1">ROUND(INDIRECT("'数据-取费表'!m"&amp;$G$1)*F34,0)</f>
        <v>0</v>
      </c>
      <c r="D34" s="205" t="s">
        <v>691</v>
      </c>
      <c r="E34" s="205" t="s">
        <v>692</v>
      </c>
      <c r="F34" s="3046">
        <f ca="1">IF(INDIRECT("'数据-取费表'!c"&amp;$G$1)="住宅",'数据-取费表'!B34,0)</f>
        <v>0</v>
      </c>
      <c r="G34" s="1011"/>
    </row>
    <row r="35" spans="1:13" ht="18" customHeight="1">
      <c r="A35" s="2958" t="s">
        <v>3450</v>
      </c>
      <c r="B35" s="2922" t="s">
        <v>696</v>
      </c>
      <c r="C35" s="2961">
        <f ca="1">ROUND(F35*(F29+INDIRECT("'数据-取费表'!S"&amp;$G$1))/10000,0)</f>
        <v>0</v>
      </c>
      <c r="D35" s="205" t="s">
        <v>697</v>
      </c>
      <c r="E35" s="205" t="s">
        <v>698</v>
      </c>
      <c r="F35" s="3047">
        <f>'数据-取费表'!B35</f>
        <v>200</v>
      </c>
      <c r="G35" s="1011"/>
    </row>
    <row r="36" spans="1:13" ht="18" customHeight="1">
      <c r="A36" s="2958" t="s">
        <v>3451</v>
      </c>
      <c r="B36" s="2980" t="s">
        <v>3452</v>
      </c>
      <c r="C36" s="2961">
        <f ca="1">ROUND(C32*F36,0)</f>
        <v>0</v>
      </c>
      <c r="D36" s="205" t="s">
        <v>691</v>
      </c>
      <c r="E36" s="205" t="s">
        <v>692</v>
      </c>
      <c r="F36" s="3046">
        <f>'数据-取费表'!B36</f>
        <v>0.01</v>
      </c>
      <c r="G36" s="1011"/>
      <c r="H36" s="62"/>
      <c r="I36" s="62"/>
      <c r="J36" s="62"/>
      <c r="K36" s="1961"/>
      <c r="L36" s="62"/>
      <c r="M36" s="62"/>
    </row>
    <row r="37" spans="1:13" ht="18" customHeight="1">
      <c r="A37" s="2958" t="s">
        <v>3451</v>
      </c>
      <c r="B37" s="2980" t="s">
        <v>3453</v>
      </c>
      <c r="C37" s="2961">
        <f ca="1">ROUND(C32*F37,0)</f>
        <v>0</v>
      </c>
      <c r="D37" s="205" t="s">
        <v>691</v>
      </c>
      <c r="E37" s="205" t="s">
        <v>692</v>
      </c>
      <c r="F37" s="3046">
        <f>'数据-取费表'!B37</f>
        <v>0.01</v>
      </c>
      <c r="G37" s="1011"/>
      <c r="H37" s="62"/>
      <c r="I37" s="62"/>
      <c r="J37" s="62"/>
      <c r="K37" s="1961"/>
      <c r="L37" s="62"/>
      <c r="M37" s="62"/>
    </row>
    <row r="38" spans="1:13" ht="18" customHeight="1">
      <c r="A38" s="218" t="s">
        <v>3461</v>
      </c>
      <c r="B38" s="2993" t="s">
        <v>3462</v>
      </c>
      <c r="C38" s="3015">
        <f ca="1">ROUND(C31*F38,0)</f>
        <v>0</v>
      </c>
      <c r="D38" s="2994" t="s">
        <v>3463</v>
      </c>
      <c r="E38" s="2993" t="s">
        <v>3464</v>
      </c>
      <c r="F38" s="3050">
        <f>'数据-取费表'!B38</f>
        <v>0.02</v>
      </c>
      <c r="G38" s="1011"/>
      <c r="H38" s="62"/>
      <c r="I38" s="62"/>
      <c r="J38" s="62"/>
      <c r="K38" s="1961"/>
      <c r="L38" s="62"/>
      <c r="M38" s="62"/>
    </row>
    <row r="39" spans="1:13" ht="18" customHeight="1">
      <c r="A39" s="218" t="s">
        <v>3465</v>
      </c>
      <c r="B39" s="2993" t="s">
        <v>3466</v>
      </c>
      <c r="C39" s="3969" t="str">
        <f>F39&amp;"V"</f>
        <v>0.02V</v>
      </c>
      <c r="D39" s="2994" t="s">
        <v>3467</v>
      </c>
      <c r="E39" s="2993" t="s">
        <v>3468</v>
      </c>
      <c r="F39" s="3050">
        <f>'数据-取费表'!B39</f>
        <v>0.02</v>
      </c>
      <c r="G39" s="1011"/>
      <c r="H39" s="62"/>
      <c r="I39" s="62"/>
      <c r="J39" s="62"/>
      <c r="K39" s="1961"/>
      <c r="L39" s="62"/>
      <c r="M39" s="62"/>
    </row>
    <row r="40" spans="1:13" ht="18" customHeight="1">
      <c r="A40" s="218" t="s">
        <v>3469</v>
      </c>
      <c r="B40" s="2996" t="s">
        <v>3455</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720</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721</v>
      </c>
      <c r="F41" s="3047">
        <f>'数据-取费表'!B20</f>
        <v>2</v>
      </c>
      <c r="G41" s="1011"/>
      <c r="H41" s="62"/>
      <c r="I41" s="62"/>
      <c r="J41" s="62"/>
      <c r="K41" s="1961"/>
      <c r="L41" s="62"/>
      <c r="M41" s="62"/>
    </row>
    <row r="42" spans="1:13" ht="18" customHeight="1">
      <c r="A42" s="2958" t="s">
        <v>725</v>
      </c>
      <c r="B42" s="205" t="s">
        <v>726</v>
      </c>
      <c r="C42" s="3967">
        <f ca="1">ROUND(IF('数据-取费表'!B22&lt;=1,F39*F42*F41/2,F39*(POWER((1+F42),F41/2)-1)),4)</f>
        <v>5.9999999999999995E-4</v>
      </c>
      <c r="D42" s="72" t="str">
        <f>IF(F41&lt;=1,"销售费用×利率×(建设周期÷2)","销售费用×((1+利率)^(建设周期÷2)-1)")</f>
        <v>销售费用×((1+利率)^(建设周期÷2)-1)</v>
      </c>
      <c r="E42" s="205" t="s">
        <v>727</v>
      </c>
      <c r="F42" s="3045">
        <f ca="1">'数据-取费表'!B41</f>
        <v>3.1300000000000001E-2</v>
      </c>
      <c r="G42" s="1011"/>
      <c r="H42" s="62"/>
      <c r="I42" s="62"/>
      <c r="J42" s="62"/>
      <c r="K42" s="1961"/>
      <c r="L42" s="62"/>
      <c r="M42" s="62"/>
    </row>
    <row r="43" spans="1:13" ht="18" customHeight="1">
      <c r="A43" s="218" t="s">
        <v>3470</v>
      </c>
      <c r="B43" s="2996" t="s">
        <v>3456</v>
      </c>
      <c r="C43" s="3969" t="str">
        <f ca="1">C44&amp;"+"&amp;C45&amp;"V建"</f>
        <v>0+0V建</v>
      </c>
      <c r="D43" s="2942" t="s">
        <v>3471</v>
      </c>
      <c r="E43" s="219"/>
      <c r="F43" s="3047"/>
      <c r="G43" s="1011"/>
      <c r="H43" s="62"/>
      <c r="I43" s="62"/>
      <c r="J43" s="62"/>
      <c r="K43" s="1961"/>
      <c r="L43" s="62"/>
      <c r="M43" s="62"/>
    </row>
    <row r="44" spans="1:13" ht="18" customHeight="1">
      <c r="A44" s="2958" t="s">
        <v>391</v>
      </c>
      <c r="B44" s="205" t="s">
        <v>734</v>
      </c>
      <c r="C44" s="2961">
        <f ca="1">ROUND((C31+C38)*F44,0)</f>
        <v>0</v>
      </c>
      <c r="D44" s="225" t="s">
        <v>735</v>
      </c>
      <c r="E44" s="205" t="s">
        <v>736</v>
      </c>
      <c r="F44" s="3050">
        <f ca="1">INDIRECT("'数据-取费表'!q"&amp;$G$1)</f>
        <v>0</v>
      </c>
      <c r="G44" s="1011"/>
      <c r="H44" s="62"/>
      <c r="I44" s="62"/>
      <c r="J44" s="62"/>
      <c r="K44" s="1961"/>
      <c r="L44" s="62"/>
      <c r="M44" s="62"/>
    </row>
    <row r="45" spans="1:13" ht="18" customHeight="1">
      <c r="A45" s="2958" t="s">
        <v>393</v>
      </c>
      <c r="B45" s="205" t="s">
        <v>740</v>
      </c>
      <c r="C45" s="3970">
        <f ca="1">ROUND(F39*F44,4)</f>
        <v>0</v>
      </c>
      <c r="D45" s="225" t="s">
        <v>741</v>
      </c>
      <c r="E45" s="205"/>
      <c r="F45" s="3046"/>
      <c r="G45" s="1011"/>
      <c r="H45" s="62"/>
      <c r="I45" s="62"/>
      <c r="J45" s="62"/>
      <c r="K45" s="1961"/>
      <c r="L45" s="62"/>
      <c r="M45" s="62"/>
    </row>
    <row r="46" spans="1:13" ht="18" customHeight="1">
      <c r="A46" s="218" t="s">
        <v>3457</v>
      </c>
      <c r="B46" s="2993" t="s">
        <v>3458</v>
      </c>
      <c r="C46" s="3971">
        <f>ROUND(F46/(1+'数据-取费表'!C43),4)</f>
        <v>0</v>
      </c>
      <c r="D46" s="2994"/>
      <c r="E46" s="2993"/>
      <c r="F46" s="3050"/>
      <c r="G46" s="1011"/>
      <c r="H46" s="62"/>
      <c r="I46" s="62"/>
      <c r="J46" s="62"/>
      <c r="K46" s="1961"/>
      <c r="L46" s="62"/>
      <c r="M46" s="62"/>
    </row>
    <row r="47" spans="1:13" s="1011" customFormat="1" ht="18" customHeight="1">
      <c r="A47" s="218" t="s">
        <v>3459</v>
      </c>
      <c r="B47" s="2993" t="s">
        <v>3460</v>
      </c>
      <c r="C47" s="3015">
        <f ca="1">ROUND((C31+C38+C41+C44)/(1-F39-C42-C45-C46),0)</f>
        <v>0</v>
      </c>
      <c r="D47" s="3009" t="s">
        <v>3488</v>
      </c>
      <c r="E47" s="2993"/>
      <c r="F47" s="3050"/>
      <c r="K47" s="1027"/>
    </row>
    <row r="48" spans="1:13" s="1011" customFormat="1" ht="18" customHeight="1">
      <c r="A48" s="2997" t="s">
        <v>3473</v>
      </c>
      <c r="B48" s="2996" t="s">
        <v>3474</v>
      </c>
      <c r="C48" s="3015">
        <f ca="1">ROUND(C47*(1-F48),0)</f>
        <v>0</v>
      </c>
      <c r="D48" s="205" t="s">
        <v>3477</v>
      </c>
      <c r="E48" s="205" t="s">
        <v>686</v>
      </c>
      <c r="F48" s="3046">
        <f ca="1">INDIRECT("'数据-取费表'!y"&amp;$G$1)</f>
        <v>0</v>
      </c>
      <c r="K48" s="1027"/>
    </row>
    <row r="49" spans="1:18" s="1011" customFormat="1" ht="18" customHeight="1" thickBot="1">
      <c r="A49" s="2998" t="s">
        <v>3475</v>
      </c>
      <c r="B49" s="3007" t="s">
        <v>3485</v>
      </c>
      <c r="C49" s="3029">
        <f ca="1">C47-C48</f>
        <v>0</v>
      </c>
      <c r="D49" s="3002" t="s">
        <v>3522</v>
      </c>
      <c r="E49" s="236"/>
      <c r="F49" s="3003"/>
      <c r="K49" s="1027"/>
    </row>
    <row r="50" spans="1:18" s="1011" customFormat="1" ht="18" customHeight="1" thickBot="1">
      <c r="A50" s="1025"/>
      <c r="B50" s="1025"/>
      <c r="C50" s="1026"/>
      <c r="D50" s="1025"/>
      <c r="E50" s="1025"/>
      <c r="F50" s="1025"/>
      <c r="I50" s="3031" t="s">
        <v>3496</v>
      </c>
      <c r="J50" s="528"/>
      <c r="O50" s="2074" t="s">
        <v>788</v>
      </c>
      <c r="P50" s="1084"/>
      <c r="Q50" s="1084"/>
      <c r="R50" s="1084"/>
    </row>
    <row r="51" spans="1:18" s="1011" customFormat="1" ht="13.5" thickBot="1">
      <c r="A51" s="1029" t="s">
        <v>789</v>
      </c>
      <c r="C51" s="3038" t="e">
        <f ca="1">IF(D2="含税",C78-C28,C75-C25)</f>
        <v>#DIV/0!</v>
      </c>
      <c r="D51" s="1031" t="str">
        <f>C2</f>
        <v>万元</v>
      </c>
      <c r="E51" s="1025"/>
      <c r="F51" s="1025"/>
      <c r="I51" s="1032" t="s">
        <v>790</v>
      </c>
      <c r="J51" s="1033"/>
      <c r="K51" s="1034"/>
      <c r="L51" s="3409" t="e">
        <f ca="1">IF(M52="住宅",0,IF(L53&gt;J56,L65,J65))</f>
        <v>#DIV/0!</v>
      </c>
      <c r="O51" s="1036" t="s">
        <v>791</v>
      </c>
      <c r="P51" s="1037" t="s">
        <v>792</v>
      </c>
      <c r="Q51" s="1038" t="s">
        <v>793</v>
      </c>
      <c r="R51" s="1038" t="s">
        <v>794</v>
      </c>
    </row>
    <row r="52" spans="1:18" s="1011" customFormat="1" ht="13.5" thickBot="1">
      <c r="A52" s="675" t="s">
        <v>667</v>
      </c>
      <c r="B52" s="707" t="s">
        <v>668</v>
      </c>
      <c r="C52" s="813" t="s">
        <v>669</v>
      </c>
      <c r="D52" s="707" t="s">
        <v>670</v>
      </c>
      <c r="E52" s="759" t="s">
        <v>671</v>
      </c>
      <c r="F52" s="760"/>
      <c r="G52" s="524"/>
      <c r="I52" s="1039" t="s">
        <v>795</v>
      </c>
      <c r="J52" s="1040"/>
      <c r="K52" s="1041" t="s">
        <v>796</v>
      </c>
      <c r="L52" s="3410">
        <f ca="1">INDIRECT("'数据-取费表'!d"&amp;$G$1)</f>
        <v>0</v>
      </c>
      <c r="M52" s="1007" t="str">
        <f>IF(ISNUMBER(FIND("住宅",C1)),"住宅","非住宅")</f>
        <v>非住宅</v>
      </c>
      <c r="O52" s="1043" t="s">
        <v>397</v>
      </c>
      <c r="P52" s="1044" t="s">
        <v>797</v>
      </c>
      <c r="Q52" s="3419" t="e">
        <f ca="1">C25+J28</f>
        <v>#DIV/0!</v>
      </c>
      <c r="R52" s="1045" t="s">
        <v>798</v>
      </c>
    </row>
    <row r="53" spans="1:18" s="1011" customFormat="1" ht="28.5" thickBot="1">
      <c r="A53" s="807" t="s">
        <v>432</v>
      </c>
      <c r="B53" s="203" t="s">
        <v>672</v>
      </c>
      <c r="C53" s="3032">
        <f ca="1">C54+C58+C60</f>
        <v>0</v>
      </c>
      <c r="D53" s="809"/>
      <c r="E53" s="810"/>
      <c r="F53" s="691"/>
      <c r="G53" s="524"/>
      <c r="H53" s="525"/>
      <c r="I53" s="1046" t="s">
        <v>799</v>
      </c>
      <c r="J53" s="1047"/>
      <c r="K53" s="1048" t="s">
        <v>800</v>
      </c>
      <c r="L53" s="3407">
        <f ca="1">INDIRECT("'数据-取费表'!f"&amp;$G$1)</f>
        <v>0</v>
      </c>
      <c r="O53" s="1043" t="s">
        <v>398</v>
      </c>
      <c r="P53" s="1044" t="s">
        <v>801</v>
      </c>
      <c r="Q53" s="3419" t="e">
        <f ca="1">J65</f>
        <v>#DIV/0!</v>
      </c>
      <c r="R53" s="1045" t="s">
        <v>802</v>
      </c>
    </row>
    <row r="54" spans="1:18" s="1011" customFormat="1" ht="15.75" thickBot="1">
      <c r="A54" s="704" t="s">
        <v>433</v>
      </c>
      <c r="B54" s="998" t="s">
        <v>759</v>
      </c>
      <c r="C54" s="3033">
        <f ca="1">C55-C57</f>
        <v>0</v>
      </c>
      <c r="D54" s="756" t="s">
        <v>2026</v>
      </c>
      <c r="E54" s="3006" t="s">
        <v>3484</v>
      </c>
      <c r="F54" s="3972"/>
      <c r="H54" s="525"/>
      <c r="I54" s="1046" t="s">
        <v>803</v>
      </c>
      <c r="J54" s="3405"/>
      <c r="K54" s="1048" t="s">
        <v>804</v>
      </c>
      <c r="L54" s="3411"/>
      <c r="O54" s="1052" t="s">
        <v>399</v>
      </c>
      <c r="P54" s="1044" t="s">
        <v>805</v>
      </c>
      <c r="Q54" s="3419">
        <f ca="1">C47</f>
        <v>0</v>
      </c>
      <c r="R54" s="1045" t="s">
        <v>798</v>
      </c>
    </row>
    <row r="55" spans="1:18" s="1011" customFormat="1" ht="13.5" thickBot="1">
      <c r="A55" s="705" t="s">
        <v>3482</v>
      </c>
      <c r="B55" s="3005" t="s">
        <v>3480</v>
      </c>
      <c r="C55" s="3034">
        <f ca="1">ROUND(F54*F56*F55/10000,0)</f>
        <v>0</v>
      </c>
      <c r="D55" s="682"/>
      <c r="E55" s="757" t="s">
        <v>677</v>
      </c>
      <c r="F55" s="3973">
        <f ca="1">F7</f>
        <v>0</v>
      </c>
      <c r="H55" s="525"/>
      <c r="I55" s="1046" t="s">
        <v>806</v>
      </c>
      <c r="J55" s="3416">
        <f>SUMPRODUCT((I68:I70=J52)*(J67:L67=J53)*(J68:L70))</f>
        <v>0</v>
      </c>
      <c r="K55" s="1048" t="s">
        <v>807</v>
      </c>
      <c r="L55" s="3411"/>
      <c r="M55" s="1054"/>
      <c r="O55" s="1052" t="s">
        <v>400</v>
      </c>
      <c r="P55" s="1044" t="s">
        <v>808</v>
      </c>
      <c r="Q55" s="1055" t="e">
        <f ca="1">J63</f>
        <v>#DIV/0!</v>
      </c>
      <c r="R55" s="1045"/>
    </row>
    <row r="56" spans="1:18" s="1011" customFormat="1" ht="13.5" thickBot="1">
      <c r="A56" s="706"/>
      <c r="B56" s="708"/>
      <c r="C56" s="3035"/>
      <c r="D56" s="682"/>
      <c r="E56" s="710" t="s">
        <v>678</v>
      </c>
      <c r="F56" s="3964">
        <f ca="1">F8</f>
        <v>0</v>
      </c>
      <c r="I56" s="1056" t="s">
        <v>809</v>
      </c>
      <c r="J56" s="3407">
        <f>IF(J54="",J55,J54+J55-YEAR('数据-取费表'!B2))</f>
        <v>0</v>
      </c>
      <c r="K56" s="1057" t="s">
        <v>810</v>
      </c>
      <c r="L56" s="3412">
        <f ca="1">ROUND(-PV(INDIRECT("'数据-取费表'!h"&amp;$G$1),J56,(C24-C48*C83),0),0)</f>
        <v>0</v>
      </c>
      <c r="M56" s="1059"/>
      <c r="O56" s="1052" t="s">
        <v>401</v>
      </c>
      <c r="P56" s="1044" t="s">
        <v>811</v>
      </c>
      <c r="Q56" s="1055">
        <f>J57</f>
        <v>0</v>
      </c>
      <c r="R56" s="1045"/>
    </row>
    <row r="57" spans="1:18" s="1011" customFormat="1" ht="13.5" thickBot="1">
      <c r="A57" s="706" t="s">
        <v>3483</v>
      </c>
      <c r="B57" s="3005" t="s">
        <v>3481</v>
      </c>
      <c r="C57" s="3035">
        <f ca="1">ROUND(C55*F57,0)</f>
        <v>0</v>
      </c>
      <c r="D57" s="682"/>
      <c r="E57" s="710" t="s">
        <v>679</v>
      </c>
      <c r="F57" s="3042"/>
      <c r="I57" s="1060" t="s">
        <v>812</v>
      </c>
      <c r="J57" s="1061"/>
      <c r="K57" s="1060" t="s">
        <v>813</v>
      </c>
      <c r="L57" s="1061"/>
      <c r="O57" s="1052" t="s">
        <v>402</v>
      </c>
      <c r="P57" s="1044" t="s">
        <v>814</v>
      </c>
      <c r="Q57" s="3418">
        <f ca="1">J58</f>
        <v>0</v>
      </c>
      <c r="R57" s="1045" t="s">
        <v>815</v>
      </c>
    </row>
    <row r="58" spans="1:18" s="1011" customFormat="1" ht="24.75" thickBot="1">
      <c r="A58" s="828" t="s">
        <v>434</v>
      </c>
      <c r="B58" s="1000" t="s">
        <v>680</v>
      </c>
      <c r="C58" s="3015">
        <f ca="1">ROUND(IF(F58="押一",C54/12*F11,IF(F58="押二",C54/12*2*F11,IF(F58="押三",C54/12*3*F11,C59*F11))),0)</f>
        <v>0</v>
      </c>
      <c r="D58" s="77" t="s">
        <v>2032</v>
      </c>
      <c r="E58" s="216" t="s">
        <v>681</v>
      </c>
      <c r="F58" s="3974"/>
      <c r="I58" s="1062" t="s">
        <v>816</v>
      </c>
      <c r="J58" s="3408">
        <f ca="1">IF(M52="住宅",IF(D1="——",MAX(J56,L53),MAX(J56,L53-'数据-取费表'!B24)),IF(D1="——",MIN(J56,L53),MIN(J56,L53-'数据-取费表'!B24)))</f>
        <v>0</v>
      </c>
      <c r="K58" s="4374" t="s">
        <v>817</v>
      </c>
      <c r="L58" s="4375"/>
      <c r="O58" s="1043" t="s">
        <v>403</v>
      </c>
      <c r="P58" s="1044" t="s">
        <v>818</v>
      </c>
      <c r="Q58" s="3419" t="e">
        <f ca="1">Q52+Q53</f>
        <v>#DIV/0!</v>
      </c>
      <c r="R58" s="1045" t="s">
        <v>404</v>
      </c>
    </row>
    <row r="59" spans="1:18" s="1011" customFormat="1" ht="13.5" thickBot="1">
      <c r="A59" s="829"/>
      <c r="B59" s="994" t="s">
        <v>659</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819</v>
      </c>
      <c r="P59" s="1008"/>
      <c r="Q59" s="1008"/>
      <c r="R59" s="1008"/>
    </row>
    <row r="60" spans="1:18" s="1011" customFormat="1" ht="13.5" thickBot="1">
      <c r="A60" s="783" t="s">
        <v>431</v>
      </c>
      <c r="B60" s="996" t="s">
        <v>683</v>
      </c>
      <c r="C60" s="3017"/>
      <c r="D60" s="77"/>
      <c r="E60" s="1001"/>
      <c r="F60" s="1063"/>
      <c r="I60" s="1066" t="s">
        <v>820</v>
      </c>
      <c r="J60" s="1067" t="e">
        <f ca="1">ROUND(IF(J52="钢混",J62/J55,1-(1-2%)*(J55-J62)/J55),3)</f>
        <v>#DIV/0!</v>
      </c>
      <c r="K60" s="1068" t="s">
        <v>821</v>
      </c>
      <c r="L60" s="1069"/>
      <c r="O60" s="1036" t="s">
        <v>791</v>
      </c>
      <c r="P60" s="1037" t="s">
        <v>792</v>
      </c>
      <c r="Q60" s="1038" t="s">
        <v>793</v>
      </c>
      <c r="R60" s="1038" t="s">
        <v>794</v>
      </c>
    </row>
    <row r="61" spans="1:18" s="1011" customFormat="1" ht="25.5" thickTop="1" thickBot="1">
      <c r="A61" s="686">
        <v>2</v>
      </c>
      <c r="B61" s="3008" t="s">
        <v>3486</v>
      </c>
      <c r="C61" s="2680">
        <f ca="1">C49</f>
        <v>0</v>
      </c>
      <c r="D61" s="1070"/>
      <c r="E61" s="1071"/>
      <c r="F61" s="1063"/>
      <c r="I61" s="1072" t="s">
        <v>822</v>
      </c>
      <c r="J61" s="1073"/>
      <c r="K61" s="1046" t="s">
        <v>823</v>
      </c>
      <c r="L61" s="3407">
        <f ca="1">IF(L53&lt;J56,"——",L53-J58)</f>
        <v>0</v>
      </c>
      <c r="O61" s="1043" t="s">
        <v>397</v>
      </c>
      <c r="P61" s="1044" t="s">
        <v>797</v>
      </c>
      <c r="Q61" s="3419" t="e">
        <f ca="1">C25+J28</f>
        <v>#DIV/0!</v>
      </c>
      <c r="R61" s="1045" t="s">
        <v>798</v>
      </c>
    </row>
    <row r="62" spans="1:18" s="1011" customFormat="1" ht="24.75" thickBot="1">
      <c r="A62" s="1074"/>
      <c r="B62" s="679" t="s">
        <v>747</v>
      </c>
      <c r="C62" s="3036">
        <f ca="1">C47</f>
        <v>0</v>
      </c>
      <c r="D62" s="3010" t="s">
        <v>3488</v>
      </c>
      <c r="E62" s="1076"/>
      <c r="F62" s="1077"/>
      <c r="I62" s="1078" t="s">
        <v>824</v>
      </c>
      <c r="J62" s="3976">
        <f ca="1">IF(OR(M52="住宅",J56&lt;L53,J61="是"),"——",J56-L53)</f>
        <v>0</v>
      </c>
      <c r="K62" s="1046" t="s">
        <v>825</v>
      </c>
      <c r="L62" s="3417">
        <f ca="1">IF(L53&lt;J56,"——",IF(L60="比较法",L54,IF(L60="基准地价",L55,L56)))</f>
        <v>0</v>
      </c>
      <c r="O62" s="1043" t="s">
        <v>398</v>
      </c>
      <c r="P62" s="1044" t="s">
        <v>826</v>
      </c>
      <c r="Q62" s="3418" t="e">
        <f ca="1">L65</f>
        <v>#DIV/0!</v>
      </c>
      <c r="R62" s="1045" t="s">
        <v>827</v>
      </c>
    </row>
    <row r="63" spans="1:18" s="1011" customFormat="1" ht="24.75" thickBot="1">
      <c r="A63" s="218" t="s">
        <v>387</v>
      </c>
      <c r="B63" s="687" t="s">
        <v>694</v>
      </c>
      <c r="C63" s="3015">
        <f ca="1">ROUND(C64+C71+C72+C73,0)</f>
        <v>0</v>
      </c>
      <c r="D63" s="689" t="s">
        <v>695</v>
      </c>
      <c r="E63" s="690"/>
      <c r="F63" s="691"/>
      <c r="I63" s="1078" t="s">
        <v>828</v>
      </c>
      <c r="J63" s="1080" t="e">
        <f ca="1">IF(J60&lt;0.4,0.4,J60)</f>
        <v>#DIV/0!</v>
      </c>
      <c r="K63" s="1057" t="s">
        <v>829</v>
      </c>
      <c r="L63" s="3417" t="e">
        <f ca="1">ROUND(POWER(1+L57,L52-L53)*(POWER(1+L57,L53)-1)/(POWER(1+L57,L52)-1),4)</f>
        <v>#DIV/0!</v>
      </c>
      <c r="O63" s="1052" t="s">
        <v>399</v>
      </c>
      <c r="P63" s="1044" t="s">
        <v>830</v>
      </c>
      <c r="Q63" s="3418">
        <f>IF(L60="比较法",L54,IF(L60="基准地价",L55,0))</f>
        <v>0</v>
      </c>
      <c r="R63" s="1045" t="s">
        <v>798</v>
      </c>
    </row>
    <row r="64" spans="1:18" s="1011" customFormat="1" ht="24.75" thickBot="1">
      <c r="A64" s="711" t="s">
        <v>392</v>
      </c>
      <c r="B64" s="679" t="s">
        <v>699</v>
      </c>
      <c r="C64" s="2983">
        <f ca="1">ROUND(IF(AND(项目基本情况!B11="自然人",项目基本情况!B10="北京市"),C54*F64,C65+C68+C69),2)</f>
        <v>0</v>
      </c>
      <c r="D64" s="692" t="s">
        <v>3490</v>
      </c>
      <c r="E64" s="693" t="s">
        <v>701</v>
      </c>
      <c r="F64" s="3044">
        <f ca="1">IF(项目基本情况!B11="企业","——",IF('数据-取费表'!B10="住宅",IF(F54*F55*F56/12/(1+'数据-取费表'!F30)&gt;100000,4%,2.5%),IF(F54*F55*F56/12/(1+'数据-取费表'!F30)&gt;100000,12%,7%)))</f>
        <v>7.0000000000000007E-2</v>
      </c>
      <c r="I64" s="1078" t="s">
        <v>831</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832</v>
      </c>
      <c r="Q64" s="1055">
        <f>L57</f>
        <v>0</v>
      </c>
      <c r="R64" s="1045"/>
    </row>
    <row r="65" spans="1:18" s="1011" customFormat="1" ht="16.5" thickBot="1">
      <c r="A65" s="711" t="s">
        <v>391</v>
      </c>
      <c r="B65" s="2975" t="s">
        <v>3441</v>
      </c>
      <c r="C65" s="2960">
        <f ca="1">ROUND((C66-C67)*(1+F65),2)</f>
        <v>0</v>
      </c>
      <c r="D65" s="3011" t="s">
        <v>3489</v>
      </c>
      <c r="E65" s="205" t="s">
        <v>3478</v>
      </c>
      <c r="F65" s="3045">
        <f>F15</f>
        <v>0.1</v>
      </c>
      <c r="I65" s="1081" t="s">
        <v>833</v>
      </c>
      <c r="J65" s="3415" t="e">
        <f ca="1">IF(OR(M52="住宅",J56&lt;L53,J61="是"),"0",IF(D2="含税",ROUND((J64/(1+J57)^J58)*(1+M16),0),ROUND(J64/(1+J57)^J58,0)))</f>
        <v>#DIV/0!</v>
      </c>
      <c r="K65" s="1083" t="s">
        <v>834</v>
      </c>
      <c r="L65" s="3415" t="e">
        <f ca="1">IF(OR(M52="住宅",L53&lt;J56),0,IF(D2="含税",ROUND((L62*(L63/L64-1))*(1+M16),0),ROUND(L62*(L63/L64-1),0)))</f>
        <v>#DIV/0!</v>
      </c>
      <c r="O65" s="1052" t="s">
        <v>401</v>
      </c>
      <c r="P65" s="1044" t="s">
        <v>835</v>
      </c>
      <c r="Q65" s="3977" t="e">
        <f ca="1">L63</f>
        <v>#DIV/0!</v>
      </c>
      <c r="R65" s="1045" t="s">
        <v>836</v>
      </c>
    </row>
    <row r="66" spans="1:18" s="1011" customFormat="1" ht="13.5" thickBot="1">
      <c r="A66" s="711"/>
      <c r="B66" s="2980" t="s">
        <v>3442</v>
      </c>
      <c r="C66" s="2960">
        <f ca="1">ROUND(C54*F66,2)</f>
        <v>0</v>
      </c>
      <c r="D66" s="1070"/>
      <c r="E66" s="2988" t="s">
        <v>3444</v>
      </c>
      <c r="F66" s="3045">
        <f t="shared" ref="F66:F67" si="0">F16</f>
        <v>0.09</v>
      </c>
      <c r="I66" s="1084"/>
      <c r="J66" s="1084"/>
      <c r="K66" s="1084"/>
      <c r="L66" s="1084"/>
      <c r="O66" s="1052" t="s">
        <v>402</v>
      </c>
      <c r="P66" s="1044" t="str">
        <f>K64</f>
        <v>建筑物剩余耐用年限下的土地年期修正系数Kn</v>
      </c>
      <c r="Q66" s="3977" t="e">
        <f ca="1">L64</f>
        <v>#DIV/0!</v>
      </c>
      <c r="R66" s="1045" t="s">
        <v>837</v>
      </c>
    </row>
    <row r="67" spans="1:18" s="1011" customFormat="1" ht="13.5" thickBot="1">
      <c r="A67" s="711"/>
      <c r="B67" s="2980" t="s">
        <v>3443</v>
      </c>
      <c r="C67" s="2960">
        <f ca="1">ROUND(C71*F66+((C72+C73)*F67),2)</f>
        <v>0</v>
      </c>
      <c r="D67" s="2989" t="s">
        <v>3445</v>
      </c>
      <c r="E67" s="2989"/>
      <c r="F67" s="3045">
        <f t="shared" si="0"/>
        <v>0.06</v>
      </c>
      <c r="I67" s="1085" t="s">
        <v>838</v>
      </c>
      <c r="J67" s="1086" t="s">
        <v>839</v>
      </c>
      <c r="K67" s="1086" t="s">
        <v>840</v>
      </c>
      <c r="L67" s="1086" t="s">
        <v>841</v>
      </c>
      <c r="M67" s="1087" t="s">
        <v>842</v>
      </c>
      <c r="O67" s="1043" t="s">
        <v>403</v>
      </c>
      <c r="P67" s="1044" t="s">
        <v>843</v>
      </c>
      <c r="Q67" s="3418" t="e">
        <f ca="1">Q61+Q62</f>
        <v>#DIV/0!</v>
      </c>
      <c r="R67" s="1045" t="s">
        <v>404</v>
      </c>
    </row>
    <row r="68" spans="1:18" s="1011" customFormat="1" ht="13.5" thickBot="1">
      <c r="A68" s="711" t="s">
        <v>761</v>
      </c>
      <c r="B68" s="679" t="s">
        <v>762</v>
      </c>
      <c r="C68" s="2960">
        <f ca="1">IF(项目基本情况!B11="自然人","——",IF(D68="按不含税租金收入计税",ROUND(C54*F68/(1+'数据-取费表'!C43),2),IF(D68="按房产原值计税",ROUND(C62*F68*0.7,2),INDIRECT("'数据-取费表'!Aj"&amp;$G$1))))</f>
        <v>0</v>
      </c>
      <c r="D68" s="997"/>
      <c r="E68" s="679" t="s">
        <v>763</v>
      </c>
      <c r="F68" s="3046">
        <f t="shared" ref="F68:F73" si="1">F18</f>
        <v>1.2E-2</v>
      </c>
      <c r="I68" s="1085" t="s">
        <v>844</v>
      </c>
      <c r="J68" s="242">
        <v>70</v>
      </c>
      <c r="K68" s="242">
        <v>50</v>
      </c>
      <c r="L68" s="242">
        <v>80</v>
      </c>
      <c r="M68" s="1088">
        <v>0.02</v>
      </c>
      <c r="O68" s="1028" t="s">
        <v>845</v>
      </c>
      <c r="P68" s="1008"/>
      <c r="Q68" s="1008"/>
      <c r="R68" s="1008"/>
    </row>
    <row r="69" spans="1:18" s="1011" customFormat="1" ht="13.5" thickBot="1">
      <c r="A69" s="711" t="s">
        <v>764</v>
      </c>
      <c r="B69" s="678" t="s">
        <v>765</v>
      </c>
      <c r="C69" s="2984">
        <f ca="1">IF(项目基本情况!B11="自然人","——",ROUND(F69*F70/10000,2))</f>
        <v>0</v>
      </c>
      <c r="D69" s="694" t="s">
        <v>766</v>
      </c>
      <c r="E69" s="679" t="s">
        <v>767</v>
      </c>
      <c r="F69" s="3975">
        <f t="shared" si="1"/>
        <v>1.5</v>
      </c>
      <c r="I69" s="1085" t="s">
        <v>846</v>
      </c>
      <c r="J69" s="242">
        <v>50</v>
      </c>
      <c r="K69" s="242">
        <v>35</v>
      </c>
      <c r="L69" s="242">
        <v>60</v>
      </c>
      <c r="M69" s="1087">
        <v>0</v>
      </c>
      <c r="O69" s="1036" t="s">
        <v>791</v>
      </c>
      <c r="P69" s="1037" t="s">
        <v>792</v>
      </c>
      <c r="Q69" s="1038" t="s">
        <v>793</v>
      </c>
      <c r="R69" s="1038" t="s">
        <v>794</v>
      </c>
    </row>
    <row r="70" spans="1:18" s="1011" customFormat="1" ht="13.5" thickBot="1">
      <c r="A70" s="228"/>
      <c r="B70" s="685"/>
      <c r="C70" s="2985"/>
      <c r="D70" s="695"/>
      <c r="E70" s="679" t="s">
        <v>768</v>
      </c>
      <c r="F70" s="3404">
        <f t="shared" ca="1" si="1"/>
        <v>0</v>
      </c>
      <c r="I70" s="1085" t="s">
        <v>847</v>
      </c>
      <c r="J70" s="242">
        <v>40</v>
      </c>
      <c r="K70" s="242">
        <v>30</v>
      </c>
      <c r="L70" s="242">
        <v>50</v>
      </c>
      <c r="M70" s="1088">
        <v>0.02</v>
      </c>
      <c r="O70" s="1043" t="s">
        <v>397</v>
      </c>
      <c r="P70" s="1044" t="s">
        <v>848</v>
      </c>
      <c r="Q70" s="3419" t="e">
        <f ca="1">C25+J28</f>
        <v>#DIV/0!</v>
      </c>
      <c r="R70" s="1045" t="s">
        <v>798</v>
      </c>
    </row>
    <row r="71" spans="1:18" s="1011" customFormat="1" ht="16.5" thickBot="1">
      <c r="A71" s="711" t="s">
        <v>769</v>
      </c>
      <c r="B71" s="679" t="s">
        <v>770</v>
      </c>
      <c r="C71" s="2960">
        <f ca="1">ROUND(C62*F71,2)</f>
        <v>0</v>
      </c>
      <c r="D71" s="693" t="s">
        <v>3479</v>
      </c>
      <c r="E71" s="679" t="s">
        <v>763</v>
      </c>
      <c r="F71" s="3048">
        <f t="shared" ca="1" si="1"/>
        <v>0</v>
      </c>
      <c r="O71" s="1043" t="s">
        <v>398</v>
      </c>
      <c r="P71" s="1044" t="s">
        <v>826</v>
      </c>
      <c r="Q71" s="3418" t="e">
        <f ca="1">L65</f>
        <v>#DIV/0!</v>
      </c>
      <c r="R71" s="1045" t="s">
        <v>849</v>
      </c>
    </row>
    <row r="72" spans="1:18" s="1011" customFormat="1" ht="16.5" thickBot="1">
      <c r="A72" s="711" t="s">
        <v>772</v>
      </c>
      <c r="B72" s="679" t="s">
        <v>722</v>
      </c>
      <c r="C72" s="2960">
        <f ca="1">ROUND(C61*F72,2)</f>
        <v>0</v>
      </c>
      <c r="D72" s="693" t="s">
        <v>3487</v>
      </c>
      <c r="E72" s="679" t="s">
        <v>724</v>
      </c>
      <c r="F72" s="3049">
        <f t="shared" ca="1" si="1"/>
        <v>0</v>
      </c>
      <c r="O72" s="1052" t="s">
        <v>399</v>
      </c>
      <c r="P72" s="1044" t="s">
        <v>830</v>
      </c>
      <c r="Q72" s="3419">
        <f ca="1">L56</f>
        <v>0</v>
      </c>
      <c r="R72" s="1045" t="s">
        <v>850</v>
      </c>
    </row>
    <row r="73" spans="1:18" s="1011" customFormat="1" ht="16.5" thickBot="1">
      <c r="A73" s="711" t="s">
        <v>773</v>
      </c>
      <c r="B73" s="679" t="s">
        <v>708</v>
      </c>
      <c r="C73" s="2960">
        <f ca="1">ROUND(C53*F73,2)</f>
        <v>0</v>
      </c>
      <c r="D73" s="693" t="s">
        <v>774</v>
      </c>
      <c r="E73" s="679" t="s">
        <v>692</v>
      </c>
      <c r="F73" s="3050">
        <f t="shared" ca="1" si="1"/>
        <v>0</v>
      </c>
      <c r="O73" s="1052" t="s">
        <v>400</v>
      </c>
      <c r="P73" s="1090" t="s">
        <v>851</v>
      </c>
      <c r="Q73" s="3419">
        <f ca="1">ROUND(Q74-Q75*Q76,0)</f>
        <v>0</v>
      </c>
      <c r="R73" s="1045" t="s">
        <v>408</v>
      </c>
    </row>
    <row r="74" spans="1:18" s="1011" customFormat="1" ht="13.5" thickBot="1">
      <c r="A74" s="686" t="s">
        <v>388</v>
      </c>
      <c r="B74" s="696" t="s">
        <v>732</v>
      </c>
      <c r="C74" s="3015">
        <f ca="1">C53-C63</f>
        <v>0</v>
      </c>
      <c r="D74" s="692" t="s">
        <v>733</v>
      </c>
      <c r="E74" s="697"/>
      <c r="F74" s="3051"/>
      <c r="O74" s="1052" t="s">
        <v>405</v>
      </c>
      <c r="P74" s="1090" t="s">
        <v>852</v>
      </c>
      <c r="Q74" s="3419">
        <f ca="1">C24</f>
        <v>0</v>
      </c>
      <c r="R74" s="1045" t="s">
        <v>798</v>
      </c>
    </row>
    <row r="75" spans="1:18" s="1011" customFormat="1" ht="13.5" thickBot="1">
      <c r="A75" s="3073" t="s">
        <v>389</v>
      </c>
      <c r="B75" s="677" t="s">
        <v>754</v>
      </c>
      <c r="C75" s="3020">
        <f ca="1">ROUND(C74*(1-((1+F77)/(1+F75))^F76)/(F75-F77),0)</f>
        <v>0</v>
      </c>
      <c r="D75" s="3070" t="s">
        <v>738</v>
      </c>
      <c r="E75" s="679" t="s">
        <v>739</v>
      </c>
      <c r="F75" s="3050">
        <f ca="1">F25</f>
        <v>0</v>
      </c>
      <c r="O75" s="1052" t="s">
        <v>406</v>
      </c>
      <c r="P75" s="1090" t="s">
        <v>853</v>
      </c>
      <c r="Q75" s="3419">
        <f ca="1">C48</f>
        <v>0</v>
      </c>
      <c r="R75" s="1045" t="s">
        <v>798</v>
      </c>
    </row>
    <row r="76" spans="1:18" s="1011" customFormat="1" ht="13.5" thickBot="1">
      <c r="A76" s="3074"/>
      <c r="B76" s="681"/>
      <c r="C76" s="3037"/>
      <c r="D76" s="3071" t="s">
        <v>742</v>
      </c>
      <c r="E76" s="679" t="s">
        <v>743</v>
      </c>
      <c r="F76" s="3052">
        <f ca="1">F26</f>
        <v>0</v>
      </c>
      <c r="O76" s="1052" t="s">
        <v>407</v>
      </c>
      <c r="P76" s="1090" t="s">
        <v>854</v>
      </c>
      <c r="Q76" s="1055">
        <f ca="1">C83</f>
        <v>0</v>
      </c>
      <c r="R76" s="1045"/>
    </row>
    <row r="77" spans="1:18" s="1011" customFormat="1" ht="13.5" thickBot="1">
      <c r="A77" s="1075"/>
      <c r="B77" s="3072"/>
      <c r="C77" s="3072"/>
      <c r="D77" s="3069"/>
      <c r="E77" s="679" t="s">
        <v>746</v>
      </c>
      <c r="F77" s="3042">
        <v>0.02</v>
      </c>
      <c r="O77" s="1052" t="s">
        <v>401</v>
      </c>
      <c r="P77" s="1044" t="s">
        <v>832</v>
      </c>
      <c r="Q77" s="1055">
        <f>L57</f>
        <v>0</v>
      </c>
      <c r="R77" s="1045"/>
    </row>
    <row r="78" spans="1:18" ht="16.5" thickBot="1">
      <c r="A78" s="683"/>
      <c r="B78" s="3013" t="s">
        <v>3491</v>
      </c>
      <c r="C78" s="3019">
        <f ca="1">ROUND(C75*(1+F28),0)</f>
        <v>0</v>
      </c>
      <c r="D78" s="3628">
        <f>D28</f>
        <v>0</v>
      </c>
      <c r="E78" s="1008"/>
      <c r="F78" s="1008"/>
      <c r="O78" s="1052" t="s">
        <v>402</v>
      </c>
      <c r="P78" s="1044" t="s">
        <v>835</v>
      </c>
      <c r="Q78" s="3420" t="e">
        <f ca="1">L63</f>
        <v>#DIV/0!</v>
      </c>
      <c r="R78" s="1045" t="s">
        <v>836</v>
      </c>
    </row>
    <row r="79" spans="1:18" ht="13.5" thickBot="1">
      <c r="A79" s="700" t="s">
        <v>390</v>
      </c>
      <c r="B79" s="701" t="s">
        <v>756</v>
      </c>
      <c r="C79" s="3029" t="e">
        <f ca="1">ROUND(C78*10000/F79,0)</f>
        <v>#DIV/0!</v>
      </c>
      <c r="D79" s="702" t="s">
        <v>3523</v>
      </c>
      <c r="E79" s="703" t="s">
        <v>758</v>
      </c>
      <c r="F79" s="3053">
        <f ca="1">F29</f>
        <v>0</v>
      </c>
      <c r="O79" s="1052" t="s">
        <v>409</v>
      </c>
      <c r="P79" s="1044" t="str">
        <f>K64</f>
        <v>建筑物剩余耐用年限下的土地年期修正系数Kn</v>
      </c>
      <c r="Q79" s="3420" t="e">
        <f ca="1">L64</f>
        <v>#DIV/0!</v>
      </c>
      <c r="R79" s="1045" t="s">
        <v>837</v>
      </c>
    </row>
    <row r="80" spans="1:18" ht="13.5" thickBot="1">
      <c r="A80" s="1011"/>
      <c r="B80" s="528"/>
      <c r="C80" s="528"/>
      <c r="D80" s="1011"/>
      <c r="E80" s="1011"/>
      <c r="F80" s="1011"/>
      <c r="K80" s="1027"/>
      <c r="L80" s="1011"/>
      <c r="O80" s="1043" t="s">
        <v>403</v>
      </c>
      <c r="P80" s="1044" t="s">
        <v>818</v>
      </c>
      <c r="Q80" s="3419" t="e">
        <f ca="1">Q70+Q71</f>
        <v>#DIV/0!</v>
      </c>
      <c r="R80" s="1045" t="s">
        <v>404</v>
      </c>
    </row>
    <row r="81" spans="1:12">
      <c r="A81" s="1011"/>
      <c r="B81" s="187" t="s">
        <v>855</v>
      </c>
      <c r="C81" s="1092"/>
      <c r="D81" s="1011"/>
      <c r="E81" s="1011"/>
      <c r="F81" s="1011"/>
      <c r="I81" s="1011"/>
      <c r="J81" s="1011"/>
      <c r="K81" s="1027"/>
      <c r="L81" s="1011"/>
    </row>
    <row r="82" spans="1:12">
      <c r="A82" s="1011"/>
      <c r="B82" s="241" t="s">
        <v>775</v>
      </c>
      <c r="C82" s="3125">
        <f ca="1">ROUND(C48*C83,0)</f>
        <v>0</v>
      </c>
      <c r="D82" s="1011"/>
      <c r="E82" s="1011"/>
      <c r="F82" s="1011"/>
      <c r="I82" s="1011"/>
      <c r="J82" s="1011"/>
      <c r="K82" s="1027"/>
      <c r="L82" s="1011"/>
    </row>
    <row r="83" spans="1:12">
      <c r="B83" s="243" t="s">
        <v>776</v>
      </c>
      <c r="C83" s="2995">
        <f ca="1">INDIRECT("'数据-取费表'!j"&amp;$G$1)</f>
        <v>0</v>
      </c>
    </row>
    <row r="84" spans="1:12">
      <c r="B84" s="245" t="s">
        <v>777</v>
      </c>
      <c r="C84" s="246"/>
    </row>
    <row r="85" spans="1:12">
      <c r="B85" s="184" t="s">
        <v>778</v>
      </c>
      <c r="C85" s="247"/>
    </row>
    <row r="86" spans="1:12">
      <c r="B86" s="241" t="s">
        <v>779</v>
      </c>
      <c r="C86" s="3126" t="e">
        <f ca="1">1-C87</f>
        <v>#DIV/0!</v>
      </c>
    </row>
    <row r="87" spans="1:12">
      <c r="B87" s="241" t="s">
        <v>780</v>
      </c>
      <c r="C87" s="3126" t="e">
        <f ca="1">ROUND(C82/C24,3)</f>
        <v>#DIV/0!</v>
      </c>
    </row>
    <row r="88" spans="1:12">
      <c r="B88" s="184" t="s">
        <v>781</v>
      </c>
      <c r="C88" s="152"/>
    </row>
    <row r="89" spans="1:12">
      <c r="B89" s="187" t="s">
        <v>782</v>
      </c>
      <c r="C89" s="3127" t="e">
        <f ca="1">1-C90</f>
        <v>#DIV/0!</v>
      </c>
    </row>
    <row r="90" spans="1:12">
      <c r="B90" s="187" t="s">
        <v>783</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600-000000000000}">
      <formula1>"按不含税租金收入计税,按房产原值计税"</formula1>
    </dataValidation>
    <dataValidation type="list" allowBlank="1" showInputMessage="1" showErrorMessage="1" sqref="D68 D18" xr:uid="{00000000-0002-0000-1600-000001000000}">
      <formula1>"按不含税租金收入计税,按房产原值计税,按票据"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2" xr:uid="{00000000-0002-0000-1600-000003000000}">
      <formula1>"钢,钢混,砖混"</formula1>
    </dataValidation>
    <dataValidation type="list" allowBlank="1" showInputMessage="1" showErrorMessage="1" sqref="J53" xr:uid="{00000000-0002-0000-1600-000004000000}">
      <formula1>"非生产用房,生产用房,受腐蚀的生产用房"</formula1>
    </dataValidation>
    <dataValidation type="list" allowBlank="1" showInputMessage="1" showErrorMessage="1" sqref="J61" xr:uid="{00000000-0002-0000-1600-000005000000}">
      <formula1>估价范围判定</formula1>
    </dataValidation>
    <dataValidation type="list" allowBlank="1" showInputMessage="1" showErrorMessage="1" sqref="L60" xr:uid="{00000000-0002-0000-1600-000006000000}">
      <formula1>"比较法,基准地价,收益还原"</formula1>
    </dataValidation>
    <dataValidation type="list" allowBlank="1" showInputMessage="1" showErrorMessage="1" sqref="M10 F10 F58"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1580</v>
      </c>
      <c r="B1" s="1437" t="s">
        <v>1581</v>
      </c>
      <c r="C1" s="896" t="s">
        <v>1582</v>
      </c>
      <c r="D1" s="883"/>
      <c r="E1" s="2623"/>
      <c r="F1" s="1438"/>
      <c r="G1" s="893" t="s">
        <v>1583</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665</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1584</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666</v>
      </c>
      <c r="B3" s="3175">
        <f>IF(E2="——",C49,ROUND(B2*10000/D3,0))</f>
        <v>0</v>
      </c>
      <c r="C3" s="253" t="s">
        <v>1585</v>
      </c>
      <c r="D3" s="3177">
        <f>IF(D1="",'数据-汇总表'!E3,SUMIF('数据-汇总表'!$C19:$C33,D1,'数据-汇总表'!$E19:$E33))</f>
        <v>145.47</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1586</v>
      </c>
      <c r="B4" s="255"/>
      <c r="C4" s="4407" t="s">
        <v>1587</v>
      </c>
      <c r="D4" s="4408"/>
      <c r="E4" s="4409" t="s">
        <v>1588</v>
      </c>
      <c r="F4" s="4410"/>
      <c r="G4" s="4407" t="s">
        <v>1589</v>
      </c>
      <c r="H4" s="4408"/>
      <c r="I4" s="4407" t="s">
        <v>1590</v>
      </c>
      <c r="J4" s="4408"/>
      <c r="K4" s="3103" t="s">
        <v>1591</v>
      </c>
      <c r="L4" s="2083"/>
      <c r="M4" s="2084"/>
      <c r="N4" s="2084"/>
      <c r="O4" s="2084"/>
      <c r="P4" s="4411" t="s">
        <v>1592</v>
      </c>
      <c r="Q4" s="4412"/>
      <c r="R4" s="4417" t="s">
        <v>1588</v>
      </c>
      <c r="S4" s="4418"/>
      <c r="T4" s="4417" t="s">
        <v>1589</v>
      </c>
      <c r="U4" s="4418"/>
      <c r="V4" s="4423" t="s">
        <v>1590</v>
      </c>
      <c r="W4" s="4423"/>
      <c r="X4" s="984"/>
      <c r="Y4" s="4432" t="s">
        <v>1592</v>
      </c>
      <c r="Z4" s="4433"/>
      <c r="AA4" s="4404" t="s">
        <v>1588</v>
      </c>
      <c r="AB4" s="4404" t="s">
        <v>1589</v>
      </c>
      <c r="AC4" s="4404" t="s">
        <v>1590</v>
      </c>
    </row>
    <row r="5" spans="1:29" ht="15">
      <c r="A5" s="257"/>
      <c r="B5" s="258"/>
      <c r="C5" s="4426" t="s">
        <v>1593</v>
      </c>
      <c r="D5" s="4427"/>
      <c r="E5" s="4441" t="s">
        <v>1594</v>
      </c>
      <c r="F5" s="4442"/>
      <c r="G5" s="4426" t="s">
        <v>1595</v>
      </c>
      <c r="H5" s="4427"/>
      <c r="I5" s="4426" t="s">
        <v>1596</v>
      </c>
      <c r="J5" s="4427"/>
      <c r="K5" s="3104"/>
      <c r="L5" s="2083"/>
      <c r="M5" s="2084"/>
      <c r="N5" s="2084"/>
      <c r="O5" s="2084"/>
      <c r="P5" s="4413"/>
      <c r="Q5" s="4414"/>
      <c r="R5" s="4419"/>
      <c r="S5" s="4420"/>
      <c r="T5" s="4419"/>
      <c r="U5" s="4420"/>
      <c r="V5" s="4423"/>
      <c r="W5" s="4423"/>
      <c r="X5" s="984"/>
      <c r="Y5" s="4434"/>
      <c r="Z5" s="4435"/>
      <c r="AA5" s="4405"/>
      <c r="AB5" s="4405"/>
      <c r="AC5" s="4405"/>
    </row>
    <row r="6" spans="1:29" ht="15.75" thickBot="1">
      <c r="A6" s="259"/>
      <c r="B6" s="260"/>
      <c r="C6" s="4424" t="s">
        <v>1597</v>
      </c>
      <c r="D6" s="4425"/>
      <c r="E6" s="4439" t="s">
        <v>1597</v>
      </c>
      <c r="F6" s="4440"/>
      <c r="G6" s="4424" t="s">
        <v>1597</v>
      </c>
      <c r="H6" s="4425"/>
      <c r="I6" s="4424" t="s">
        <v>1597</v>
      </c>
      <c r="J6" s="4425"/>
      <c r="K6" s="3104" t="s">
        <v>1598</v>
      </c>
      <c r="L6" s="2083"/>
      <c r="M6" s="2084"/>
      <c r="N6" s="2084"/>
      <c r="O6" s="2084"/>
      <c r="P6" s="4415"/>
      <c r="Q6" s="4416"/>
      <c r="R6" s="4419"/>
      <c r="S6" s="4420"/>
      <c r="T6" s="4421"/>
      <c r="U6" s="4422"/>
      <c r="V6" s="4423"/>
      <c r="W6" s="4423"/>
      <c r="X6" s="984"/>
      <c r="Y6" s="4436"/>
      <c r="Z6" s="4437"/>
      <c r="AA6" s="4406"/>
      <c r="AB6" s="4406"/>
      <c r="AC6" s="4406"/>
    </row>
    <row r="7" spans="1:29" s="61" customFormat="1" ht="15.75" thickBot="1">
      <c r="A7" s="261" t="s">
        <v>1599</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428" t="s">
        <v>1600</v>
      </c>
      <c r="Q7" s="4438"/>
      <c r="R7" s="3573" t="s">
        <v>18</v>
      </c>
      <c r="S7" s="3574">
        <f t="shared" ref="S7:S15" si="0">F7</f>
        <v>0</v>
      </c>
      <c r="T7" s="3573" t="s">
        <v>18</v>
      </c>
      <c r="U7" s="3574">
        <f t="shared" ref="U7:U15" si="1">H7</f>
        <v>0</v>
      </c>
      <c r="V7" s="3573" t="s">
        <v>18</v>
      </c>
      <c r="W7" s="3574">
        <f t="shared" ref="W7:W15" si="2">J7</f>
        <v>0</v>
      </c>
      <c r="X7" s="513"/>
      <c r="Y7" s="4430" t="s">
        <v>1600</v>
      </c>
      <c r="Z7" s="4431"/>
      <c r="AA7" s="41" t="e">
        <f>D7/F7</f>
        <v>#DIV/0!</v>
      </c>
      <c r="AB7" s="41" t="e">
        <f>D7/H7</f>
        <v>#DIV/0!</v>
      </c>
      <c r="AC7" s="41" t="e">
        <f>D7/J7</f>
        <v>#DIV/0!</v>
      </c>
    </row>
    <row r="8" spans="1:29" s="61" customFormat="1" ht="15.75" thickBot="1">
      <c r="A8" s="261" t="s">
        <v>1601</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428" t="s">
        <v>1603</v>
      </c>
      <c r="Q8" s="4429"/>
      <c r="R8" s="3573" t="s">
        <v>18</v>
      </c>
      <c r="S8" s="3574">
        <f t="shared" si="0"/>
        <v>100</v>
      </c>
      <c r="T8" s="3573" t="s">
        <v>18</v>
      </c>
      <c r="U8" s="3574">
        <f t="shared" si="1"/>
        <v>100</v>
      </c>
      <c r="V8" s="3573" t="s">
        <v>18</v>
      </c>
      <c r="W8" s="3574">
        <f t="shared" si="2"/>
        <v>100</v>
      </c>
      <c r="X8" s="513"/>
      <c r="Y8" s="4430" t="s">
        <v>1603</v>
      </c>
      <c r="Z8" s="4431"/>
      <c r="AA8" s="41">
        <f t="shared" ref="AA8:AA19" si="3">D8/F8</f>
        <v>1</v>
      </c>
      <c r="AB8" s="41">
        <f t="shared" ref="AB8:AB19" si="4">D8/H8</f>
        <v>1</v>
      </c>
      <c r="AC8" s="41">
        <f t="shared" ref="AC8:AC19" si="5">D8/J8</f>
        <v>1</v>
      </c>
    </row>
    <row r="9" spans="1:29" s="61" customFormat="1">
      <c r="A9" s="266" t="s">
        <v>1604</v>
      </c>
      <c r="B9" s="3085" t="s">
        <v>1605</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402" t="s">
        <v>1606</v>
      </c>
      <c r="Q9" s="1792" t="str">
        <f t="shared" ref="Q9:Q15" si="6">B9</f>
        <v>用途</v>
      </c>
      <c r="R9" s="3573" t="s">
        <v>13</v>
      </c>
      <c r="S9" s="3574">
        <f t="shared" si="0"/>
        <v>100</v>
      </c>
      <c r="T9" s="3573" t="s">
        <v>13</v>
      </c>
      <c r="U9" s="3574">
        <f t="shared" si="1"/>
        <v>100</v>
      </c>
      <c r="V9" s="3573" t="s">
        <v>13</v>
      </c>
      <c r="W9" s="3574">
        <f t="shared" si="2"/>
        <v>100</v>
      </c>
      <c r="X9" s="513"/>
      <c r="Y9" s="4403" t="s">
        <v>1607</v>
      </c>
      <c r="Z9" s="41" t="str">
        <f t="shared" ref="Z9:Z15" si="7">Q9</f>
        <v>用途</v>
      </c>
      <c r="AA9" s="41">
        <f t="shared" si="3"/>
        <v>1</v>
      </c>
      <c r="AB9" s="41">
        <f t="shared" si="4"/>
        <v>1</v>
      </c>
      <c r="AC9" s="41">
        <f t="shared" si="5"/>
        <v>1</v>
      </c>
    </row>
    <row r="10" spans="1:29" s="272" customFormat="1" ht="27">
      <c r="A10" s="270"/>
      <c r="B10" s="3080" t="s">
        <v>1608</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3080" t="s">
        <v>1609</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402"/>
      <c r="Q11" s="1792" t="str">
        <f t="shared" si="6"/>
        <v>容积率</v>
      </c>
      <c r="R11" s="3573" t="s">
        <v>16</v>
      </c>
      <c r="S11" s="3574" t="e">
        <f t="shared" si="0"/>
        <v>#N/A</v>
      </c>
      <c r="T11" s="3573" t="s">
        <v>16</v>
      </c>
      <c r="U11" s="3574" t="e">
        <f t="shared" si="1"/>
        <v>#N/A</v>
      </c>
      <c r="V11" s="3573" t="s">
        <v>16</v>
      </c>
      <c r="W11" s="3574" t="e">
        <f t="shared" si="2"/>
        <v>#N/A</v>
      </c>
      <c r="X11" s="513"/>
      <c r="Y11" s="4403"/>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402"/>
      <c r="Q12" s="1792">
        <f t="shared" si="6"/>
        <v>111</v>
      </c>
      <c r="R12" s="3573" t="s">
        <v>16</v>
      </c>
      <c r="S12" s="3574">
        <f t="shared" si="0"/>
        <v>100</v>
      </c>
      <c r="T12" s="3573" t="s">
        <v>16</v>
      </c>
      <c r="U12" s="3574">
        <f t="shared" si="1"/>
        <v>100</v>
      </c>
      <c r="V12" s="3573" t="s">
        <v>16</v>
      </c>
      <c r="W12" s="3574">
        <f t="shared" si="2"/>
        <v>100</v>
      </c>
      <c r="X12" s="513"/>
      <c r="Y12" s="4403"/>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402"/>
      <c r="Q13" s="1792">
        <f t="shared" si="6"/>
        <v>111</v>
      </c>
      <c r="R13" s="3573" t="s">
        <v>16</v>
      </c>
      <c r="S13" s="3574">
        <f t="shared" si="0"/>
        <v>100</v>
      </c>
      <c r="T13" s="3573" t="s">
        <v>16</v>
      </c>
      <c r="U13" s="3574">
        <f t="shared" si="1"/>
        <v>100</v>
      </c>
      <c r="V13" s="3573" t="s">
        <v>16</v>
      </c>
      <c r="W13" s="3574">
        <f t="shared" si="2"/>
        <v>100</v>
      </c>
      <c r="X13" s="513"/>
      <c r="Y13" s="4403"/>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402"/>
      <c r="Q14" s="1792">
        <f t="shared" si="6"/>
        <v>111</v>
      </c>
      <c r="R14" s="3573" t="s">
        <v>16</v>
      </c>
      <c r="S14" s="3574">
        <f t="shared" si="0"/>
        <v>100</v>
      </c>
      <c r="T14" s="3573" t="s">
        <v>16</v>
      </c>
      <c r="U14" s="3574">
        <f t="shared" si="1"/>
        <v>100</v>
      </c>
      <c r="V14" s="3573" t="s">
        <v>16</v>
      </c>
      <c r="W14" s="3574">
        <f t="shared" si="2"/>
        <v>100</v>
      </c>
      <c r="X14" s="513"/>
      <c r="Y14" s="4403"/>
      <c r="Z14" s="41">
        <f t="shared" si="7"/>
        <v>111</v>
      </c>
      <c r="AA14" s="41">
        <f t="shared" si="3"/>
        <v>1</v>
      </c>
      <c r="AB14" s="41">
        <f t="shared" si="4"/>
        <v>1</v>
      </c>
      <c r="AC14" s="41">
        <f t="shared" si="5"/>
        <v>1</v>
      </c>
    </row>
    <row r="15" spans="1:29" ht="15">
      <c r="A15" s="281" t="s">
        <v>1610</v>
      </c>
      <c r="B15" s="3088" t="s">
        <v>1234</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400" t="s">
        <v>1611</v>
      </c>
      <c r="Q15" s="1592" t="str">
        <f t="shared" si="6"/>
        <v>居住社区成熟度</v>
      </c>
      <c r="R15" s="3575" t="s">
        <v>16</v>
      </c>
      <c r="S15" s="3576">
        <f t="shared" si="0"/>
        <v>100</v>
      </c>
      <c r="T15" s="3575" t="s">
        <v>16</v>
      </c>
      <c r="U15" s="3576">
        <f t="shared" si="1"/>
        <v>100</v>
      </c>
      <c r="V15" s="3575" t="s">
        <v>16</v>
      </c>
      <c r="W15" s="3576">
        <f t="shared" si="2"/>
        <v>100</v>
      </c>
      <c r="X15" s="984"/>
      <c r="Y15" s="4393" t="s">
        <v>1611</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401"/>
      <c r="Q16" s="1592"/>
      <c r="R16" s="3575"/>
      <c r="S16" s="3576"/>
      <c r="T16" s="3575"/>
      <c r="U16" s="3576"/>
      <c r="V16" s="3575"/>
      <c r="W16" s="3576"/>
      <c r="X16" s="984"/>
      <c r="Y16" s="4394"/>
      <c r="Z16" s="982"/>
      <c r="AA16" s="982">
        <v>1</v>
      </c>
      <c r="AB16" s="982">
        <v>1</v>
      </c>
      <c r="AC16" s="982">
        <v>1</v>
      </c>
    </row>
    <row r="17" spans="1:29" ht="15">
      <c r="A17" s="273"/>
      <c r="B17" s="3090" t="s">
        <v>1236</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401"/>
      <c r="Q17" s="1592" t="str">
        <f>B17</f>
        <v>交通便捷度</v>
      </c>
      <c r="R17" s="3575" t="s">
        <v>16</v>
      </c>
      <c r="S17" s="3576">
        <f>F17</f>
        <v>100</v>
      </c>
      <c r="T17" s="3575" t="s">
        <v>16</v>
      </c>
      <c r="U17" s="3576">
        <f>H17</f>
        <v>100</v>
      </c>
      <c r="V17" s="3575" t="s">
        <v>16</v>
      </c>
      <c r="W17" s="3576">
        <f>J17</f>
        <v>100</v>
      </c>
      <c r="X17" s="984"/>
      <c r="Y17" s="4394"/>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401"/>
      <c r="Q18" s="1592"/>
      <c r="R18" s="3575"/>
      <c r="S18" s="3576"/>
      <c r="T18" s="3575"/>
      <c r="U18" s="3576"/>
      <c r="V18" s="3575"/>
      <c r="W18" s="3576"/>
      <c r="X18" s="984"/>
      <c r="Y18" s="4394"/>
      <c r="Z18" s="982"/>
      <c r="AA18" s="982">
        <v>1</v>
      </c>
      <c r="AB18" s="982">
        <v>1</v>
      </c>
      <c r="AC18" s="982">
        <v>1</v>
      </c>
    </row>
    <row r="19" spans="1:29" ht="15">
      <c r="A19" s="273"/>
      <c r="B19" s="3090" t="s">
        <v>1235</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401"/>
      <c r="Q19" s="1592" t="str">
        <f>B19</f>
        <v>公共配套设施</v>
      </c>
      <c r="R19" s="3575" t="s">
        <v>16</v>
      </c>
      <c r="S19" s="3576">
        <f>F19</f>
        <v>100</v>
      </c>
      <c r="T19" s="3575" t="s">
        <v>16</v>
      </c>
      <c r="U19" s="3576">
        <f>H19</f>
        <v>100</v>
      </c>
      <c r="V19" s="3575" t="s">
        <v>16</v>
      </c>
      <c r="W19" s="3576">
        <f>J19</f>
        <v>100</v>
      </c>
      <c r="X19" s="984"/>
      <c r="Y19" s="4394"/>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401"/>
      <c r="Q20" s="1592"/>
      <c r="R20" s="3575"/>
      <c r="S20" s="3576"/>
      <c r="T20" s="3575"/>
      <c r="U20" s="3576"/>
      <c r="V20" s="3575"/>
      <c r="W20" s="3576"/>
      <c r="X20" s="984"/>
      <c r="Y20" s="4394"/>
      <c r="Z20" s="982"/>
      <c r="AA20" s="982">
        <v>1</v>
      </c>
      <c r="AB20" s="982">
        <v>1</v>
      </c>
      <c r="AC20" s="982">
        <v>1</v>
      </c>
    </row>
    <row r="21" spans="1:29" ht="15">
      <c r="A21" s="273"/>
      <c r="B21" s="3092" t="s">
        <v>1237</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401"/>
      <c r="Q21" s="1592" t="str">
        <f>B21</f>
        <v>基础设施水平</v>
      </c>
      <c r="R21" s="3575" t="s">
        <v>13</v>
      </c>
      <c r="S21" s="3576">
        <f>F21</f>
        <v>100</v>
      </c>
      <c r="T21" s="3575" t="s">
        <v>13</v>
      </c>
      <c r="U21" s="3576">
        <f>H21</f>
        <v>100</v>
      </c>
      <c r="V21" s="3575" t="s">
        <v>13</v>
      </c>
      <c r="W21" s="3576">
        <f>J21</f>
        <v>100</v>
      </c>
      <c r="X21" s="984"/>
      <c r="Y21" s="4394"/>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401"/>
      <c r="Q22" s="1592"/>
      <c r="R22" s="3575"/>
      <c r="S22" s="3576"/>
      <c r="T22" s="3575"/>
      <c r="U22" s="3576"/>
      <c r="V22" s="3575"/>
      <c r="W22" s="3576"/>
      <c r="X22" s="984"/>
      <c r="Y22" s="4394"/>
      <c r="Z22" s="982"/>
      <c r="AA22" s="982">
        <v>1</v>
      </c>
      <c r="AB22" s="982">
        <v>1</v>
      </c>
      <c r="AC22" s="982">
        <v>1</v>
      </c>
    </row>
    <row r="23" spans="1:29" ht="15">
      <c r="A23" s="273"/>
      <c r="B23" s="3090" t="s">
        <v>1238</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401"/>
      <c r="Q23" s="1592" t="str">
        <f>B23</f>
        <v>自然及人文环境</v>
      </c>
      <c r="R23" s="3575" t="s">
        <v>16</v>
      </c>
      <c r="S23" s="3576">
        <f>F23</f>
        <v>100</v>
      </c>
      <c r="T23" s="3575" t="s">
        <v>16</v>
      </c>
      <c r="U23" s="3576">
        <f>H23</f>
        <v>100</v>
      </c>
      <c r="V23" s="3575" t="s">
        <v>16</v>
      </c>
      <c r="W23" s="3576">
        <f>J23</f>
        <v>100</v>
      </c>
      <c r="X23" s="984"/>
      <c r="Y23" s="4394"/>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401"/>
      <c r="Q24" s="1592"/>
      <c r="R24" s="3575"/>
      <c r="S24" s="3576"/>
      <c r="T24" s="3575"/>
      <c r="U24" s="3576"/>
      <c r="V24" s="3575"/>
      <c r="W24" s="3576"/>
      <c r="X24" s="984"/>
      <c r="Y24" s="4394"/>
      <c r="Z24" s="982"/>
      <c r="AA24" s="982">
        <v>1</v>
      </c>
      <c r="AB24" s="982">
        <v>1</v>
      </c>
      <c r="AC24" s="982">
        <v>1</v>
      </c>
    </row>
    <row r="25" spans="1:29" ht="15">
      <c r="A25" s="273"/>
      <c r="B25" s="3080" t="s">
        <v>1612</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401"/>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94"/>
      <c r="Z25" s="982" t="str">
        <f>Q25</f>
        <v>楼层-1</v>
      </c>
      <c r="AA25" s="982">
        <f t="shared" ref="AA25:AA46" si="15">D25/F25</f>
        <v>1</v>
      </c>
      <c r="AB25" s="982">
        <f t="shared" ref="AB25:AB46" si="16">D25/H25</f>
        <v>1</v>
      </c>
      <c r="AC25" s="982">
        <f t="shared" ref="AC25:AC46" si="17">D25/J25</f>
        <v>1</v>
      </c>
    </row>
    <row r="26" spans="1:29" ht="15">
      <c r="A26" s="273"/>
      <c r="B26" s="3080" t="s">
        <v>1613</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401"/>
      <c r="Q26" s="1592" t="str">
        <f t="shared" si="11"/>
        <v>朝向</v>
      </c>
      <c r="R26" s="3575" t="s">
        <v>16</v>
      </c>
      <c r="S26" s="3576">
        <f t="shared" si="12"/>
        <v>100</v>
      </c>
      <c r="T26" s="3575" t="s">
        <v>16</v>
      </c>
      <c r="U26" s="3576">
        <f t="shared" si="13"/>
        <v>100</v>
      </c>
      <c r="V26" s="3575" t="s">
        <v>16</v>
      </c>
      <c r="W26" s="3576">
        <f t="shared" si="14"/>
        <v>100</v>
      </c>
      <c r="X26" s="984"/>
      <c r="Y26" s="4394"/>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401"/>
      <c r="Q27" s="1792">
        <f t="shared" si="11"/>
        <v>111</v>
      </c>
      <c r="R27" s="3573" t="s">
        <v>16</v>
      </c>
      <c r="S27" s="3574">
        <f t="shared" si="12"/>
        <v>100</v>
      </c>
      <c r="T27" s="3573" t="s">
        <v>16</v>
      </c>
      <c r="U27" s="3574">
        <f t="shared" si="13"/>
        <v>100</v>
      </c>
      <c r="V27" s="3573" t="s">
        <v>16</v>
      </c>
      <c r="W27" s="3574">
        <f t="shared" si="14"/>
        <v>100</v>
      </c>
      <c r="X27" s="513"/>
      <c r="Y27" s="4394"/>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401"/>
      <c r="Q28" s="1592">
        <f t="shared" si="11"/>
        <v>111</v>
      </c>
      <c r="R28" s="3575" t="s">
        <v>16</v>
      </c>
      <c r="S28" s="3576">
        <f t="shared" si="12"/>
        <v>100</v>
      </c>
      <c r="T28" s="3575" t="s">
        <v>16</v>
      </c>
      <c r="U28" s="3576">
        <f t="shared" si="13"/>
        <v>100</v>
      </c>
      <c r="V28" s="3575" t="s">
        <v>16</v>
      </c>
      <c r="W28" s="3576">
        <f t="shared" si="14"/>
        <v>100</v>
      </c>
      <c r="X28" s="984"/>
      <c r="Y28" s="4394"/>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401"/>
      <c r="Q29" s="1592">
        <f t="shared" si="11"/>
        <v>111</v>
      </c>
      <c r="R29" s="3575" t="s">
        <v>16</v>
      </c>
      <c r="S29" s="3576">
        <f t="shared" si="12"/>
        <v>100</v>
      </c>
      <c r="T29" s="3575" t="s">
        <v>16</v>
      </c>
      <c r="U29" s="3576">
        <f t="shared" si="13"/>
        <v>100</v>
      </c>
      <c r="V29" s="3575" t="s">
        <v>16</v>
      </c>
      <c r="W29" s="3576">
        <f t="shared" si="14"/>
        <v>100</v>
      </c>
      <c r="X29" s="984"/>
      <c r="Y29" s="4394"/>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401"/>
      <c r="Q30" s="1592">
        <f t="shared" si="11"/>
        <v>111</v>
      </c>
      <c r="R30" s="3575" t="s">
        <v>16</v>
      </c>
      <c r="S30" s="3576">
        <f t="shared" si="12"/>
        <v>100</v>
      </c>
      <c r="T30" s="3575" t="s">
        <v>16</v>
      </c>
      <c r="U30" s="3576">
        <f t="shared" si="13"/>
        <v>100</v>
      </c>
      <c r="V30" s="3575" t="s">
        <v>16</v>
      </c>
      <c r="W30" s="3576">
        <f t="shared" si="14"/>
        <v>100</v>
      </c>
      <c r="X30" s="984"/>
      <c r="Y30" s="4394"/>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401"/>
      <c r="Q31" s="1592">
        <f t="shared" si="11"/>
        <v>111</v>
      </c>
      <c r="R31" s="3575" t="s">
        <v>16</v>
      </c>
      <c r="S31" s="3576">
        <f t="shared" si="12"/>
        <v>100</v>
      </c>
      <c r="T31" s="3575" t="s">
        <v>16</v>
      </c>
      <c r="U31" s="3576">
        <f t="shared" si="13"/>
        <v>100</v>
      </c>
      <c r="V31" s="3575" t="s">
        <v>16</v>
      </c>
      <c r="W31" s="3576">
        <f t="shared" si="14"/>
        <v>100</v>
      </c>
      <c r="X31" s="984"/>
      <c r="Y31" s="4394"/>
      <c r="Z31" s="982">
        <f t="shared" si="18"/>
        <v>111</v>
      </c>
      <c r="AA31" s="982">
        <f t="shared" si="15"/>
        <v>1</v>
      </c>
      <c r="AB31" s="982">
        <f t="shared" si="16"/>
        <v>1</v>
      </c>
      <c r="AC31" s="982">
        <f t="shared" si="17"/>
        <v>1</v>
      </c>
    </row>
    <row r="32" spans="1:29" ht="15">
      <c r="A32" s="281" t="s">
        <v>1614</v>
      </c>
      <c r="B32" s="3085" t="s">
        <v>1615</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95" t="s">
        <v>1616</v>
      </c>
      <c r="Q32" s="1592" t="str">
        <f t="shared" si="11"/>
        <v>建筑类型</v>
      </c>
      <c r="R32" s="3575" t="s">
        <v>16</v>
      </c>
      <c r="S32" s="3576">
        <f t="shared" si="12"/>
        <v>100</v>
      </c>
      <c r="T32" s="3575" t="s">
        <v>16</v>
      </c>
      <c r="U32" s="3576">
        <f t="shared" si="13"/>
        <v>100</v>
      </c>
      <c r="V32" s="3575" t="s">
        <v>16</v>
      </c>
      <c r="W32" s="3576">
        <f t="shared" si="14"/>
        <v>100</v>
      </c>
      <c r="X32" s="984"/>
      <c r="Y32" s="4398" t="s">
        <v>1616</v>
      </c>
      <c r="Z32" s="982" t="str">
        <f t="shared" si="18"/>
        <v>建筑类型</v>
      </c>
      <c r="AA32" s="982">
        <f t="shared" si="15"/>
        <v>1</v>
      </c>
      <c r="AB32" s="982">
        <f t="shared" si="16"/>
        <v>1</v>
      </c>
      <c r="AC32" s="982">
        <f t="shared" si="17"/>
        <v>1</v>
      </c>
    </row>
    <row r="33" spans="1:29" s="298" customFormat="1" ht="15">
      <c r="A33" s="296"/>
      <c r="B33" s="3080" t="s">
        <v>1617</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96"/>
      <c r="Q33" s="410" t="str">
        <f t="shared" si="11"/>
        <v>项目建筑规模</v>
      </c>
      <c r="R33" s="3577" t="s">
        <v>16</v>
      </c>
      <c r="S33" s="3578" t="e">
        <f t="shared" si="12"/>
        <v>#N/A</v>
      </c>
      <c r="T33" s="3577" t="s">
        <v>16</v>
      </c>
      <c r="U33" s="3578" t="e">
        <f t="shared" si="13"/>
        <v>#N/A</v>
      </c>
      <c r="V33" s="3577" t="s">
        <v>16</v>
      </c>
      <c r="W33" s="3578" t="e">
        <f t="shared" si="14"/>
        <v>#N/A</v>
      </c>
      <c r="X33" s="518"/>
      <c r="Y33" s="4398"/>
      <c r="Z33" s="519" t="str">
        <f t="shared" si="18"/>
        <v>项目建筑规模</v>
      </c>
      <c r="AA33" s="982" t="e">
        <f t="shared" si="15"/>
        <v>#N/A</v>
      </c>
      <c r="AB33" s="982" t="e">
        <f t="shared" si="16"/>
        <v>#N/A</v>
      </c>
      <c r="AC33" s="982" t="e">
        <f t="shared" si="17"/>
        <v>#N/A</v>
      </c>
    </row>
    <row r="34" spans="1:29" ht="15">
      <c r="A34" s="299"/>
      <c r="B34" s="3080" t="s">
        <v>1618</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96"/>
      <c r="Q34" s="1592" t="str">
        <f t="shared" si="11"/>
        <v>建筑结构</v>
      </c>
      <c r="R34" s="3575" t="s">
        <v>16</v>
      </c>
      <c r="S34" s="3576">
        <f t="shared" si="12"/>
        <v>100</v>
      </c>
      <c r="T34" s="3575" t="s">
        <v>16</v>
      </c>
      <c r="U34" s="3576">
        <f t="shared" si="13"/>
        <v>100</v>
      </c>
      <c r="V34" s="3575" t="s">
        <v>16</v>
      </c>
      <c r="W34" s="3576">
        <f t="shared" si="14"/>
        <v>100</v>
      </c>
      <c r="X34" s="984"/>
      <c r="Y34" s="4398"/>
      <c r="Z34" s="982" t="str">
        <f t="shared" si="18"/>
        <v>建筑结构</v>
      </c>
      <c r="AA34" s="982">
        <f t="shared" si="15"/>
        <v>1</v>
      </c>
      <c r="AB34" s="982">
        <f t="shared" si="16"/>
        <v>1</v>
      </c>
      <c r="AC34" s="982">
        <f t="shared" si="17"/>
        <v>1</v>
      </c>
    </row>
    <row r="35" spans="1:29" ht="15">
      <c r="A35" s="299"/>
      <c r="B35" s="3080" t="s">
        <v>1619</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96"/>
      <c r="Q35" s="1592" t="str">
        <f t="shared" si="11"/>
        <v>建筑品质</v>
      </c>
      <c r="R35" s="3575" t="s">
        <v>16</v>
      </c>
      <c r="S35" s="3576">
        <f t="shared" si="12"/>
        <v>100</v>
      </c>
      <c r="T35" s="3575" t="s">
        <v>16</v>
      </c>
      <c r="U35" s="3576">
        <f t="shared" si="13"/>
        <v>100</v>
      </c>
      <c r="V35" s="3575" t="s">
        <v>16</v>
      </c>
      <c r="W35" s="3576">
        <f t="shared" si="14"/>
        <v>100</v>
      </c>
      <c r="X35" s="984"/>
      <c r="Y35" s="4398"/>
      <c r="Z35" s="982" t="str">
        <f t="shared" si="18"/>
        <v>建筑品质</v>
      </c>
      <c r="AA35" s="982">
        <f t="shared" si="15"/>
        <v>1</v>
      </c>
      <c r="AB35" s="982">
        <f t="shared" si="16"/>
        <v>1</v>
      </c>
      <c r="AC35" s="982">
        <f t="shared" si="17"/>
        <v>1</v>
      </c>
    </row>
    <row r="36" spans="1:29" ht="15">
      <c r="A36" s="299"/>
      <c r="B36" s="3080" t="s">
        <v>1620</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96"/>
      <c r="Q36" s="1592" t="str">
        <f t="shared" si="11"/>
        <v>公共部分装修</v>
      </c>
      <c r="R36" s="3575" t="s">
        <v>16</v>
      </c>
      <c r="S36" s="3576">
        <f t="shared" si="12"/>
        <v>100</v>
      </c>
      <c r="T36" s="3575" t="s">
        <v>16</v>
      </c>
      <c r="U36" s="3576">
        <f t="shared" si="13"/>
        <v>100</v>
      </c>
      <c r="V36" s="3575" t="s">
        <v>16</v>
      </c>
      <c r="W36" s="3576">
        <f t="shared" si="14"/>
        <v>100</v>
      </c>
      <c r="X36" s="984"/>
      <c r="Y36" s="4398"/>
      <c r="Z36" s="982" t="str">
        <f t="shared" si="18"/>
        <v>公共部分装修</v>
      </c>
      <c r="AA36" s="982">
        <f t="shared" si="15"/>
        <v>1</v>
      </c>
      <c r="AB36" s="982">
        <f t="shared" si="16"/>
        <v>1</v>
      </c>
      <c r="AC36" s="982">
        <f t="shared" si="17"/>
        <v>1</v>
      </c>
    </row>
    <row r="37" spans="1:29" s="61" customFormat="1" ht="15">
      <c r="A37" s="300"/>
      <c r="B37" s="3080" t="s">
        <v>1621</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96"/>
      <c r="Q37" s="1792" t="str">
        <f t="shared" si="11"/>
        <v>成新度</v>
      </c>
      <c r="R37" s="3573" t="s">
        <v>16</v>
      </c>
      <c r="S37" s="3574" t="e">
        <f t="shared" si="12"/>
        <v>#N/A</v>
      </c>
      <c r="T37" s="3573" t="s">
        <v>16</v>
      </c>
      <c r="U37" s="3574" t="e">
        <f t="shared" si="13"/>
        <v>#N/A</v>
      </c>
      <c r="V37" s="3573" t="s">
        <v>16</v>
      </c>
      <c r="W37" s="3574" t="e">
        <f t="shared" si="14"/>
        <v>#N/A</v>
      </c>
      <c r="X37" s="513"/>
      <c r="Y37" s="4398"/>
      <c r="Z37" s="41" t="str">
        <f t="shared" si="18"/>
        <v>成新度</v>
      </c>
      <c r="AA37" s="41" t="e">
        <f t="shared" si="15"/>
        <v>#N/A</v>
      </c>
      <c r="AB37" s="41" t="e">
        <f t="shared" si="16"/>
        <v>#N/A</v>
      </c>
      <c r="AC37" s="41" t="e">
        <f t="shared" si="17"/>
        <v>#N/A</v>
      </c>
    </row>
    <row r="38" spans="1:29" ht="15">
      <c r="A38" s="299"/>
      <c r="B38" s="3080" t="s">
        <v>1622</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96" t="s">
        <v>1616</v>
      </c>
      <c r="Q38" s="1592" t="str">
        <f t="shared" si="11"/>
        <v>物业管理</v>
      </c>
      <c r="R38" s="3575" t="s">
        <v>16</v>
      </c>
      <c r="S38" s="3576">
        <f t="shared" si="12"/>
        <v>100</v>
      </c>
      <c r="T38" s="3575" t="s">
        <v>16</v>
      </c>
      <c r="U38" s="3576">
        <f t="shared" si="13"/>
        <v>100</v>
      </c>
      <c r="V38" s="3575" t="s">
        <v>16</v>
      </c>
      <c r="W38" s="3576">
        <f t="shared" si="14"/>
        <v>100</v>
      </c>
      <c r="X38" s="984"/>
      <c r="Y38" s="4398" t="s">
        <v>1616</v>
      </c>
      <c r="Z38" s="982" t="str">
        <f t="shared" si="18"/>
        <v>物业管理</v>
      </c>
      <c r="AA38" s="982">
        <f t="shared" si="15"/>
        <v>1</v>
      </c>
      <c r="AB38" s="982">
        <f t="shared" si="16"/>
        <v>1</v>
      </c>
      <c r="AC38" s="982">
        <f t="shared" si="17"/>
        <v>1</v>
      </c>
    </row>
    <row r="39" spans="1:29" ht="15">
      <c r="A39" s="299"/>
      <c r="B39" s="3080" t="s">
        <v>1623</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96"/>
      <c r="Q39" s="1592" t="str">
        <f t="shared" si="11"/>
        <v>市政基础设施</v>
      </c>
      <c r="R39" s="3575" t="s">
        <v>16</v>
      </c>
      <c r="S39" s="3576">
        <f t="shared" si="12"/>
        <v>100</v>
      </c>
      <c r="T39" s="3575" t="s">
        <v>16</v>
      </c>
      <c r="U39" s="3576">
        <f t="shared" si="13"/>
        <v>100</v>
      </c>
      <c r="V39" s="3575" t="s">
        <v>16</v>
      </c>
      <c r="W39" s="3576">
        <f t="shared" si="14"/>
        <v>100</v>
      </c>
      <c r="X39" s="984"/>
      <c r="Y39" s="4398"/>
      <c r="Z39" s="982" t="str">
        <f t="shared" si="18"/>
        <v>市政基础设施</v>
      </c>
      <c r="AA39" s="982">
        <f t="shared" si="15"/>
        <v>1</v>
      </c>
      <c r="AB39" s="982">
        <f t="shared" si="16"/>
        <v>1</v>
      </c>
      <c r="AC39" s="982">
        <f t="shared" si="17"/>
        <v>1</v>
      </c>
    </row>
    <row r="40" spans="1:29" ht="15">
      <c r="A40" s="299"/>
      <c r="B40" s="3080" t="s">
        <v>1624</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96"/>
      <c r="Q40" s="1592" t="str">
        <f t="shared" si="11"/>
        <v>房型</v>
      </c>
      <c r="R40" s="3575" t="s">
        <v>16</v>
      </c>
      <c r="S40" s="3576">
        <f t="shared" si="12"/>
        <v>100</v>
      </c>
      <c r="T40" s="3575" t="s">
        <v>16</v>
      </c>
      <c r="U40" s="3576">
        <f t="shared" si="13"/>
        <v>100</v>
      </c>
      <c r="V40" s="3575" t="s">
        <v>16</v>
      </c>
      <c r="W40" s="3576">
        <f t="shared" si="14"/>
        <v>100</v>
      </c>
      <c r="X40" s="984"/>
      <c r="Y40" s="4398"/>
      <c r="Z40" s="982" t="str">
        <f t="shared" si="18"/>
        <v>房型</v>
      </c>
      <c r="AA40" s="982">
        <f t="shared" si="15"/>
        <v>1</v>
      </c>
      <c r="AB40" s="982">
        <f t="shared" si="16"/>
        <v>1</v>
      </c>
      <c r="AC40" s="982">
        <f t="shared" si="17"/>
        <v>1</v>
      </c>
    </row>
    <row r="41" spans="1:29" s="298" customFormat="1" ht="28.5">
      <c r="A41" s="296"/>
      <c r="B41" s="3080" t="s">
        <v>1625</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96"/>
      <c r="Q41" s="410" t="str">
        <f t="shared" si="11"/>
        <v>单套/主力户型建筑面积</v>
      </c>
      <c r="R41" s="3577" t="s">
        <v>16</v>
      </c>
      <c r="S41" s="3578">
        <f t="shared" si="12"/>
        <v>100</v>
      </c>
      <c r="T41" s="3577" t="s">
        <v>16</v>
      </c>
      <c r="U41" s="3578">
        <f t="shared" si="13"/>
        <v>100</v>
      </c>
      <c r="V41" s="3577" t="s">
        <v>16</v>
      </c>
      <c r="W41" s="3578">
        <f t="shared" si="14"/>
        <v>100</v>
      </c>
      <c r="X41" s="518"/>
      <c r="Y41" s="4398"/>
      <c r="Z41" s="519" t="str">
        <f t="shared" si="18"/>
        <v>单套/主力户型建筑面积</v>
      </c>
      <c r="AA41" s="982">
        <f t="shared" si="15"/>
        <v>1</v>
      </c>
      <c r="AB41" s="982">
        <f t="shared" si="16"/>
        <v>1</v>
      </c>
      <c r="AC41" s="982">
        <f t="shared" si="17"/>
        <v>1</v>
      </c>
    </row>
    <row r="42" spans="1:29" ht="15">
      <c r="A42" s="299"/>
      <c r="B42" s="3080" t="s">
        <v>1626</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96"/>
      <c r="Q42" s="1592" t="str">
        <f t="shared" si="11"/>
        <v>内部装修</v>
      </c>
      <c r="R42" s="3575" t="s">
        <v>16</v>
      </c>
      <c r="S42" s="3576">
        <f t="shared" si="12"/>
        <v>100</v>
      </c>
      <c r="T42" s="3575" t="s">
        <v>16</v>
      </c>
      <c r="U42" s="3576">
        <f t="shared" si="13"/>
        <v>100</v>
      </c>
      <c r="V42" s="3575" t="s">
        <v>16</v>
      </c>
      <c r="W42" s="3576">
        <f t="shared" si="14"/>
        <v>100</v>
      </c>
      <c r="X42" s="984"/>
      <c r="Y42" s="4398"/>
      <c r="Z42" s="982" t="str">
        <f t="shared" si="18"/>
        <v>内部装修</v>
      </c>
      <c r="AA42" s="982">
        <f t="shared" si="15"/>
        <v>1</v>
      </c>
      <c r="AB42" s="982">
        <f t="shared" si="16"/>
        <v>1</v>
      </c>
      <c r="AC42" s="982">
        <f t="shared" si="17"/>
        <v>1</v>
      </c>
    </row>
    <row r="43" spans="1:29" ht="15">
      <c r="A43" s="299"/>
      <c r="B43" s="3080" t="s">
        <v>1627</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96"/>
      <c r="Q43" s="1592" t="str">
        <f t="shared" si="11"/>
        <v>内部装修维护情况</v>
      </c>
      <c r="R43" s="3575" t="s">
        <v>16</v>
      </c>
      <c r="S43" s="3576">
        <f t="shared" si="12"/>
        <v>100</v>
      </c>
      <c r="T43" s="3575" t="s">
        <v>16</v>
      </c>
      <c r="U43" s="3576">
        <f t="shared" si="13"/>
        <v>100</v>
      </c>
      <c r="V43" s="3575" t="s">
        <v>16</v>
      </c>
      <c r="W43" s="3576">
        <f t="shared" si="14"/>
        <v>100</v>
      </c>
      <c r="X43" s="984"/>
      <c r="Y43" s="4398"/>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96"/>
      <c r="Q44" s="1792">
        <f t="shared" si="11"/>
        <v>111</v>
      </c>
      <c r="R44" s="3573" t="s">
        <v>16</v>
      </c>
      <c r="S44" s="3574">
        <f t="shared" si="12"/>
        <v>100</v>
      </c>
      <c r="T44" s="3573" t="s">
        <v>16</v>
      </c>
      <c r="U44" s="3574">
        <f t="shared" si="13"/>
        <v>100</v>
      </c>
      <c r="V44" s="3573" t="s">
        <v>16</v>
      </c>
      <c r="W44" s="3574">
        <f t="shared" si="14"/>
        <v>100</v>
      </c>
      <c r="X44" s="513"/>
      <c r="Y44" s="4398"/>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96"/>
      <c r="Q45" s="1592">
        <f t="shared" si="11"/>
        <v>111</v>
      </c>
      <c r="R45" s="3575" t="s">
        <v>16</v>
      </c>
      <c r="S45" s="3576">
        <f t="shared" si="12"/>
        <v>100</v>
      </c>
      <c r="T45" s="3575" t="s">
        <v>16</v>
      </c>
      <c r="U45" s="3576">
        <f t="shared" si="13"/>
        <v>100</v>
      </c>
      <c r="V45" s="3575" t="s">
        <v>16</v>
      </c>
      <c r="W45" s="3576">
        <f t="shared" si="14"/>
        <v>100</v>
      </c>
      <c r="X45" s="984"/>
      <c r="Y45" s="4398"/>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97"/>
      <c r="Q46" s="1592">
        <f t="shared" si="11"/>
        <v>111</v>
      </c>
      <c r="R46" s="3575" t="s">
        <v>15</v>
      </c>
      <c r="S46" s="3576">
        <f t="shared" si="12"/>
        <v>100</v>
      </c>
      <c r="T46" s="3575" t="s">
        <v>15</v>
      </c>
      <c r="U46" s="3576">
        <f t="shared" si="13"/>
        <v>100</v>
      </c>
      <c r="V46" s="3575" t="s">
        <v>15</v>
      </c>
      <c r="W46" s="3576">
        <f t="shared" si="14"/>
        <v>100</v>
      </c>
      <c r="X46" s="984"/>
      <c r="Y46" s="4399"/>
      <c r="Z46" s="982">
        <f t="shared" si="18"/>
        <v>111</v>
      </c>
      <c r="AA46" s="982">
        <f t="shared" si="15"/>
        <v>1</v>
      </c>
      <c r="AB46" s="982">
        <f t="shared" si="16"/>
        <v>1</v>
      </c>
      <c r="AC46" s="982">
        <f t="shared" si="17"/>
        <v>1</v>
      </c>
    </row>
    <row r="47" spans="1:29" ht="15">
      <c r="A47" s="305" t="s">
        <v>1628</v>
      </c>
      <c r="B47" s="306"/>
      <c r="C47" s="830" t="s">
        <v>14</v>
      </c>
      <c r="D47" s="307"/>
      <c r="E47" s="3651"/>
      <c r="F47" s="831"/>
      <c r="G47" s="3652"/>
      <c r="H47" s="832"/>
      <c r="I47" s="3651"/>
      <c r="J47" s="832"/>
      <c r="K47" s="3102"/>
      <c r="L47" s="2091"/>
      <c r="M47" s="2084"/>
      <c r="N47" s="2084"/>
      <c r="O47" s="2084"/>
      <c r="P47" s="4391" t="str">
        <f>A47</f>
        <v>成交单价（元/平方米）</v>
      </c>
      <c r="Q47" s="4391"/>
      <c r="R47" s="4392">
        <f>E47</f>
        <v>0</v>
      </c>
      <c r="S47" s="4392"/>
      <c r="T47" s="4392">
        <f>G47</f>
        <v>0</v>
      </c>
      <c r="U47" s="4392"/>
      <c r="V47" s="4392">
        <f>I47</f>
        <v>0</v>
      </c>
      <c r="W47" s="4392"/>
      <c r="X47" s="284"/>
      <c r="Y47" s="520"/>
      <c r="Z47" s="284"/>
      <c r="AA47" s="284"/>
      <c r="AB47" s="284"/>
      <c r="AC47" s="284"/>
    </row>
    <row r="48" spans="1:29" ht="15.75" thickBot="1">
      <c r="A48" s="308" t="s">
        <v>1629</v>
      </c>
      <c r="B48" s="309"/>
      <c r="C48" s="3199" t="e">
        <f>R49</f>
        <v>#DIV/0!</v>
      </c>
      <c r="D48" s="1787" t="s">
        <v>2054</v>
      </c>
      <c r="E48" s="3201" t="e">
        <f>R48</f>
        <v>#DIV/0!</v>
      </c>
      <c r="F48" s="3094"/>
      <c r="G48" s="3199" t="e">
        <f>T48</f>
        <v>#DIV/0!</v>
      </c>
      <c r="H48" s="3094"/>
      <c r="I48" s="3201" t="e">
        <f>V48</f>
        <v>#DIV/0!</v>
      </c>
      <c r="J48" s="3094"/>
      <c r="K48" s="3095">
        <f>F48+H48+J48</f>
        <v>0</v>
      </c>
      <c r="L48" s="2091"/>
      <c r="M48" s="2084"/>
      <c r="N48" s="2084"/>
      <c r="O48" s="2084"/>
      <c r="P48" s="4391" t="str">
        <f>A48</f>
        <v>比较价值（元/平方米）</v>
      </c>
      <c r="Q48" s="4391"/>
      <c r="R48" s="4392" t="e">
        <f>IF(F1="售价",ROUND(PRODUCT(R47,AA7:AA46),0),ROUND(PRODUCT(R47,AA7:AA46),1))</f>
        <v>#DIV/0!</v>
      </c>
      <c r="S48" s="4392"/>
      <c r="T48" s="4392" t="e">
        <f>IF(F1="售价",ROUND(PRODUCT(T47,AB7:AB46),0),ROUND(PRODUCT(T47,AB7:AB46),1))</f>
        <v>#DIV/0!</v>
      </c>
      <c r="U48" s="4392"/>
      <c r="V48" s="4392" t="e">
        <f>IF(F1="售价",ROUND(PRODUCT(V47,AC7:AC46),0),ROUND(PRODUCT(V47,AC7:AC46),1))</f>
        <v>#DIV/0!</v>
      </c>
      <c r="W48" s="4392"/>
      <c r="X48" s="284"/>
      <c r="Y48" s="284"/>
      <c r="Z48" s="284"/>
      <c r="AA48" s="284"/>
      <c r="AB48" s="284"/>
      <c r="AC48" s="284"/>
    </row>
    <row r="49" spans="1:29" ht="15.75" thickBot="1">
      <c r="A49" s="310" t="s">
        <v>1630</v>
      </c>
      <c r="B49" s="311"/>
      <c r="C49" s="3200" t="e">
        <f>R49</f>
        <v>#DIV/0!</v>
      </c>
      <c r="D49" s="260"/>
      <c r="E49" s="260"/>
      <c r="F49" s="260"/>
      <c r="G49" s="260"/>
      <c r="H49" s="260"/>
      <c r="I49" s="260"/>
      <c r="J49" s="260"/>
      <c r="K49" s="1457"/>
      <c r="L49" s="2091"/>
      <c r="M49" s="2084"/>
      <c r="N49" s="2084"/>
      <c r="O49" s="2084"/>
      <c r="P49" s="4388" t="str">
        <f>A49</f>
        <v>估价对象XX用房的比较价值（楼面单价，元/平方米）</v>
      </c>
      <c r="Q49" s="4389"/>
      <c r="R49" s="4390" t="e">
        <f>IF(F1="售价",ROUND(IF(D48="简单平均",AVERAGE(R48:V48),R48*F48+T48*H48+V48*J48),0),ROUND(IF(D48="简单平均",AVERAGE(R48:V48),R48*F48+T48*H48+V48*J48),1))</f>
        <v>#DIV/0!</v>
      </c>
      <c r="S49" s="4390"/>
      <c r="T49" s="4390"/>
      <c r="U49" s="4390"/>
      <c r="V49" s="4390"/>
      <c r="W49" s="4390"/>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1631</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1632</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1633</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1634</v>
      </c>
      <c r="B57" s="284"/>
      <c r="C57" s="506"/>
      <c r="D57" s="506"/>
      <c r="E57" s="506"/>
      <c r="F57" s="507"/>
      <c r="G57" s="507"/>
      <c r="H57" s="506"/>
      <c r="I57" s="506"/>
      <c r="J57" s="506"/>
      <c r="K57" s="672"/>
      <c r="L57" s="673"/>
      <c r="M57" s="671"/>
      <c r="N57" s="671"/>
      <c r="O57" s="671"/>
      <c r="P57" s="1460"/>
      <c r="Q57" s="321"/>
    </row>
    <row r="58" spans="1:29" s="324" customFormat="1" ht="15">
      <c r="A58" s="322" t="s">
        <v>1635</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1636</v>
      </c>
      <c r="B60" s="332"/>
      <c r="C60" s="333"/>
      <c r="D60" s="334"/>
      <c r="E60" s="334"/>
      <c r="F60" s="334"/>
      <c r="G60" s="334"/>
      <c r="H60" s="334"/>
      <c r="I60" s="334"/>
      <c r="J60" s="334"/>
      <c r="K60" s="334"/>
      <c r="L60" s="334"/>
      <c r="M60" s="335"/>
      <c r="N60" s="334"/>
      <c r="O60" s="335"/>
      <c r="P60" s="1462"/>
      <c r="Q60" s="321"/>
    </row>
    <row r="61" spans="1:29" s="61" customFormat="1" ht="15">
      <c r="A61" s="337" t="s">
        <v>1637</v>
      </c>
      <c r="B61" s="326"/>
      <c r="C61" s="338" t="s">
        <v>1638</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1639</v>
      </c>
      <c r="B63" s="341" t="s">
        <v>1605</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1608</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1609</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1610</v>
      </c>
      <c r="B76" s="341" t="s">
        <v>1640</v>
      </c>
      <c r="C76" s="383" t="s">
        <v>1641</v>
      </c>
      <c r="D76" s="383" t="s">
        <v>1642</v>
      </c>
      <c r="E76" s="383" t="s">
        <v>1643</v>
      </c>
      <c r="F76" s="383" t="s">
        <v>1644</v>
      </c>
      <c r="G76" s="383" t="s">
        <v>1645</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1646</v>
      </c>
      <c r="C78" s="387" t="s">
        <v>1641</v>
      </c>
      <c r="D78" s="387" t="s">
        <v>1642</v>
      </c>
      <c r="E78" s="387" t="s">
        <v>1643</v>
      </c>
      <c r="F78" s="387" t="s">
        <v>1644</v>
      </c>
      <c r="G78" s="387" t="s">
        <v>1645</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1647</v>
      </c>
      <c r="C80" s="387" t="s">
        <v>1641</v>
      </c>
      <c r="D80" s="387" t="s">
        <v>1642</v>
      </c>
      <c r="E80" s="387" t="s">
        <v>1643</v>
      </c>
      <c r="F80" s="387" t="s">
        <v>1644</v>
      </c>
      <c r="G80" s="387" t="s">
        <v>1645</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1237</v>
      </c>
      <c r="C82" s="351" t="s">
        <v>1648</v>
      </c>
      <c r="D82" s="351" t="s">
        <v>1649</v>
      </c>
      <c r="E82" s="351" t="s">
        <v>1650</v>
      </c>
      <c r="F82" s="351" t="s">
        <v>1651</v>
      </c>
      <c r="G82" s="351" t="s">
        <v>1652</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1653</v>
      </c>
      <c r="C84" s="387" t="s">
        <v>1641</v>
      </c>
      <c r="D84" s="387" t="s">
        <v>1642</v>
      </c>
      <c r="E84" s="387" t="s">
        <v>1643</v>
      </c>
      <c r="F84" s="387" t="s">
        <v>1644</v>
      </c>
      <c r="G84" s="387" t="s">
        <v>1645</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1654</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1655</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1614</v>
      </c>
      <c r="B100" s="341" t="s">
        <v>1656</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1657</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1658</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1659</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1660</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1169</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1661</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1662</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1663</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1625</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1664</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1665</v>
      </c>
      <c r="C124" s="387" t="s">
        <v>1641</v>
      </c>
      <c r="D124" s="387" t="s">
        <v>1642</v>
      </c>
      <c r="E124" s="387" t="s">
        <v>1643</v>
      </c>
      <c r="F124" s="387" t="s">
        <v>1644</v>
      </c>
      <c r="G124" s="387" t="s">
        <v>1645</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1666</v>
      </c>
    </row>
    <row r="137" spans="1:17" ht="15">
      <c r="B137" s="1471" t="s">
        <v>1667</v>
      </c>
      <c r="C137" s="1472"/>
      <c r="D137" s="1472"/>
      <c r="E137" s="1472"/>
      <c r="F137" s="1472"/>
      <c r="G137" s="1473"/>
      <c r="H137" s="1474"/>
      <c r="I137" s="1475" t="s">
        <v>1668</v>
      </c>
      <c r="J137" s="1472"/>
      <c r="K137" s="1476"/>
    </row>
    <row r="138" spans="1:17" ht="15">
      <c r="B138" s="1477"/>
      <c r="C138" s="67" t="s">
        <v>1669</v>
      </c>
      <c r="D138" s="67" t="s">
        <v>1670</v>
      </c>
      <c r="E138" s="1478" t="s">
        <v>1671</v>
      </c>
      <c r="F138" s="1479" t="s">
        <v>1672</v>
      </c>
      <c r="G138" s="67" t="s">
        <v>1670</v>
      </c>
      <c r="H138" s="68" t="s">
        <v>1671</v>
      </c>
      <c r="I138" s="1480"/>
      <c r="J138" s="67" t="s">
        <v>1673</v>
      </c>
      <c r="K138" s="68" t="s">
        <v>1674</v>
      </c>
    </row>
    <row r="139" spans="1:17" ht="15">
      <c r="B139" s="608">
        <v>6</v>
      </c>
      <c r="C139" s="609">
        <v>96</v>
      </c>
      <c r="D139" s="1481" t="s">
        <v>1675</v>
      </c>
      <c r="E139" s="610">
        <v>100</v>
      </c>
      <c r="F139" s="611">
        <v>102.5</v>
      </c>
      <c r="G139" s="1481" t="s">
        <v>1675</v>
      </c>
      <c r="H139" s="612">
        <v>105</v>
      </c>
      <c r="I139" s="1482" t="s">
        <v>1676</v>
      </c>
      <c r="J139" s="609">
        <v>20</v>
      </c>
      <c r="K139" s="613">
        <f>C145/(J139-2)</f>
        <v>4.0555555555555553E-3</v>
      </c>
    </row>
    <row r="140" spans="1:17" ht="15">
      <c r="B140" s="614">
        <v>5</v>
      </c>
      <c r="C140" s="615">
        <v>100</v>
      </c>
      <c r="D140" s="615"/>
      <c r="E140" s="616"/>
      <c r="F140" s="617">
        <v>102</v>
      </c>
      <c r="G140" s="615"/>
      <c r="H140" s="618"/>
      <c r="I140" s="1483" t="s">
        <v>1677</v>
      </c>
      <c r="J140" s="185">
        <f>ROUNDUP((J139-1)/2,0)</f>
        <v>10</v>
      </c>
      <c r="K140" s="619">
        <v>100</v>
      </c>
    </row>
    <row r="141" spans="1:17" ht="15">
      <c r="B141" s="614">
        <v>4</v>
      </c>
      <c r="C141" s="615">
        <v>102</v>
      </c>
      <c r="D141" s="615"/>
      <c r="E141" s="616"/>
      <c r="F141" s="617">
        <v>101.5</v>
      </c>
      <c r="G141" s="615"/>
      <c r="H141" s="618"/>
      <c r="I141" s="1483" t="s">
        <v>1678</v>
      </c>
      <c r="J141" s="185">
        <v>1</v>
      </c>
      <c r="K141" s="620">
        <f>ROUND(100+(J141-J140)*K139*100,1)</f>
        <v>96.4</v>
      </c>
    </row>
    <row r="142" spans="1:17" ht="15">
      <c r="B142" s="614">
        <v>3</v>
      </c>
      <c r="C142" s="615">
        <v>103</v>
      </c>
      <c r="D142" s="615"/>
      <c r="E142" s="616"/>
      <c r="F142" s="617">
        <v>101</v>
      </c>
      <c r="G142" s="615"/>
      <c r="H142" s="618"/>
      <c r="I142" s="1483" t="s">
        <v>1679</v>
      </c>
      <c r="J142" s="185">
        <f>J139</f>
        <v>20</v>
      </c>
      <c r="K142" s="621">
        <v>95</v>
      </c>
    </row>
    <row r="143" spans="1:17" ht="15">
      <c r="B143" s="614">
        <v>2</v>
      </c>
      <c r="C143" s="615">
        <v>100</v>
      </c>
      <c r="D143" s="615"/>
      <c r="E143" s="616"/>
      <c r="F143" s="617">
        <v>100.5</v>
      </c>
      <c r="G143" s="615"/>
      <c r="H143" s="618"/>
      <c r="I143" s="1483" t="s">
        <v>1680</v>
      </c>
      <c r="J143" s="615">
        <v>15</v>
      </c>
      <c r="K143" s="620">
        <f>ROUND(100+(J143-J140)*K139*100,1)</f>
        <v>102</v>
      </c>
    </row>
    <row r="144" spans="1:17" ht="15">
      <c r="B144" s="614">
        <v>1</v>
      </c>
      <c r="C144" s="615">
        <v>98</v>
      </c>
      <c r="D144" s="1484" t="s">
        <v>1681</v>
      </c>
      <c r="E144" s="616">
        <v>102</v>
      </c>
      <c r="F144" s="622">
        <v>100</v>
      </c>
      <c r="G144" s="1484" t="s">
        <v>1681</v>
      </c>
      <c r="H144" s="618">
        <v>105</v>
      </c>
      <c r="I144" s="1483" t="s">
        <v>1680</v>
      </c>
      <c r="J144" s="615">
        <v>18</v>
      </c>
      <c r="K144" s="620">
        <f>ROUND(100+(J144-J140)*K139*100,1)</f>
        <v>103.2</v>
      </c>
    </row>
    <row r="145" spans="2:11" ht="15.75" thickBot="1">
      <c r="B145" s="1485" t="s">
        <v>1682</v>
      </c>
      <c r="C145" s="623">
        <f>ROUND(MAX(C139:C144)/MIN(C139:C144)-1,3)</f>
        <v>7.2999999999999995E-2</v>
      </c>
      <c r="D145" s="624"/>
      <c r="E145" s="624"/>
      <c r="F145" s="1486" t="s">
        <v>1683</v>
      </c>
      <c r="G145" s="1487"/>
      <c r="H145" s="1488"/>
      <c r="I145" s="1489" t="s">
        <v>1680</v>
      </c>
      <c r="J145" s="625">
        <v>8</v>
      </c>
      <c r="K145" s="626">
        <f>ROUND(100+(J145-J140)*K139*100,1)</f>
        <v>99.2</v>
      </c>
    </row>
    <row r="147" spans="2:11">
      <c r="B147" s="1470" t="s">
        <v>1684</v>
      </c>
    </row>
    <row r="148" spans="2:11">
      <c r="B148" s="1470" t="s">
        <v>1685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E2" xr:uid="{00000000-0002-0000-1700-000014000000}">
      <formula1>"需扣减承租人权益,——"</formula1>
    </dataValidation>
    <dataValidation type="list" allowBlank="1" showInputMessage="1" showErrorMessage="1" sqref="H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 type="list" allowBlank="1" showInputMessage="1" showErrorMessage="1" sqref="C2" xr:uid="{00000000-0002-0000-1700-000018000000}">
      <formula1>"含税,不含税"</formula1>
    </dataValidation>
    <dataValidation type="list" allowBlank="1" showInputMessage="1" showErrorMessage="1" sqref="E3" xr:uid="{00000000-0002-0000-17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3817</v>
      </c>
      <c r="B1" s="2348" t="s">
        <v>3778</v>
      </c>
      <c r="C1" s="2348" t="s">
        <v>3779</v>
      </c>
      <c r="D1" s="2348" t="s">
        <v>3780</v>
      </c>
      <c r="E1" s="2348" t="s">
        <v>3781</v>
      </c>
      <c r="F1" s="2348" t="s">
        <v>3782</v>
      </c>
      <c r="G1" s="2348" t="s">
        <v>3783</v>
      </c>
      <c r="H1" s="2348" t="s">
        <v>3784</v>
      </c>
      <c r="I1" s="2348" t="s">
        <v>3785</v>
      </c>
      <c r="J1" s="2348" t="s">
        <v>3786</v>
      </c>
      <c r="K1" s="2348" t="s">
        <v>3787</v>
      </c>
      <c r="L1" s="2348" t="s">
        <v>3788</v>
      </c>
      <c r="M1" s="2348" t="s">
        <v>3789</v>
      </c>
      <c r="N1" s="2348" t="s">
        <v>3790</v>
      </c>
    </row>
    <row r="2" spans="1:14">
      <c r="A2" s="4443" t="s">
        <v>3816</v>
      </c>
      <c r="B2" s="4122">
        <v>45787.333831018521</v>
      </c>
      <c r="C2" s="4123" t="s">
        <v>3791</v>
      </c>
      <c r="D2" s="4123">
        <v>1</v>
      </c>
      <c r="E2" s="4123">
        <v>11</v>
      </c>
      <c r="F2" s="4123">
        <v>10</v>
      </c>
      <c r="G2" s="4123">
        <v>1011</v>
      </c>
      <c r="H2" s="4123" t="s">
        <v>3792</v>
      </c>
      <c r="I2" s="4123" t="s">
        <v>19</v>
      </c>
      <c r="J2" s="4123" t="s">
        <v>3793</v>
      </c>
      <c r="K2" s="4123">
        <v>1</v>
      </c>
      <c r="L2" s="4123">
        <v>361.7</v>
      </c>
      <c r="M2" s="4123">
        <v>751.25</v>
      </c>
      <c r="N2" s="4123">
        <v>20770</v>
      </c>
    </row>
    <row r="3" spans="1:14">
      <c r="A3" s="4443"/>
      <c r="B3" s="4122">
        <v>45839.333831018521</v>
      </c>
      <c r="C3" s="4123" t="s">
        <v>3791</v>
      </c>
      <c r="D3" s="4123">
        <v>1</v>
      </c>
      <c r="E3" s="4123">
        <v>11</v>
      </c>
      <c r="F3" s="4123">
        <v>4</v>
      </c>
      <c r="G3" s="4123">
        <v>407</v>
      </c>
      <c r="H3" s="4123" t="s">
        <v>3792</v>
      </c>
      <c r="I3" s="4123" t="s">
        <v>19</v>
      </c>
      <c r="J3" s="4123" t="s">
        <v>3793</v>
      </c>
      <c r="K3" s="4123">
        <v>1</v>
      </c>
      <c r="L3" s="4123">
        <v>158.43</v>
      </c>
      <c r="M3" s="4123">
        <v>329.06</v>
      </c>
      <c r="N3" s="4123">
        <v>20770</v>
      </c>
    </row>
    <row r="4" spans="1:14">
      <c r="A4" s="4443"/>
      <c r="B4" s="4117">
        <v>45930.333831018521</v>
      </c>
      <c r="C4" s="2348" t="s">
        <v>3794</v>
      </c>
      <c r="D4" s="2348">
        <v>1</v>
      </c>
      <c r="E4" s="2348">
        <v>11</v>
      </c>
      <c r="F4" s="2348">
        <v>7</v>
      </c>
      <c r="G4" s="2348">
        <v>701</v>
      </c>
      <c r="H4" s="2348" t="s">
        <v>3795</v>
      </c>
      <c r="I4" s="2348" t="s">
        <v>19</v>
      </c>
      <c r="J4" s="2348" t="s">
        <v>3793</v>
      </c>
      <c r="K4" s="2348">
        <v>1</v>
      </c>
      <c r="L4" s="2348">
        <v>128.76</v>
      </c>
      <c r="M4" s="2348">
        <v>248.21</v>
      </c>
      <c r="N4" s="2348">
        <v>19277</v>
      </c>
    </row>
    <row r="5" spans="1:14">
      <c r="A5" s="4443"/>
      <c r="B5" s="4117">
        <v>45930.333831018521</v>
      </c>
      <c r="C5" s="2348" t="s">
        <v>3794</v>
      </c>
      <c r="D5" s="2348">
        <v>1</v>
      </c>
      <c r="E5" s="2348">
        <v>11</v>
      </c>
      <c r="F5" s="2348">
        <v>7</v>
      </c>
      <c r="G5" s="2348">
        <v>703</v>
      </c>
      <c r="H5" s="2348" t="s">
        <v>3795</v>
      </c>
      <c r="I5" s="2348" t="s">
        <v>19</v>
      </c>
      <c r="J5" s="2348" t="s">
        <v>3793</v>
      </c>
      <c r="K5" s="2348">
        <v>1</v>
      </c>
      <c r="L5" s="2348">
        <v>168.83</v>
      </c>
      <c r="M5" s="2348">
        <v>325.45</v>
      </c>
      <c r="N5" s="2348">
        <v>19277</v>
      </c>
    </row>
    <row r="6" spans="1:14">
      <c r="A6" s="4443"/>
      <c r="B6" s="4117">
        <v>45930.333831018521</v>
      </c>
      <c r="C6" s="2348" t="s">
        <v>3791</v>
      </c>
      <c r="D6" s="2348">
        <v>1</v>
      </c>
      <c r="E6" s="2348">
        <v>11</v>
      </c>
      <c r="F6" s="2348">
        <v>3</v>
      </c>
      <c r="G6" s="2348">
        <v>312</v>
      </c>
      <c r="H6" s="2348" t="s">
        <v>3792</v>
      </c>
      <c r="I6" s="2348" t="s">
        <v>19</v>
      </c>
      <c r="J6" s="2348" t="s">
        <v>3793</v>
      </c>
      <c r="K6" s="2348">
        <v>1</v>
      </c>
      <c r="L6" s="2348">
        <v>148.6</v>
      </c>
      <c r="M6" s="2348">
        <v>286.45999999999998</v>
      </c>
      <c r="N6" s="2348">
        <v>19277</v>
      </c>
    </row>
    <row r="7" spans="1:14">
      <c r="A7" s="4443"/>
      <c r="B7" s="4117">
        <v>45930.333831018521</v>
      </c>
      <c r="C7" s="2348" t="s">
        <v>3791</v>
      </c>
      <c r="D7" s="2348">
        <v>1</v>
      </c>
      <c r="E7" s="2348">
        <v>11</v>
      </c>
      <c r="F7" s="2348">
        <v>3</v>
      </c>
      <c r="G7" s="2348">
        <v>301</v>
      </c>
      <c r="H7" s="2348" t="s">
        <v>3792</v>
      </c>
      <c r="I7" s="2348" t="s">
        <v>19</v>
      </c>
      <c r="J7" s="2348" t="s">
        <v>3793</v>
      </c>
      <c r="K7" s="2348">
        <v>1</v>
      </c>
      <c r="L7" s="2348">
        <v>158.07</v>
      </c>
      <c r="M7" s="2348">
        <v>304.70999999999998</v>
      </c>
      <c r="N7" s="2348">
        <v>19277</v>
      </c>
    </row>
    <row r="8" spans="1:14">
      <c r="A8" s="4443" t="s">
        <v>3815</v>
      </c>
      <c r="B8" s="4120">
        <v>45968.333831018521</v>
      </c>
      <c r="C8" s="4121" t="s">
        <v>3813</v>
      </c>
      <c r="D8" s="4121">
        <v>1</v>
      </c>
      <c r="E8" s="4121">
        <v>21</v>
      </c>
      <c r="F8" s="4121">
        <v>20</v>
      </c>
      <c r="G8" s="4121">
        <v>2001</v>
      </c>
      <c r="H8" s="4121" t="s">
        <v>3814</v>
      </c>
      <c r="I8" s="4121" t="s">
        <v>19</v>
      </c>
      <c r="J8" s="4121" t="s">
        <v>3793</v>
      </c>
      <c r="K8" s="4121">
        <v>1</v>
      </c>
      <c r="L8" s="4121">
        <v>725.98</v>
      </c>
      <c r="M8" s="4121">
        <v>1435.48</v>
      </c>
      <c r="N8" s="4121">
        <v>19773</v>
      </c>
    </row>
    <row r="9" spans="1:14">
      <c r="A9" s="4443"/>
      <c r="B9" s="4118">
        <v>45968.333831018521</v>
      </c>
      <c r="C9" s="4119" t="s">
        <v>3813</v>
      </c>
      <c r="D9" s="4119">
        <v>1</v>
      </c>
      <c r="E9" s="4119">
        <v>21</v>
      </c>
      <c r="F9" s="4119">
        <v>20</v>
      </c>
      <c r="G9" s="4119">
        <v>2002</v>
      </c>
      <c r="H9" s="4119" t="s">
        <v>3814</v>
      </c>
      <c r="I9" s="4119" t="s">
        <v>19</v>
      </c>
      <c r="J9" s="4119" t="s">
        <v>3793</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18" zoomScale="85" zoomScaleNormal="70" zoomScaleSheetLayoutView="85" workbookViewId="0">
      <selection activeCell="M36" sqref="M36"/>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1580</v>
      </c>
      <c r="B1" s="1497" t="s">
        <v>1730</v>
      </c>
      <c r="C1" s="882" t="s">
        <v>1582</v>
      </c>
      <c r="D1" s="883"/>
      <c r="E1" s="2629" t="s">
        <v>3748</v>
      </c>
      <c r="F1" s="1438" t="s">
        <v>3749</v>
      </c>
      <c r="G1" s="893" t="s">
        <v>1687</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1439</v>
      </c>
      <c r="B2" s="3174">
        <f>IF(C2="含税",D2,ROUND(D2/(1+F3),0))</f>
        <v>297.67529999999999</v>
      </c>
      <c r="C2" s="3075" t="s">
        <v>3740</v>
      </c>
      <c r="D2" s="3218">
        <f>IF(E1="项目模式",IF(E2="——",ROUND(C50*D3/10000,0),ROUND(C50*D3/10000,0)-F2),IF(E1="单套模式",IF(E2="——",ROUND(C50*D3/10000,4),ROUND(C50*D3/10000,4)-F2)))</f>
        <v>297.67529999999999</v>
      </c>
      <c r="E2" s="1440" t="s">
        <v>41</v>
      </c>
      <c r="F2" s="3219" t="e">
        <f ca="1">IF(E1="项目模式",SUMIF(INDIRECT("'"&amp;H2&amp;"'"&amp;"!A:A"),"承租人权益价值",INDIRECT("'"&amp;H2&amp;"'"&amp;"!c:c")),SUMIF(INDIRECT("'"&amp;H2&amp;"'"&amp;"!A:A"),"承租人权益价值（单套）",INDIRECT("'"&amp;H2&amp;"'"&amp;"!c:c")))</f>
        <v>#REF!</v>
      </c>
      <c r="G2" s="1441" t="s">
        <v>1440</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1441</v>
      </c>
      <c r="B3" s="3175">
        <f>IF(E2="——",C50,ROUND(B2*10000/D3,0))</f>
        <v>20463</v>
      </c>
      <c r="C3" s="253" t="s">
        <v>1688</v>
      </c>
      <c r="D3" s="3175">
        <f>IF(D1="",'数据-汇总表'!E3,SUMIF('数据-汇总表'!$C19:$C33,D1,'数据-汇总表'!$E19:$E33))</f>
        <v>145.47</v>
      </c>
      <c r="E3" s="3083" t="s">
        <v>3526</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1689</v>
      </c>
      <c r="B4" s="255"/>
      <c r="C4" s="4450" t="s">
        <v>1690</v>
      </c>
      <c r="D4" s="4451"/>
      <c r="E4" s="4452" t="s">
        <v>1691</v>
      </c>
      <c r="F4" s="4453"/>
      <c r="G4" s="4450" t="s">
        <v>1692</v>
      </c>
      <c r="H4" s="4451"/>
      <c r="I4" s="4450" t="s">
        <v>1693</v>
      </c>
      <c r="J4" s="4451"/>
      <c r="K4" s="415" t="s">
        <v>1694</v>
      </c>
      <c r="L4" s="2083"/>
      <c r="M4" s="2084"/>
      <c r="N4" s="2084"/>
      <c r="O4" s="2084"/>
      <c r="P4" s="4454" t="s">
        <v>1695</v>
      </c>
      <c r="Q4" s="4455"/>
      <c r="R4" s="4458" t="s">
        <v>1691</v>
      </c>
      <c r="S4" s="4459"/>
      <c r="T4" s="4458" t="s">
        <v>1692</v>
      </c>
      <c r="U4" s="4459"/>
      <c r="V4" s="4460" t="s">
        <v>1693</v>
      </c>
      <c r="W4" s="4460"/>
      <c r="X4" s="1498"/>
      <c r="Y4" s="4466" t="s">
        <v>1695</v>
      </c>
      <c r="Z4" s="4467"/>
      <c r="AA4" s="4471" t="s">
        <v>1691</v>
      </c>
      <c r="AB4" s="4471" t="s">
        <v>1692</v>
      </c>
      <c r="AC4" s="4447" t="s">
        <v>1693</v>
      </c>
    </row>
    <row r="5" spans="1:29" ht="15">
      <c r="A5" s="257"/>
      <c r="B5" s="258"/>
      <c r="C5" s="4468" t="s">
        <v>3868</v>
      </c>
      <c r="D5" s="4464"/>
      <c r="E5" s="4472" t="s">
        <v>3796</v>
      </c>
      <c r="F5" s="4473"/>
      <c r="G5" s="4463" t="s">
        <v>3797</v>
      </c>
      <c r="H5" s="4464"/>
      <c r="I5" s="4463" t="str">
        <f>中指成交!A8</f>
        <v>保利未来大都会</v>
      </c>
      <c r="J5" s="4464"/>
      <c r="K5" s="415"/>
      <c r="L5" s="2083"/>
      <c r="M5" s="2084"/>
      <c r="N5" s="2084"/>
      <c r="O5" s="2084"/>
      <c r="P5" s="4456"/>
      <c r="Q5" s="4414"/>
      <c r="R5" s="4419"/>
      <c r="S5" s="4420"/>
      <c r="T5" s="4419"/>
      <c r="U5" s="4420"/>
      <c r="V5" s="4423"/>
      <c r="W5" s="4423"/>
      <c r="X5" s="984"/>
      <c r="Y5" s="4434"/>
      <c r="Z5" s="4435"/>
      <c r="AA5" s="4405"/>
      <c r="AB5" s="4405"/>
      <c r="AC5" s="4448"/>
    </row>
    <row r="6" spans="1:29" ht="15.75" thickBot="1">
      <c r="A6" s="259"/>
      <c r="B6" s="260"/>
      <c r="C6" s="4461" t="s">
        <v>1597</v>
      </c>
      <c r="D6" s="4462"/>
      <c r="E6" s="4469" t="s">
        <v>1597</v>
      </c>
      <c r="F6" s="4470"/>
      <c r="G6" s="4461" t="s">
        <v>1597</v>
      </c>
      <c r="H6" s="4462"/>
      <c r="I6" s="4461" t="s">
        <v>1597</v>
      </c>
      <c r="J6" s="4462"/>
      <c r="K6" s="415" t="s">
        <v>1598</v>
      </c>
      <c r="L6" s="2083"/>
      <c r="M6" s="2084"/>
      <c r="N6" s="2084"/>
      <c r="O6" s="2084"/>
      <c r="P6" s="4457"/>
      <c r="Q6" s="4416"/>
      <c r="R6" s="4419"/>
      <c r="S6" s="4420"/>
      <c r="T6" s="4421"/>
      <c r="U6" s="4422"/>
      <c r="V6" s="4423"/>
      <c r="W6" s="4423"/>
      <c r="X6" s="984"/>
      <c r="Y6" s="4436"/>
      <c r="Z6" s="4437"/>
      <c r="AA6" s="4406"/>
      <c r="AB6" s="4406"/>
      <c r="AC6" s="4449"/>
    </row>
    <row r="7" spans="1:29" s="61" customFormat="1" ht="15.75" thickBot="1">
      <c r="A7" s="261" t="s">
        <v>1599</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65" t="s">
        <v>1600</v>
      </c>
      <c r="Q7" s="4438"/>
      <c r="R7" s="3573" t="s">
        <v>13</v>
      </c>
      <c r="S7" s="3574">
        <f t="shared" ref="S7:S15" si="0">F7</f>
        <v>100</v>
      </c>
      <c r="T7" s="3573" t="s">
        <v>13</v>
      </c>
      <c r="U7" s="3574">
        <f t="shared" ref="U7:U15" si="1">H7</f>
        <v>100</v>
      </c>
      <c r="V7" s="3573" t="s">
        <v>13</v>
      </c>
      <c r="W7" s="3574">
        <f t="shared" ref="W7:W15" si="2">J7</f>
        <v>100</v>
      </c>
      <c r="X7" s="513"/>
      <c r="Y7" s="4430" t="s">
        <v>1600</v>
      </c>
      <c r="Z7" s="4431"/>
      <c r="AA7" s="41">
        <f>D7/F7</f>
        <v>1</v>
      </c>
      <c r="AB7" s="41">
        <f>D7/H7</f>
        <v>1</v>
      </c>
      <c r="AC7" s="597">
        <f>D7/J7</f>
        <v>1</v>
      </c>
    </row>
    <row r="8" spans="1:29" s="61" customFormat="1" ht="15.75" thickBot="1">
      <c r="A8" s="261" t="s">
        <v>1601</v>
      </c>
      <c r="B8" s="262"/>
      <c r="C8" s="265" t="s">
        <v>3674</v>
      </c>
      <c r="D8" s="3222">
        <v>100</v>
      </c>
      <c r="E8" s="265" t="s">
        <v>3674</v>
      </c>
      <c r="F8" s="3807">
        <f>SUMIF(62:62,E8,63:63)-SUMIF(62:62,C8,63:63)+100</f>
        <v>100</v>
      </c>
      <c r="G8" s="265" t="s">
        <v>3674</v>
      </c>
      <c r="H8" s="3819">
        <f>SUMIF(62:62,G8,63:63)-SUMIF(62:62,C8,63:63)+100</f>
        <v>100</v>
      </c>
      <c r="I8" s="265" t="s">
        <v>3674</v>
      </c>
      <c r="J8" s="3819">
        <f>SUMIF(62:62,I8,63:63)-SUMIF(62:62,C8,63:63)+100</f>
        <v>100</v>
      </c>
      <c r="K8" s="35"/>
      <c r="L8" s="2085"/>
      <c r="M8" s="2036"/>
      <c r="N8" s="2036"/>
      <c r="O8" s="2036"/>
      <c r="P8" s="4465" t="s">
        <v>1603</v>
      </c>
      <c r="Q8" s="4429"/>
      <c r="R8" s="3573" t="s">
        <v>13</v>
      </c>
      <c r="S8" s="3574">
        <f t="shared" si="0"/>
        <v>100</v>
      </c>
      <c r="T8" s="3573" t="s">
        <v>13</v>
      </c>
      <c r="U8" s="3574">
        <f t="shared" si="1"/>
        <v>100</v>
      </c>
      <c r="V8" s="3573" t="s">
        <v>13</v>
      </c>
      <c r="W8" s="3574">
        <f t="shared" si="2"/>
        <v>100</v>
      </c>
      <c r="X8" s="513"/>
      <c r="Y8" s="4430" t="s">
        <v>1603</v>
      </c>
      <c r="Z8" s="4431"/>
      <c r="AA8" s="41">
        <f t="shared" ref="AA8:AA47" si="3">D8/F8</f>
        <v>1</v>
      </c>
      <c r="AB8" s="41">
        <f t="shared" ref="AB8:AB47" si="4">D8/H8</f>
        <v>1</v>
      </c>
      <c r="AC8" s="597">
        <f t="shared" ref="AC8:AC47" si="5">D8/J8</f>
        <v>1</v>
      </c>
    </row>
    <row r="9" spans="1:29" s="61" customFormat="1">
      <c r="A9" s="266" t="s">
        <v>1604</v>
      </c>
      <c r="B9" s="47" t="s">
        <v>1605</v>
      </c>
      <c r="C9" s="4110" t="s">
        <v>3750</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402" t="s">
        <v>1606</v>
      </c>
      <c r="Q9" s="1792" t="str">
        <f t="shared" ref="Q9:Q15" si="6">B9</f>
        <v>用途</v>
      </c>
      <c r="R9" s="3573" t="s">
        <v>13</v>
      </c>
      <c r="S9" s="3574">
        <f t="shared" si="0"/>
        <v>100</v>
      </c>
      <c r="T9" s="3573" t="s">
        <v>13</v>
      </c>
      <c r="U9" s="3574">
        <f t="shared" si="1"/>
        <v>100</v>
      </c>
      <c r="V9" s="3573" t="s">
        <v>13</v>
      </c>
      <c r="W9" s="3574">
        <f t="shared" si="2"/>
        <v>100</v>
      </c>
      <c r="X9" s="513"/>
      <c r="Y9" s="4403" t="s">
        <v>1607</v>
      </c>
      <c r="Z9" s="41" t="str">
        <f t="shared" ref="Z9:Z15" si="7">Q9</f>
        <v>用途</v>
      </c>
      <c r="AA9" s="41">
        <f t="shared" si="3"/>
        <v>1</v>
      </c>
      <c r="AB9" s="41">
        <f t="shared" si="4"/>
        <v>1</v>
      </c>
      <c r="AC9" s="597">
        <f t="shared" si="5"/>
        <v>1</v>
      </c>
    </row>
    <row r="10" spans="1:29" s="272" customFormat="1" ht="27" hidden="1">
      <c r="A10" s="270"/>
      <c r="B10" s="271" t="s">
        <v>1608</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597">
        <f t="shared" si="5"/>
        <v>1</v>
      </c>
    </row>
    <row r="11" spans="1:29" ht="15" hidden="1">
      <c r="A11" s="273"/>
      <c r="B11" s="271" t="s">
        <v>1609</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402"/>
      <c r="Q11" s="1792" t="str">
        <f t="shared" si="6"/>
        <v>容积率</v>
      </c>
      <c r="R11" s="3573" t="s">
        <v>13</v>
      </c>
      <c r="S11" s="3574">
        <f t="shared" si="0"/>
        <v>100</v>
      </c>
      <c r="T11" s="3573" t="s">
        <v>13</v>
      </c>
      <c r="U11" s="3574">
        <f t="shared" si="1"/>
        <v>100</v>
      </c>
      <c r="V11" s="3573" t="s">
        <v>13</v>
      </c>
      <c r="W11" s="3574">
        <f t="shared" si="2"/>
        <v>100</v>
      </c>
      <c r="X11" s="513"/>
      <c r="Y11" s="4403"/>
      <c r="Z11" s="41" t="str">
        <f t="shared" si="7"/>
        <v>容积率</v>
      </c>
      <c r="AA11" s="41">
        <f t="shared" si="3"/>
        <v>1</v>
      </c>
      <c r="AB11" s="41">
        <f t="shared" si="4"/>
        <v>1</v>
      </c>
      <c r="AC11" s="597">
        <f t="shared" si="5"/>
        <v>1</v>
      </c>
    </row>
    <row r="12" spans="1:29" s="61" customFormat="1" ht="15.75" thickBot="1">
      <c r="A12" s="276"/>
      <c r="B12" s="4128" t="s">
        <v>3855</v>
      </c>
      <c r="C12" s="4129" t="s">
        <v>3858</v>
      </c>
      <c r="D12" s="3225">
        <v>100</v>
      </c>
      <c r="E12" s="4129" t="s">
        <v>3859</v>
      </c>
      <c r="F12" s="3809">
        <f>SUMIF(71:71,E12,72:72)-SUMIF(71:71,C12,72:72)+100</f>
        <v>102</v>
      </c>
      <c r="G12" s="4130" t="s">
        <v>3859</v>
      </c>
      <c r="H12" s="3809">
        <f>SUMIF(71:71,G12,72:72)-SUMIF(71:71,C12,72:72)+100</f>
        <v>102</v>
      </c>
      <c r="I12" s="4129" t="s">
        <v>3859</v>
      </c>
      <c r="J12" s="3809">
        <f>SUMIF(71:71,I12,72:72)-SUMIF(71:71,C12,72:72)+100</f>
        <v>102</v>
      </c>
      <c r="K12" s="417"/>
      <c r="L12" s="2085"/>
      <c r="M12" s="2036"/>
      <c r="N12" s="2036"/>
      <c r="O12" s="2036"/>
      <c r="P12" s="4402"/>
      <c r="Q12" s="1792" t="str">
        <f t="shared" si="6"/>
        <v>交易限制</v>
      </c>
      <c r="R12" s="3573" t="s">
        <v>13</v>
      </c>
      <c r="S12" s="3574">
        <f t="shared" si="0"/>
        <v>102</v>
      </c>
      <c r="T12" s="3573" t="s">
        <v>13</v>
      </c>
      <c r="U12" s="3574">
        <f t="shared" si="1"/>
        <v>102</v>
      </c>
      <c r="V12" s="3573" t="s">
        <v>13</v>
      </c>
      <c r="W12" s="3574">
        <f t="shared" si="2"/>
        <v>102</v>
      </c>
      <c r="X12" s="513"/>
      <c r="Y12" s="4403"/>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402"/>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402"/>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597">
        <f t="shared" si="5"/>
        <v>1</v>
      </c>
    </row>
    <row r="15" spans="1:29" ht="15">
      <c r="A15" s="281" t="s">
        <v>1610</v>
      </c>
      <c r="B15" s="429" t="s">
        <v>1731</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400" t="s">
        <v>1611</v>
      </c>
      <c r="Q15" s="1592" t="str">
        <f t="shared" si="6"/>
        <v>办公集聚程度</v>
      </c>
      <c r="R15" s="3575" t="s">
        <v>13</v>
      </c>
      <c r="S15" s="3576">
        <f t="shared" si="0"/>
        <v>100</v>
      </c>
      <c r="T15" s="3575" t="s">
        <v>13</v>
      </c>
      <c r="U15" s="3576">
        <f t="shared" si="1"/>
        <v>100</v>
      </c>
      <c r="V15" s="3575" t="s">
        <v>13</v>
      </c>
      <c r="W15" s="3576">
        <f t="shared" si="2"/>
        <v>100</v>
      </c>
      <c r="X15" s="984"/>
      <c r="Y15" s="4393" t="s">
        <v>1611</v>
      </c>
      <c r="Z15" s="982" t="str">
        <f t="shared" si="7"/>
        <v>办公集聚程度</v>
      </c>
      <c r="AA15" s="982">
        <f t="shared" si="3"/>
        <v>1</v>
      </c>
      <c r="AB15" s="982">
        <f t="shared" si="4"/>
        <v>1</v>
      </c>
      <c r="AC15" s="1501">
        <f t="shared" si="5"/>
        <v>1</v>
      </c>
    </row>
    <row r="16" spans="1:29" ht="15">
      <c r="A16" s="273"/>
      <c r="B16" s="430"/>
      <c r="C16" s="1453" t="s">
        <v>3664</v>
      </c>
      <c r="D16" s="3229"/>
      <c r="E16" s="1453" t="s">
        <v>3664</v>
      </c>
      <c r="F16" s="3811"/>
      <c r="G16" s="1453" t="s">
        <v>3664</v>
      </c>
      <c r="H16" s="3812"/>
      <c r="I16" s="1453" t="s">
        <v>3664</v>
      </c>
      <c r="J16" s="3811"/>
      <c r="K16" s="419"/>
      <c r="L16" s="2089"/>
      <c r="M16" s="2084"/>
      <c r="N16" s="2084"/>
      <c r="O16" s="2084"/>
      <c r="P16" s="4401"/>
      <c r="Q16" s="1592"/>
      <c r="R16" s="3575"/>
      <c r="S16" s="3576"/>
      <c r="T16" s="3575"/>
      <c r="U16" s="3576"/>
      <c r="V16" s="3575"/>
      <c r="W16" s="3576"/>
      <c r="X16" s="984"/>
      <c r="Y16" s="4394"/>
      <c r="Z16" s="982"/>
      <c r="AA16" s="982">
        <v>1</v>
      </c>
      <c r="AB16" s="982">
        <v>1</v>
      </c>
      <c r="AC16" s="1501">
        <v>1</v>
      </c>
    </row>
    <row r="17" spans="1:29" ht="15">
      <c r="A17" s="273"/>
      <c r="B17" s="431" t="s">
        <v>1236</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401"/>
      <c r="Q17" s="1592" t="str">
        <f>B17</f>
        <v>交通便捷度</v>
      </c>
      <c r="R17" s="3575" t="s">
        <v>13</v>
      </c>
      <c r="S17" s="3576">
        <f>F17</f>
        <v>100</v>
      </c>
      <c r="T17" s="3575" t="s">
        <v>13</v>
      </c>
      <c r="U17" s="3576">
        <f>H17</f>
        <v>100</v>
      </c>
      <c r="V17" s="3575" t="s">
        <v>13</v>
      </c>
      <c r="W17" s="3576">
        <f>J17</f>
        <v>100</v>
      </c>
      <c r="X17" s="984"/>
      <c r="Y17" s="4394"/>
      <c r="Z17" s="982" t="str">
        <f>Q17</f>
        <v>交通便捷度</v>
      </c>
      <c r="AA17" s="982">
        <f t="shared" si="3"/>
        <v>1</v>
      </c>
      <c r="AB17" s="982">
        <f t="shared" si="4"/>
        <v>1</v>
      </c>
      <c r="AC17" s="1501">
        <f t="shared" si="5"/>
        <v>1</v>
      </c>
    </row>
    <row r="18" spans="1:29" ht="15">
      <c r="A18" s="273"/>
      <c r="B18" s="432"/>
      <c r="C18" s="1503" t="s">
        <v>3664</v>
      </c>
      <c r="D18" s="3230"/>
      <c r="E18" s="1503" t="s">
        <v>3664</v>
      </c>
      <c r="F18" s="3812"/>
      <c r="G18" s="1503" t="s">
        <v>3664</v>
      </c>
      <c r="H18" s="3811"/>
      <c r="I18" s="1503" t="s">
        <v>3664</v>
      </c>
      <c r="J18" s="3811"/>
      <c r="K18" s="419"/>
      <c r="L18" s="2089"/>
      <c r="M18" s="2084"/>
      <c r="N18" s="2084"/>
      <c r="O18" s="2084"/>
      <c r="P18" s="4401"/>
      <c r="Q18" s="1592"/>
      <c r="R18" s="3575"/>
      <c r="S18" s="3576"/>
      <c r="T18" s="3575"/>
      <c r="U18" s="3576"/>
      <c r="V18" s="3575"/>
      <c r="W18" s="3576"/>
      <c r="X18" s="984"/>
      <c r="Y18" s="4394"/>
      <c r="Z18" s="982"/>
      <c r="AA18" s="982">
        <v>1</v>
      </c>
      <c r="AB18" s="982">
        <v>1</v>
      </c>
      <c r="AC18" s="1501">
        <v>1</v>
      </c>
    </row>
    <row r="19" spans="1:29" ht="15">
      <c r="A19" s="273"/>
      <c r="B19" s="431" t="s">
        <v>1732</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401"/>
      <c r="Q19" s="1592" t="str">
        <f>B19</f>
        <v>公共配套设施</v>
      </c>
      <c r="R19" s="3575" t="s">
        <v>13</v>
      </c>
      <c r="S19" s="3576">
        <f>F19</f>
        <v>100</v>
      </c>
      <c r="T19" s="3575" t="s">
        <v>13</v>
      </c>
      <c r="U19" s="3576">
        <f>H19</f>
        <v>100</v>
      </c>
      <c r="V19" s="3575" t="s">
        <v>13</v>
      </c>
      <c r="W19" s="3576">
        <f>J19</f>
        <v>100</v>
      </c>
      <c r="X19" s="984"/>
      <c r="Y19" s="4394"/>
      <c r="Z19" s="982" t="str">
        <f>Q19</f>
        <v>公共配套设施</v>
      </c>
      <c r="AA19" s="982">
        <f t="shared" si="3"/>
        <v>1</v>
      </c>
      <c r="AB19" s="982">
        <f t="shared" si="4"/>
        <v>1</v>
      </c>
      <c r="AC19" s="1501">
        <f t="shared" si="5"/>
        <v>1</v>
      </c>
    </row>
    <row r="20" spans="1:29" ht="15">
      <c r="A20" s="273"/>
      <c r="B20" s="432"/>
      <c r="C20" s="1453" t="s">
        <v>3663</v>
      </c>
      <c r="D20" s="3229"/>
      <c r="E20" s="1453" t="s">
        <v>3663</v>
      </c>
      <c r="F20" s="3811"/>
      <c r="G20" s="1453" t="s">
        <v>3663</v>
      </c>
      <c r="H20" s="3811"/>
      <c r="I20" s="1453" t="s">
        <v>3663</v>
      </c>
      <c r="J20" s="3811"/>
      <c r="K20" s="419"/>
      <c r="L20" s="2089"/>
      <c r="M20" s="2084"/>
      <c r="N20" s="2084"/>
      <c r="O20" s="2084"/>
      <c r="P20" s="4401"/>
      <c r="Q20" s="1592"/>
      <c r="R20" s="3575"/>
      <c r="S20" s="3576"/>
      <c r="T20" s="3575"/>
      <c r="U20" s="3576"/>
      <c r="V20" s="3575"/>
      <c r="W20" s="3576"/>
      <c r="X20" s="984"/>
      <c r="Y20" s="4394"/>
      <c r="Z20" s="982"/>
      <c r="AA20" s="982">
        <v>1</v>
      </c>
      <c r="AB20" s="982">
        <v>1</v>
      </c>
      <c r="AC20" s="1501">
        <v>1</v>
      </c>
    </row>
    <row r="21" spans="1:29" ht="15">
      <c r="A21" s="273"/>
      <c r="B21" s="433" t="s">
        <v>1733</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401"/>
      <c r="Q21" s="1592" t="str">
        <f>B21</f>
        <v>基础设施水平</v>
      </c>
      <c r="R21" s="3575" t="s">
        <v>13</v>
      </c>
      <c r="S21" s="3576">
        <f>F21</f>
        <v>100</v>
      </c>
      <c r="T21" s="3575" t="s">
        <v>13</v>
      </c>
      <c r="U21" s="3576">
        <f>H21</f>
        <v>100</v>
      </c>
      <c r="V21" s="3575" t="s">
        <v>13</v>
      </c>
      <c r="W21" s="3576">
        <f>J21</f>
        <v>100</v>
      </c>
      <c r="X21" s="984"/>
      <c r="Y21" s="4394"/>
      <c r="Z21" s="982" t="str">
        <f>Q21</f>
        <v>基础设施水平</v>
      </c>
      <c r="AA21" s="982">
        <f t="shared" ref="AA21" si="8">D21/F21</f>
        <v>1</v>
      </c>
      <c r="AB21" s="982">
        <f t="shared" ref="AB21" si="9">D21/H21</f>
        <v>1</v>
      </c>
      <c r="AC21" s="1501">
        <f t="shared" ref="AC21" si="10">D21/J21</f>
        <v>1</v>
      </c>
    </row>
    <row r="22" spans="1:29" ht="15">
      <c r="A22" s="273"/>
      <c r="B22" s="433"/>
      <c r="C22" s="1503" t="s">
        <v>3665</v>
      </c>
      <c r="D22" s="3229"/>
      <c r="E22" s="1503" t="s">
        <v>3665</v>
      </c>
      <c r="F22" s="3811"/>
      <c r="G22" s="1503" t="s">
        <v>3665</v>
      </c>
      <c r="H22" s="3811"/>
      <c r="I22" s="1503" t="s">
        <v>3665</v>
      </c>
      <c r="J22" s="3811"/>
      <c r="K22" s="822"/>
      <c r="L22" s="2089"/>
      <c r="M22" s="2084"/>
      <c r="N22" s="2084"/>
      <c r="O22" s="2084"/>
      <c r="P22" s="4401"/>
      <c r="Q22" s="1592"/>
      <c r="R22" s="3575"/>
      <c r="S22" s="3576"/>
      <c r="T22" s="3575"/>
      <c r="U22" s="3576"/>
      <c r="V22" s="3575"/>
      <c r="W22" s="3576"/>
      <c r="X22" s="984"/>
      <c r="Y22" s="4394"/>
      <c r="Z22" s="982"/>
      <c r="AA22" s="982">
        <v>1</v>
      </c>
      <c r="AB22" s="982">
        <v>1</v>
      </c>
      <c r="AC22" s="1501">
        <v>1</v>
      </c>
    </row>
    <row r="23" spans="1:29" ht="15">
      <c r="A23" s="273"/>
      <c r="B23" s="431" t="s">
        <v>1734</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401"/>
      <c r="Q23" s="1592" t="str">
        <f>B23</f>
        <v>环境质量</v>
      </c>
      <c r="R23" s="3575" t="s">
        <v>13</v>
      </c>
      <c r="S23" s="3576">
        <f>F23</f>
        <v>100</v>
      </c>
      <c r="T23" s="3575" t="s">
        <v>13</v>
      </c>
      <c r="U23" s="3576">
        <f>H23</f>
        <v>100</v>
      </c>
      <c r="V23" s="3575" t="s">
        <v>13</v>
      </c>
      <c r="W23" s="3576">
        <f>J23</f>
        <v>100</v>
      </c>
      <c r="X23" s="984"/>
      <c r="Y23" s="4394"/>
      <c r="Z23" s="982" t="str">
        <f>Q23</f>
        <v>环境质量</v>
      </c>
      <c r="AA23" s="982">
        <f t="shared" si="3"/>
        <v>1</v>
      </c>
      <c r="AB23" s="982">
        <f t="shared" si="4"/>
        <v>1</v>
      </c>
      <c r="AC23" s="1501">
        <f t="shared" si="5"/>
        <v>1</v>
      </c>
    </row>
    <row r="24" spans="1:29" ht="15">
      <c r="A24" s="273"/>
      <c r="B24" s="433"/>
      <c r="C24" s="1453" t="s">
        <v>3664</v>
      </c>
      <c r="D24" s="3229"/>
      <c r="E24" s="1453" t="s">
        <v>3664</v>
      </c>
      <c r="F24" s="3811"/>
      <c r="G24" s="1453" t="s">
        <v>3664</v>
      </c>
      <c r="H24" s="3811"/>
      <c r="I24" s="1453" t="s">
        <v>3664</v>
      </c>
      <c r="J24" s="3811"/>
      <c r="K24" s="419"/>
      <c r="L24" s="2089"/>
      <c r="M24" s="2084"/>
      <c r="N24" s="2084"/>
      <c r="O24" s="2084"/>
      <c r="P24" s="4401"/>
      <c r="Q24" s="1592"/>
      <c r="R24" s="3575"/>
      <c r="S24" s="3576"/>
      <c r="T24" s="3575"/>
      <c r="U24" s="3576"/>
      <c r="V24" s="3575"/>
      <c r="W24" s="3576"/>
      <c r="X24" s="984"/>
      <c r="Y24" s="4394"/>
      <c r="Z24" s="982"/>
      <c r="AA24" s="982">
        <v>1</v>
      </c>
      <c r="AB24" s="982">
        <v>1</v>
      </c>
      <c r="AC24" s="1501">
        <v>1</v>
      </c>
    </row>
    <row r="25" spans="1:29" ht="27" hidden="1">
      <c r="A25" s="257"/>
      <c r="B25" s="431" t="s">
        <v>1735</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401"/>
      <c r="Q25" s="1592" t="str">
        <f>B25</f>
        <v>毗邻道路的类型与等级</v>
      </c>
      <c r="R25" s="3575" t="s">
        <v>13</v>
      </c>
      <c r="S25" s="3576">
        <f>F25</f>
        <v>100</v>
      </c>
      <c r="T25" s="3575" t="s">
        <v>13</v>
      </c>
      <c r="U25" s="3576">
        <f>H25</f>
        <v>100</v>
      </c>
      <c r="V25" s="3575" t="s">
        <v>13</v>
      </c>
      <c r="W25" s="3576">
        <f>J25</f>
        <v>100</v>
      </c>
      <c r="X25" s="984"/>
      <c r="Y25" s="4394"/>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401"/>
      <c r="Q26" s="1592"/>
      <c r="R26" s="3575"/>
      <c r="S26" s="3576"/>
      <c r="T26" s="3575"/>
      <c r="U26" s="3576"/>
      <c r="V26" s="3575"/>
      <c r="W26" s="3576"/>
      <c r="X26" s="984"/>
      <c r="Y26" s="4394"/>
      <c r="Z26" s="982"/>
      <c r="AA26" s="982">
        <v>1</v>
      </c>
      <c r="AB26" s="982">
        <v>1</v>
      </c>
      <c r="AC26" s="1501">
        <v>1</v>
      </c>
    </row>
    <row r="27" spans="1:29" ht="15.75" thickBot="1">
      <c r="A27" s="273"/>
      <c r="B27" s="432" t="s">
        <v>1703</v>
      </c>
      <c r="C27" s="434" t="s">
        <v>3861</v>
      </c>
      <c r="D27" s="3226">
        <v>100</v>
      </c>
      <c r="E27" s="420" t="s">
        <v>3798</v>
      </c>
      <c r="F27" s="3814">
        <f>SUMIF(89:89,E27,90:90)-SUMIF(89:89,C27,90:90)+100</f>
        <v>102</v>
      </c>
      <c r="G27" s="434" t="s">
        <v>3801</v>
      </c>
      <c r="H27" s="3814">
        <f>SUMIF(89:89,G27,90:90)-SUMIF(89:89,C27,90:90)+100</f>
        <v>98</v>
      </c>
      <c r="I27" s="420" t="s">
        <v>3798</v>
      </c>
      <c r="J27" s="3814">
        <f>SUMIF(89:89,I27,90:90)-SUMIF(89:89,C27,90:90)+100</f>
        <v>102</v>
      </c>
      <c r="K27" s="416">
        <v>2</v>
      </c>
      <c r="L27" s="2089"/>
      <c r="M27" s="2084"/>
      <c r="N27" s="2084"/>
      <c r="O27" s="2084"/>
      <c r="P27" s="4401"/>
      <c r="Q27" s="1592" t="str">
        <f t="shared" ref="Q27:Q47" si="11">B27</f>
        <v>楼层</v>
      </c>
      <c r="R27" s="3575" t="s">
        <v>13</v>
      </c>
      <c r="S27" s="3576">
        <f>F27</f>
        <v>102</v>
      </c>
      <c r="T27" s="3575" t="s">
        <v>13</v>
      </c>
      <c r="U27" s="3576">
        <f>H27</f>
        <v>98</v>
      </c>
      <c r="V27" s="3575" t="s">
        <v>13</v>
      </c>
      <c r="W27" s="3576">
        <f>J27</f>
        <v>102</v>
      </c>
      <c r="X27" s="984"/>
      <c r="Y27" s="4394"/>
      <c r="Z27" s="982" t="str">
        <f>Q27</f>
        <v>楼层</v>
      </c>
      <c r="AA27" s="982">
        <f t="shared" si="3"/>
        <v>0.98039215686274506</v>
      </c>
      <c r="AB27" s="982">
        <f t="shared" si="4"/>
        <v>1.0204081632653061</v>
      </c>
      <c r="AC27" s="1501">
        <f t="shared" si="5"/>
        <v>0.98039215686274506</v>
      </c>
    </row>
    <row r="28" spans="1:29" s="61" customFormat="1" ht="15" hidden="1">
      <c r="A28" s="276"/>
      <c r="B28" s="431" t="s">
        <v>1736</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401"/>
      <c r="Q28" s="1792" t="str">
        <f t="shared" si="11"/>
        <v>朝向</v>
      </c>
      <c r="R28" s="3573" t="s">
        <v>13</v>
      </c>
      <c r="S28" s="3574">
        <f>F28</f>
        <v>100</v>
      </c>
      <c r="T28" s="3573" t="s">
        <v>13</v>
      </c>
      <c r="U28" s="3574">
        <f>H28</f>
        <v>100</v>
      </c>
      <c r="V28" s="3573" t="s">
        <v>13</v>
      </c>
      <c r="W28" s="3574">
        <f>J28</f>
        <v>100</v>
      </c>
      <c r="X28" s="513"/>
      <c r="Y28" s="4394"/>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401"/>
      <c r="Q29" s="1592">
        <f t="shared" si="11"/>
        <v>111</v>
      </c>
      <c r="R29" s="3575" t="s">
        <v>13</v>
      </c>
      <c r="S29" s="3576">
        <f t="shared" ref="S29:S47" si="12">F29</f>
        <v>100</v>
      </c>
      <c r="T29" s="3575" t="s">
        <v>13</v>
      </c>
      <c r="U29" s="3576">
        <f t="shared" ref="U29:U47" si="13">H29</f>
        <v>100</v>
      </c>
      <c r="V29" s="3575" t="s">
        <v>13</v>
      </c>
      <c r="W29" s="3576">
        <f t="shared" ref="W29:W47" si="14">J29</f>
        <v>100</v>
      </c>
      <c r="X29" s="984"/>
      <c r="Y29" s="4394"/>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401"/>
      <c r="Q30" s="1592">
        <f t="shared" si="11"/>
        <v>111</v>
      </c>
      <c r="R30" s="3575" t="s">
        <v>13</v>
      </c>
      <c r="S30" s="3576">
        <f t="shared" si="12"/>
        <v>100</v>
      </c>
      <c r="T30" s="3575" t="s">
        <v>13</v>
      </c>
      <c r="U30" s="3576">
        <f t="shared" si="13"/>
        <v>100</v>
      </c>
      <c r="V30" s="3575" t="s">
        <v>13</v>
      </c>
      <c r="W30" s="3576">
        <f t="shared" si="14"/>
        <v>100</v>
      </c>
      <c r="X30" s="984"/>
      <c r="Y30" s="4394"/>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401"/>
      <c r="Q31" s="1592">
        <f t="shared" si="11"/>
        <v>111</v>
      </c>
      <c r="R31" s="3575" t="s">
        <v>13</v>
      </c>
      <c r="S31" s="3576">
        <f t="shared" si="12"/>
        <v>100</v>
      </c>
      <c r="T31" s="3575" t="s">
        <v>13</v>
      </c>
      <c r="U31" s="3576">
        <f t="shared" si="13"/>
        <v>100</v>
      </c>
      <c r="V31" s="3575" t="s">
        <v>13</v>
      </c>
      <c r="W31" s="3576">
        <f t="shared" si="14"/>
        <v>100</v>
      </c>
      <c r="X31" s="984"/>
      <c r="Y31" s="4394"/>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401"/>
      <c r="Q32" s="1592">
        <f t="shared" si="11"/>
        <v>111</v>
      </c>
      <c r="R32" s="3575" t="s">
        <v>13</v>
      </c>
      <c r="S32" s="3576">
        <f t="shared" si="12"/>
        <v>100</v>
      </c>
      <c r="T32" s="3575" t="s">
        <v>13</v>
      </c>
      <c r="U32" s="3576">
        <f t="shared" si="13"/>
        <v>100</v>
      </c>
      <c r="V32" s="3575" t="s">
        <v>13</v>
      </c>
      <c r="W32" s="3576">
        <f t="shared" si="14"/>
        <v>100</v>
      </c>
      <c r="X32" s="984"/>
      <c r="Y32" s="4394"/>
      <c r="Z32" s="982">
        <f t="shared" si="15"/>
        <v>111</v>
      </c>
      <c r="AA32" s="982">
        <f t="shared" si="3"/>
        <v>1</v>
      </c>
      <c r="AB32" s="982">
        <f t="shared" si="4"/>
        <v>1</v>
      </c>
      <c r="AC32" s="1501">
        <f t="shared" si="5"/>
        <v>1</v>
      </c>
    </row>
    <row r="33" spans="1:29" ht="15">
      <c r="A33" s="281" t="s">
        <v>1614</v>
      </c>
      <c r="B33" s="47" t="s">
        <v>1737</v>
      </c>
      <c r="C33" s="1505" t="s">
        <v>3845</v>
      </c>
      <c r="D33" s="3233">
        <v>100</v>
      </c>
      <c r="E33" s="1505" t="s">
        <v>3845</v>
      </c>
      <c r="F33" s="3816">
        <f>SUMIF(101:101,E33,102:102)-SUMIF(101:101,C33,102:102)+100</f>
        <v>100</v>
      </c>
      <c r="G33" s="1505" t="s">
        <v>3845</v>
      </c>
      <c r="H33" s="3814">
        <f>SUMIF(101:101,G33,102:102)-SUMIF(101:101,C33,102:102)+100</f>
        <v>100</v>
      </c>
      <c r="I33" s="1505" t="s">
        <v>3845</v>
      </c>
      <c r="J33" s="3820">
        <f>SUMIF(101:101,I33,102:102)-SUMIF(101:101,C33,102:102)+100</f>
        <v>100</v>
      </c>
      <c r="K33" s="416">
        <v>1</v>
      </c>
      <c r="L33" s="2089"/>
      <c r="M33" s="2084"/>
      <c r="N33" s="2084"/>
      <c r="O33" s="2084"/>
      <c r="P33" s="4395" t="s">
        <v>1616</v>
      </c>
      <c r="Q33" s="1592" t="str">
        <f t="shared" si="11"/>
        <v>建筑类型</v>
      </c>
      <c r="R33" s="3575" t="s">
        <v>13</v>
      </c>
      <c r="S33" s="3576">
        <f t="shared" si="12"/>
        <v>100</v>
      </c>
      <c r="T33" s="3575" t="s">
        <v>13</v>
      </c>
      <c r="U33" s="3576">
        <f t="shared" si="13"/>
        <v>100</v>
      </c>
      <c r="V33" s="3575" t="s">
        <v>13</v>
      </c>
      <c r="W33" s="3576">
        <f t="shared" si="14"/>
        <v>100</v>
      </c>
      <c r="X33" s="984"/>
      <c r="Y33" s="4398" t="s">
        <v>1616</v>
      </c>
      <c r="Z33" s="982" t="str">
        <f t="shared" si="15"/>
        <v>建筑类型</v>
      </c>
      <c r="AA33" s="982">
        <f t="shared" si="3"/>
        <v>1</v>
      </c>
      <c r="AB33" s="982">
        <f t="shared" si="4"/>
        <v>1</v>
      </c>
      <c r="AC33" s="1501">
        <f t="shared" si="5"/>
        <v>1</v>
      </c>
    </row>
    <row r="34" spans="1:29" s="298" customFormat="1" ht="15">
      <c r="A34" s="296"/>
      <c r="B34" s="271" t="s">
        <v>1617</v>
      </c>
      <c r="C34" s="297">
        <f>'数据-汇总表'!E3</f>
        <v>145.47</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396"/>
      <c r="Q34" s="410" t="str">
        <f t="shared" si="11"/>
        <v>项目建筑规模</v>
      </c>
      <c r="R34" s="3577" t="s">
        <v>13</v>
      </c>
      <c r="S34" s="3578">
        <f t="shared" si="12"/>
        <v>98</v>
      </c>
      <c r="T34" s="3577" t="s">
        <v>13</v>
      </c>
      <c r="U34" s="3578">
        <f t="shared" si="13"/>
        <v>100</v>
      </c>
      <c r="V34" s="3577" t="s">
        <v>13</v>
      </c>
      <c r="W34" s="3578">
        <f t="shared" si="14"/>
        <v>94</v>
      </c>
      <c r="X34" s="518"/>
      <c r="Y34" s="4398"/>
      <c r="Z34" s="519" t="str">
        <f t="shared" si="15"/>
        <v>项目建筑规模</v>
      </c>
      <c r="AA34" s="982">
        <f t="shared" si="3"/>
        <v>1.0204081632653061</v>
      </c>
      <c r="AB34" s="982">
        <f t="shared" si="4"/>
        <v>1</v>
      </c>
      <c r="AC34" s="1501">
        <f t="shared" si="5"/>
        <v>1.0638297872340425</v>
      </c>
    </row>
    <row r="35" spans="1:29" ht="15">
      <c r="A35" s="299"/>
      <c r="B35" s="271" t="s">
        <v>1618</v>
      </c>
      <c r="C35" s="294" t="s">
        <v>3744</v>
      </c>
      <c r="D35" s="3226">
        <v>100</v>
      </c>
      <c r="E35" s="294" t="s">
        <v>3744</v>
      </c>
      <c r="F35" s="3816">
        <f>SUMIF(106:106,E35,107:107)-SUMIF(106:106,C35,107:107)+100</f>
        <v>100</v>
      </c>
      <c r="G35" s="294" t="s">
        <v>3744</v>
      </c>
      <c r="H35" s="3814">
        <f>SUMIF(106:106,G35,107:107)-SUMIF(106:106,C35,107:107)+100</f>
        <v>100</v>
      </c>
      <c r="I35" s="294" t="s">
        <v>3744</v>
      </c>
      <c r="J35" s="3814">
        <f>SUMIF(106:106,I35,107:107)-SUMIF(106:106,C35,107:107)+100</f>
        <v>100</v>
      </c>
      <c r="K35" s="416">
        <v>1</v>
      </c>
      <c r="L35" s="2089"/>
      <c r="M35" s="2084"/>
      <c r="N35" s="2084"/>
      <c r="O35" s="2084"/>
      <c r="P35" s="4396"/>
      <c r="Q35" s="1592" t="str">
        <f t="shared" si="11"/>
        <v>建筑结构</v>
      </c>
      <c r="R35" s="3575" t="s">
        <v>13</v>
      </c>
      <c r="S35" s="3576">
        <f t="shared" si="12"/>
        <v>100</v>
      </c>
      <c r="T35" s="3575" t="s">
        <v>13</v>
      </c>
      <c r="U35" s="3576">
        <f t="shared" si="13"/>
        <v>100</v>
      </c>
      <c r="V35" s="3575" t="s">
        <v>13</v>
      </c>
      <c r="W35" s="3576">
        <f t="shared" si="14"/>
        <v>100</v>
      </c>
      <c r="X35" s="984"/>
      <c r="Y35" s="4398"/>
      <c r="Z35" s="982" t="str">
        <f t="shared" si="15"/>
        <v>建筑结构</v>
      </c>
      <c r="AA35" s="982">
        <f t="shared" si="3"/>
        <v>1</v>
      </c>
      <c r="AB35" s="982">
        <f t="shared" si="4"/>
        <v>1</v>
      </c>
      <c r="AC35" s="1501">
        <f t="shared" si="5"/>
        <v>1</v>
      </c>
    </row>
    <row r="36" spans="1:29" ht="15">
      <c r="A36" s="299"/>
      <c r="B36" s="271" t="s">
        <v>1705</v>
      </c>
      <c r="C36" s="294" t="s">
        <v>3765</v>
      </c>
      <c r="D36" s="3226">
        <v>100</v>
      </c>
      <c r="E36" s="294" t="s">
        <v>3765</v>
      </c>
      <c r="F36" s="3816">
        <f>SUMIF(108:108,E36,109:109)-SUMIF(108:108,C36,109:109)+100</f>
        <v>100</v>
      </c>
      <c r="G36" s="294" t="s">
        <v>3765</v>
      </c>
      <c r="H36" s="3814">
        <f>SUMIF(108:108,G36,109:109)-SUMIF(108:108,C36,109:109)+100</f>
        <v>100</v>
      </c>
      <c r="I36" s="294" t="s">
        <v>3765</v>
      </c>
      <c r="J36" s="3814">
        <f>SUMIF(108:108,I36,109:109)-SUMIF(108:108,C36,109:109)+100</f>
        <v>100</v>
      </c>
      <c r="K36" s="416">
        <v>1</v>
      </c>
      <c r="L36" s="2089"/>
      <c r="M36" s="2084"/>
      <c r="N36" s="2084"/>
      <c r="O36" s="2084"/>
      <c r="P36" s="4396"/>
      <c r="Q36" s="1592" t="str">
        <f t="shared" si="11"/>
        <v>公共部分装修</v>
      </c>
      <c r="R36" s="3575" t="s">
        <v>13</v>
      </c>
      <c r="S36" s="3576">
        <f t="shared" si="12"/>
        <v>100</v>
      </c>
      <c r="T36" s="3575" t="s">
        <v>13</v>
      </c>
      <c r="U36" s="3576">
        <f t="shared" si="13"/>
        <v>100</v>
      </c>
      <c r="V36" s="3575" t="s">
        <v>13</v>
      </c>
      <c r="W36" s="3576">
        <f t="shared" si="14"/>
        <v>100</v>
      </c>
      <c r="X36" s="984"/>
      <c r="Y36" s="4398"/>
      <c r="Z36" s="982" t="str">
        <f t="shared" si="15"/>
        <v>公共部分装修</v>
      </c>
      <c r="AA36" s="982">
        <f t="shared" si="3"/>
        <v>1</v>
      </c>
      <c r="AB36" s="982">
        <f t="shared" si="4"/>
        <v>1</v>
      </c>
      <c r="AC36" s="1501">
        <f t="shared" si="5"/>
        <v>1</v>
      </c>
    </row>
    <row r="37" spans="1:29" ht="15">
      <c r="A37" s="299"/>
      <c r="B37" s="271" t="s">
        <v>1706</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396"/>
      <c r="Q37" s="1592" t="str">
        <f t="shared" si="11"/>
        <v>成新度</v>
      </c>
      <c r="R37" s="3575" t="s">
        <v>13</v>
      </c>
      <c r="S37" s="3576">
        <f t="shared" si="12"/>
        <v>100</v>
      </c>
      <c r="T37" s="3575" t="s">
        <v>13</v>
      </c>
      <c r="U37" s="3576">
        <f t="shared" si="13"/>
        <v>100</v>
      </c>
      <c r="V37" s="3575" t="s">
        <v>13</v>
      </c>
      <c r="W37" s="3576">
        <f t="shared" si="14"/>
        <v>101</v>
      </c>
      <c r="X37" s="984"/>
      <c r="Y37" s="4398"/>
      <c r="Z37" s="982" t="str">
        <f t="shared" si="15"/>
        <v>成新度</v>
      </c>
      <c r="AA37" s="982">
        <f t="shared" si="3"/>
        <v>1</v>
      </c>
      <c r="AB37" s="982">
        <f t="shared" si="4"/>
        <v>1</v>
      </c>
      <c r="AC37" s="1501">
        <f t="shared" si="5"/>
        <v>0.99009900990099009</v>
      </c>
    </row>
    <row r="38" spans="1:29" s="61" customFormat="1" ht="15">
      <c r="A38" s="300"/>
      <c r="B38" s="271" t="s">
        <v>1738</v>
      </c>
      <c r="C38" s="294" t="s">
        <v>3756</v>
      </c>
      <c r="D38" s="3224">
        <v>100</v>
      </c>
      <c r="E38" s="294" t="s">
        <v>3756</v>
      </c>
      <c r="F38" s="3816">
        <f>SUMIF(113:113,E38,114:114)-SUMIF(113:113,C38,114:114)+100</f>
        <v>100</v>
      </c>
      <c r="G38" s="294" t="s">
        <v>3756</v>
      </c>
      <c r="H38" s="3814">
        <f>SUMIF(113:113,G38,114:114)-SUMIF(113:113,C38,114:114)+100</f>
        <v>100</v>
      </c>
      <c r="I38" s="294" t="s">
        <v>3756</v>
      </c>
      <c r="J38" s="3814">
        <f>SUMIF(113:113,I38,114:114)-SUMIF(113:113,C38,114:114)+100</f>
        <v>100</v>
      </c>
      <c r="K38" s="416">
        <v>1</v>
      </c>
      <c r="L38" s="2085"/>
      <c r="M38" s="2036"/>
      <c r="N38" s="2036"/>
      <c r="O38" s="2036"/>
      <c r="P38" s="4396"/>
      <c r="Q38" s="1792" t="str">
        <f t="shared" si="11"/>
        <v>写字楼等级</v>
      </c>
      <c r="R38" s="3573" t="s">
        <v>13</v>
      </c>
      <c r="S38" s="3574">
        <f t="shared" si="12"/>
        <v>100</v>
      </c>
      <c r="T38" s="3573" t="s">
        <v>13</v>
      </c>
      <c r="U38" s="3574">
        <f t="shared" si="13"/>
        <v>100</v>
      </c>
      <c r="V38" s="3573" t="s">
        <v>13</v>
      </c>
      <c r="W38" s="3574">
        <f t="shared" si="14"/>
        <v>100</v>
      </c>
      <c r="X38" s="513"/>
      <c r="Y38" s="4398"/>
      <c r="Z38" s="41" t="str">
        <f t="shared" si="15"/>
        <v>写字楼等级</v>
      </c>
      <c r="AA38" s="41">
        <f t="shared" si="3"/>
        <v>1</v>
      </c>
      <c r="AB38" s="41">
        <f t="shared" si="4"/>
        <v>1</v>
      </c>
      <c r="AC38" s="597">
        <f t="shared" si="5"/>
        <v>1</v>
      </c>
    </row>
    <row r="39" spans="1:29" ht="15">
      <c r="A39" s="299"/>
      <c r="B39" s="271" t="s">
        <v>1739</v>
      </c>
      <c r="C39" s="294" t="s">
        <v>3758</v>
      </c>
      <c r="D39" s="3226">
        <v>100</v>
      </c>
      <c r="E39" s="294" t="s">
        <v>3758</v>
      </c>
      <c r="F39" s="3816">
        <f>SUMIF(115:115,E39,116:116)-SUMIF(115:115,C39,116:116)+100</f>
        <v>100</v>
      </c>
      <c r="G39" s="294" t="s">
        <v>3758</v>
      </c>
      <c r="H39" s="3814">
        <f>SUMIF(115:115,G39,116:116)-SUMIF(115:115,C39,116:116)+100</f>
        <v>100</v>
      </c>
      <c r="I39" s="294" t="s">
        <v>3758</v>
      </c>
      <c r="J39" s="3814">
        <f>SUMIF(115:115,I39,116:116)-SUMIF(115:115,C39,116:116)+100</f>
        <v>100</v>
      </c>
      <c r="K39" s="416">
        <v>1</v>
      </c>
      <c r="L39" s="2089"/>
      <c r="M39" s="2084"/>
      <c r="N39" s="2084"/>
      <c r="O39" s="2084"/>
      <c r="P39" s="4396" t="s">
        <v>1616</v>
      </c>
      <c r="Q39" s="1592" t="str">
        <f t="shared" si="11"/>
        <v>物业管理</v>
      </c>
      <c r="R39" s="3575" t="s">
        <v>13</v>
      </c>
      <c r="S39" s="3576">
        <f t="shared" si="12"/>
        <v>100</v>
      </c>
      <c r="T39" s="3575" t="s">
        <v>13</v>
      </c>
      <c r="U39" s="3576">
        <f t="shared" si="13"/>
        <v>100</v>
      </c>
      <c r="V39" s="3575" t="s">
        <v>13</v>
      </c>
      <c r="W39" s="3576">
        <f t="shared" si="14"/>
        <v>100</v>
      </c>
      <c r="X39" s="984"/>
      <c r="Y39" s="4398" t="s">
        <v>1616</v>
      </c>
      <c r="Z39" s="982" t="str">
        <f t="shared" si="15"/>
        <v>物业管理</v>
      </c>
      <c r="AA39" s="982">
        <f t="shared" si="3"/>
        <v>1</v>
      </c>
      <c r="AB39" s="982">
        <f t="shared" si="4"/>
        <v>1</v>
      </c>
      <c r="AC39" s="1501">
        <f t="shared" si="5"/>
        <v>1</v>
      </c>
    </row>
    <row r="40" spans="1:29" ht="15">
      <c r="A40" s="299"/>
      <c r="B40" s="271" t="s">
        <v>1707</v>
      </c>
      <c r="C40" s="294" t="s">
        <v>3667</v>
      </c>
      <c r="D40" s="3226">
        <v>100</v>
      </c>
      <c r="E40" s="294" t="s">
        <v>3667</v>
      </c>
      <c r="F40" s="3816">
        <f>SUMIF(117:117,E40,118:118)-SUMIF(117:117,C40,118:118)+100</f>
        <v>100</v>
      </c>
      <c r="G40" s="294" t="s">
        <v>3667</v>
      </c>
      <c r="H40" s="3814">
        <f>SUMIF(117:117,G40,118:118)-SUMIF(117:117,C40,118:118)+100</f>
        <v>100</v>
      </c>
      <c r="I40" s="294" t="s">
        <v>3667</v>
      </c>
      <c r="J40" s="3814">
        <f>SUMIF(117:117,I40,118:118)-SUMIF(117:117,C40,118:118)+100</f>
        <v>100</v>
      </c>
      <c r="K40" s="416">
        <v>1</v>
      </c>
      <c r="L40" s="2089"/>
      <c r="M40" s="2084"/>
      <c r="N40" s="2084"/>
      <c r="O40" s="2084"/>
      <c r="P40" s="4396"/>
      <c r="Q40" s="1592" t="str">
        <f t="shared" si="11"/>
        <v>市政基础设施</v>
      </c>
      <c r="R40" s="3575" t="s">
        <v>13</v>
      </c>
      <c r="S40" s="3576">
        <f t="shared" si="12"/>
        <v>100</v>
      </c>
      <c r="T40" s="3575" t="s">
        <v>13</v>
      </c>
      <c r="U40" s="3576">
        <f t="shared" si="13"/>
        <v>100</v>
      </c>
      <c r="V40" s="3575" t="s">
        <v>13</v>
      </c>
      <c r="W40" s="3576">
        <f t="shared" si="14"/>
        <v>100</v>
      </c>
      <c r="X40" s="984"/>
      <c r="Y40" s="4398"/>
      <c r="Z40" s="982" t="str">
        <f t="shared" si="15"/>
        <v>市政基础设施</v>
      </c>
      <c r="AA40" s="982">
        <f t="shared" si="3"/>
        <v>1</v>
      </c>
      <c r="AB40" s="982">
        <f t="shared" si="4"/>
        <v>1</v>
      </c>
      <c r="AC40" s="1501">
        <f t="shared" si="5"/>
        <v>1</v>
      </c>
    </row>
    <row r="41" spans="1:29" ht="15">
      <c r="A41" s="299"/>
      <c r="B41" s="271" t="s">
        <v>1709</v>
      </c>
      <c r="C41" s="420" t="s">
        <v>3766</v>
      </c>
      <c r="D41" s="3226">
        <v>100</v>
      </c>
      <c r="E41" s="420" t="s">
        <v>3766</v>
      </c>
      <c r="F41" s="3816">
        <f>SUMIF(119:119,E41,120:120)-SUMIF(119:119,C41,120:120)+100</f>
        <v>100</v>
      </c>
      <c r="G41" s="420" t="s">
        <v>3766</v>
      </c>
      <c r="H41" s="3814">
        <f>SUMIF(119:119,G41,120:120)-SUMIF(119:119,C41,120:120)+100</f>
        <v>100</v>
      </c>
      <c r="I41" s="420" t="s">
        <v>3766</v>
      </c>
      <c r="J41" s="3814">
        <f>SUMIF(119:119,I41,120:120)-SUMIF(119:119,C41,120:120)+100</f>
        <v>100</v>
      </c>
      <c r="K41" s="416">
        <v>1</v>
      </c>
      <c r="L41" s="2089"/>
      <c r="M41" s="2084"/>
      <c r="N41" s="2084"/>
      <c r="O41" s="2084"/>
      <c r="P41" s="4396"/>
      <c r="Q41" s="1592" t="str">
        <f t="shared" si="11"/>
        <v>层高</v>
      </c>
      <c r="R41" s="3575" t="s">
        <v>13</v>
      </c>
      <c r="S41" s="3576">
        <f t="shared" si="12"/>
        <v>100</v>
      </c>
      <c r="T41" s="3575" t="s">
        <v>13</v>
      </c>
      <c r="U41" s="3576">
        <f t="shared" si="13"/>
        <v>100</v>
      </c>
      <c r="V41" s="3575" t="s">
        <v>13</v>
      </c>
      <c r="W41" s="3576">
        <f t="shared" si="14"/>
        <v>100</v>
      </c>
      <c r="X41" s="984"/>
      <c r="Y41" s="4398"/>
      <c r="Z41" s="982" t="str">
        <f t="shared" si="15"/>
        <v>层高</v>
      </c>
      <c r="AA41" s="982">
        <f t="shared" si="3"/>
        <v>1</v>
      </c>
      <c r="AB41" s="982">
        <f t="shared" si="4"/>
        <v>1</v>
      </c>
      <c r="AC41" s="1501">
        <f t="shared" si="5"/>
        <v>1</v>
      </c>
    </row>
    <row r="42" spans="1:29" s="298" customFormat="1" ht="15" hidden="1">
      <c r="A42" s="296"/>
      <c r="B42" s="983" t="s">
        <v>1740</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96"/>
      <c r="Q42" s="410" t="str">
        <f t="shared" si="11"/>
        <v>单套建筑面积</v>
      </c>
      <c r="R42" s="3577" t="s">
        <v>13</v>
      </c>
      <c r="S42" s="3578">
        <f t="shared" si="12"/>
        <v>100</v>
      </c>
      <c r="T42" s="3577" t="s">
        <v>13</v>
      </c>
      <c r="U42" s="3578">
        <f t="shared" si="13"/>
        <v>100</v>
      </c>
      <c r="V42" s="3577" t="s">
        <v>13</v>
      </c>
      <c r="W42" s="3578">
        <f t="shared" si="14"/>
        <v>100</v>
      </c>
      <c r="X42" s="518"/>
      <c r="Y42" s="4398"/>
      <c r="Z42" s="519" t="str">
        <f t="shared" si="15"/>
        <v>单套建筑面积</v>
      </c>
      <c r="AA42" s="982">
        <f t="shared" si="3"/>
        <v>1</v>
      </c>
      <c r="AB42" s="982">
        <f t="shared" si="4"/>
        <v>1</v>
      </c>
      <c r="AC42" s="1501">
        <f t="shared" si="5"/>
        <v>1</v>
      </c>
    </row>
    <row r="43" spans="1:29" ht="15">
      <c r="A43" s="299"/>
      <c r="B43" s="271" t="s">
        <v>1712</v>
      </c>
      <c r="C43" s="294" t="s">
        <v>3860</v>
      </c>
      <c r="D43" s="3226">
        <v>100</v>
      </c>
      <c r="E43" s="294" t="s">
        <v>3860</v>
      </c>
      <c r="F43" s="3816">
        <f>SUMIF(123:123,E43,124:124)-SUMIF(123:123,C43,124:124)+100</f>
        <v>100</v>
      </c>
      <c r="G43" s="294" t="s">
        <v>3860</v>
      </c>
      <c r="H43" s="3814">
        <f>SUMIF(123:123,G43,124:124)-SUMIF(123:123,C43,124:124)+100</f>
        <v>100</v>
      </c>
      <c r="I43" s="294" t="s">
        <v>3860</v>
      </c>
      <c r="J43" s="3814">
        <f>SUMIF(123:123,I43,124:124)-SUMIF(123:123,C43,124:124)+100</f>
        <v>100</v>
      </c>
      <c r="K43" s="416">
        <v>1</v>
      </c>
      <c r="L43" s="2089"/>
      <c r="M43" s="2084"/>
      <c r="N43" s="2084"/>
      <c r="O43" s="2084"/>
      <c r="P43" s="4396"/>
      <c r="Q43" s="1592" t="str">
        <f t="shared" si="11"/>
        <v>内部装修</v>
      </c>
      <c r="R43" s="3575" t="s">
        <v>13</v>
      </c>
      <c r="S43" s="3576">
        <f t="shared" si="12"/>
        <v>100</v>
      </c>
      <c r="T43" s="3575" t="s">
        <v>13</v>
      </c>
      <c r="U43" s="3576">
        <f t="shared" si="13"/>
        <v>100</v>
      </c>
      <c r="V43" s="3575" t="s">
        <v>13</v>
      </c>
      <c r="W43" s="3576">
        <f t="shared" si="14"/>
        <v>100</v>
      </c>
      <c r="X43" s="984"/>
      <c r="Y43" s="4398"/>
      <c r="Z43" s="982" t="str">
        <f t="shared" si="15"/>
        <v>内部装修</v>
      </c>
      <c r="AA43" s="982">
        <f t="shared" si="3"/>
        <v>1</v>
      </c>
      <c r="AB43" s="982">
        <f t="shared" si="4"/>
        <v>1</v>
      </c>
      <c r="AC43" s="1501">
        <f t="shared" si="5"/>
        <v>1</v>
      </c>
    </row>
    <row r="44" spans="1:29" ht="15.75" thickBot="1">
      <c r="A44" s="299"/>
      <c r="B44" s="271" t="s">
        <v>1627</v>
      </c>
      <c r="C44" s="294" t="s">
        <v>3664</v>
      </c>
      <c r="D44" s="3226">
        <v>100</v>
      </c>
      <c r="E44" s="1454" t="s">
        <v>3664</v>
      </c>
      <c r="F44" s="3816">
        <f>SUMIF(125:125,E44,126:126)-SUMIF(125:125,C44,126:126)+100</f>
        <v>100</v>
      </c>
      <c r="G44" s="1454" t="s">
        <v>3664</v>
      </c>
      <c r="H44" s="3814">
        <f>SUMIF(125:125,G44,126:126)-SUMIF(125:125,C44,126:126)+100</f>
        <v>100</v>
      </c>
      <c r="I44" s="1454" t="s">
        <v>3664</v>
      </c>
      <c r="J44" s="3814">
        <f>SUMIF(125:125,I44,126:126)-SUMIF(125:125,C44,126:126)+100</f>
        <v>100</v>
      </c>
      <c r="K44" s="416">
        <v>1</v>
      </c>
      <c r="L44" s="2089"/>
      <c r="M44" s="2084"/>
      <c r="N44" s="2084"/>
      <c r="O44" s="2084"/>
      <c r="P44" s="4396"/>
      <c r="Q44" s="1592" t="str">
        <f t="shared" si="11"/>
        <v>内部装修维护情况</v>
      </c>
      <c r="R44" s="3575" t="s">
        <v>13</v>
      </c>
      <c r="S44" s="3576">
        <f t="shared" si="12"/>
        <v>100</v>
      </c>
      <c r="T44" s="3575" t="s">
        <v>13</v>
      </c>
      <c r="U44" s="3576">
        <f t="shared" si="13"/>
        <v>100</v>
      </c>
      <c r="V44" s="3575" t="s">
        <v>13</v>
      </c>
      <c r="W44" s="3576">
        <f t="shared" si="14"/>
        <v>100</v>
      </c>
      <c r="X44" s="984"/>
      <c r="Y44" s="4398"/>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96"/>
      <c r="Q45" s="1792">
        <f t="shared" si="11"/>
        <v>111</v>
      </c>
      <c r="R45" s="3573" t="s">
        <v>13</v>
      </c>
      <c r="S45" s="3574">
        <f t="shared" si="12"/>
        <v>100</v>
      </c>
      <c r="T45" s="3573" t="s">
        <v>13</v>
      </c>
      <c r="U45" s="3574">
        <f t="shared" si="13"/>
        <v>100</v>
      </c>
      <c r="V45" s="3573" t="s">
        <v>13</v>
      </c>
      <c r="W45" s="3574">
        <f t="shared" si="14"/>
        <v>100</v>
      </c>
      <c r="X45" s="513"/>
      <c r="Y45" s="4398"/>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96"/>
      <c r="Q46" s="1592">
        <f t="shared" si="11"/>
        <v>111</v>
      </c>
      <c r="R46" s="3575" t="s">
        <v>13</v>
      </c>
      <c r="S46" s="3576">
        <f t="shared" si="12"/>
        <v>100</v>
      </c>
      <c r="T46" s="3575" t="s">
        <v>13</v>
      </c>
      <c r="U46" s="3576">
        <f t="shared" si="13"/>
        <v>100</v>
      </c>
      <c r="V46" s="3575" t="s">
        <v>13</v>
      </c>
      <c r="W46" s="3576">
        <f t="shared" si="14"/>
        <v>100</v>
      </c>
      <c r="X46" s="984"/>
      <c r="Y46" s="4398"/>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97"/>
      <c r="Q47" s="1592">
        <f t="shared" si="11"/>
        <v>111</v>
      </c>
      <c r="R47" s="3575" t="s">
        <v>13</v>
      </c>
      <c r="S47" s="3576">
        <f t="shared" si="12"/>
        <v>100</v>
      </c>
      <c r="T47" s="3575" t="s">
        <v>13</v>
      </c>
      <c r="U47" s="3576">
        <f t="shared" si="13"/>
        <v>100</v>
      </c>
      <c r="V47" s="3575" t="s">
        <v>13</v>
      </c>
      <c r="W47" s="3576">
        <f t="shared" si="14"/>
        <v>100</v>
      </c>
      <c r="X47" s="984"/>
      <c r="Y47" s="4399"/>
      <c r="Z47" s="982">
        <f t="shared" si="15"/>
        <v>111</v>
      </c>
      <c r="AA47" s="982">
        <f t="shared" si="3"/>
        <v>1</v>
      </c>
      <c r="AB47" s="982">
        <f t="shared" si="4"/>
        <v>1</v>
      </c>
      <c r="AC47" s="1501">
        <f t="shared" si="5"/>
        <v>1</v>
      </c>
    </row>
    <row r="48" spans="1:29" ht="15">
      <c r="A48" s="305" t="s">
        <v>1628</v>
      </c>
      <c r="B48" s="306"/>
      <c r="C48" s="830" t="s">
        <v>0</v>
      </c>
      <c r="D48" s="307"/>
      <c r="E48" s="3216">
        <v>20770</v>
      </c>
      <c r="F48" s="3567"/>
      <c r="G48" s="3653">
        <f>E48</f>
        <v>20770</v>
      </c>
      <c r="H48" s="3569"/>
      <c r="I48" s="3216">
        <f>中指成交!N8</f>
        <v>19773</v>
      </c>
      <c r="J48" s="3569"/>
      <c r="K48" s="3156"/>
      <c r="L48" s="2091"/>
      <c r="M48" s="2084"/>
      <c r="N48" s="2084"/>
      <c r="O48" s="2084"/>
      <c r="P48" s="4402" t="str">
        <f>A48</f>
        <v>成交单价（元/平方米）</v>
      </c>
      <c r="Q48" s="4391"/>
      <c r="R48" s="4392">
        <f>E48</f>
        <v>20770</v>
      </c>
      <c r="S48" s="4392"/>
      <c r="T48" s="4392">
        <f>G48</f>
        <v>20770</v>
      </c>
      <c r="U48" s="4392"/>
      <c r="V48" s="4392">
        <f>I48</f>
        <v>19773</v>
      </c>
      <c r="W48" s="4392"/>
      <c r="X48" s="284"/>
      <c r="Y48" s="520"/>
      <c r="Z48" s="284"/>
      <c r="AA48" s="284"/>
      <c r="AB48" s="284"/>
      <c r="AC48" s="430"/>
    </row>
    <row r="49" spans="1:29" ht="15.75" thickBot="1">
      <c r="A49" s="308" t="s">
        <v>1713</v>
      </c>
      <c r="B49" s="309"/>
      <c r="C49" s="3199">
        <f>R50</f>
        <v>20463</v>
      </c>
      <c r="D49" s="1787" t="s">
        <v>3847</v>
      </c>
      <c r="E49" s="3201">
        <f>R49</f>
        <v>20371</v>
      </c>
      <c r="F49" s="3094">
        <v>0.4</v>
      </c>
      <c r="G49" s="3199">
        <f>T49</f>
        <v>20778</v>
      </c>
      <c r="H49" s="3094">
        <v>0.4</v>
      </c>
      <c r="I49" s="3201">
        <f>V49</f>
        <v>20018</v>
      </c>
      <c r="J49" s="3094">
        <v>0.2</v>
      </c>
      <c r="K49" s="3149">
        <f>F49+H49+J49</f>
        <v>1</v>
      </c>
      <c r="L49" s="2091"/>
      <c r="M49" s="2084"/>
      <c r="N49" s="2084"/>
      <c r="O49" s="2084"/>
      <c r="P49" s="4402" t="str">
        <f>A49</f>
        <v>比较价值（元/平方米）</v>
      </c>
      <c r="Q49" s="4391"/>
      <c r="R49" s="4392">
        <f>IF(F1="售价",ROUND(PRODUCT(R48,AA7:AA47),0),ROUND(PRODUCT(R48,AA7:AA47),1))</f>
        <v>20371</v>
      </c>
      <c r="S49" s="4392"/>
      <c r="T49" s="4392">
        <f>IF(F1="售价",ROUND(PRODUCT(T48,AB7:AB47),0),ROUND(PRODUCT(T48,AB7:AB47),1))</f>
        <v>20778</v>
      </c>
      <c r="U49" s="4392"/>
      <c r="V49" s="4392">
        <f>IF(F1="售价",ROUND(PRODUCT(V48,AC7:AC47),0),ROUND(PRODUCT(V48,AC7:AC47),1))</f>
        <v>20018</v>
      </c>
      <c r="W49" s="4392"/>
      <c r="X49" s="284"/>
      <c r="Y49" s="284"/>
      <c r="Z49" s="284"/>
      <c r="AA49" s="284"/>
      <c r="AB49" s="284"/>
      <c r="AC49" s="430"/>
    </row>
    <row r="50" spans="1:29" ht="15.75" thickBot="1">
      <c r="A50" s="310" t="s">
        <v>1714</v>
      </c>
      <c r="B50" s="311"/>
      <c r="C50" s="3217">
        <f>R50</f>
        <v>20463</v>
      </c>
      <c r="D50" s="260"/>
      <c r="E50" s="260"/>
      <c r="F50" s="260"/>
      <c r="G50" s="260"/>
      <c r="H50" s="260"/>
      <c r="I50" s="260"/>
      <c r="J50" s="312"/>
      <c r="K50" s="521"/>
      <c r="L50" s="2091"/>
      <c r="M50" s="2084"/>
      <c r="N50" s="2084"/>
      <c r="O50" s="2084"/>
      <c r="P50" s="4444" t="str">
        <f>A50</f>
        <v>估价对象XX用房的比较价值（楼面单价，元/平方米）</v>
      </c>
      <c r="Q50" s="4445"/>
      <c r="R50" s="4446">
        <f>IF(F1="售价",ROUND(IF(D49="简单平均",AVERAGE(R49:V49),R49*F49+T49*H49+V49*J49),0),ROUND(IF(D49="简单平均",AVERAGE(R49:V49),R49*F49+T49*H49+V49*J49),1))</f>
        <v>20463</v>
      </c>
      <c r="S50" s="4446"/>
      <c r="T50" s="4446"/>
      <c r="U50" s="4446"/>
      <c r="V50" s="4446"/>
      <c r="W50" s="4446"/>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1715</v>
      </c>
      <c r="D53" s="316"/>
      <c r="E53" s="317">
        <f>IF(E48&lt;E49,E49/E48-1,E48/E49-1)</f>
        <v>1.9586667321191964E-2</v>
      </c>
      <c r="F53" s="318" t="str">
        <f>IF(OR(E53&gt;=0.3,E53&lt;=-0.3),"超过30%","")</f>
        <v/>
      </c>
      <c r="G53" s="317">
        <f>IF(G48&lt;G49,G49/G48-1,G48/G49-1)</f>
        <v>3.8517091959566763E-4</v>
      </c>
      <c r="H53" s="318" t="str">
        <f>IF(OR(G53&gt;=0.3,G53&lt;=-0.3),"超过30%","")</f>
        <v/>
      </c>
      <c r="I53" s="317">
        <f>IF(I48&lt;I49,I49/I48-1,I48/I49-1)</f>
        <v>1.2390633692408892E-2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1716</v>
      </c>
      <c r="D54" s="319"/>
      <c r="E54" s="317">
        <f>IF(E49&lt;G49,G49/E49-1,E49/G49-1)</f>
        <v>1.9979382455451278E-2</v>
      </c>
      <c r="F54" s="318" t="str">
        <f>IF(OR(E54&gt;=0.2,E54&lt;=-0.2),"超过20%","")</f>
        <v/>
      </c>
      <c r="G54" s="317">
        <f>IF(G49&lt;I49,I49/G49-1,G49/I49-1)</f>
        <v>3.796583075232296E-2</v>
      </c>
      <c r="H54" s="318" t="str">
        <f>IF(OR(G54&gt;=0.2,G54&lt;=-0.2),"超过20%","")</f>
        <v/>
      </c>
      <c r="I54" s="317">
        <f>IF(I49&lt;E49,E49/I49-1,I49/E49-1)</f>
        <v>1.7634129283644828E-2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1717</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1718</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1599</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1636</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1601</v>
      </c>
      <c r="B62" s="326"/>
      <c r="C62" s="338" t="s">
        <v>1696</v>
      </c>
      <c r="D62" s="4113" t="s">
        <v>3764</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1639</v>
      </c>
      <c r="B64" s="341" t="s">
        <v>1605</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1608</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1609</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3856</v>
      </c>
      <c r="D71" s="4111" t="s">
        <v>3857</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1610</v>
      </c>
      <c r="B77" s="341" t="s">
        <v>1741</v>
      </c>
      <c r="C77" s="383" t="s">
        <v>1641</v>
      </c>
      <c r="D77" s="383" t="s">
        <v>1642</v>
      </c>
      <c r="E77" s="383" t="s">
        <v>1643</v>
      </c>
      <c r="F77" s="383" t="s">
        <v>1644</v>
      </c>
      <c r="G77" s="383" t="s">
        <v>1645</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1646</v>
      </c>
      <c r="C79" s="387" t="s">
        <v>1641</v>
      </c>
      <c r="D79" s="387" t="s">
        <v>1642</v>
      </c>
      <c r="E79" s="387" t="s">
        <v>1643</v>
      </c>
      <c r="F79" s="387" t="s">
        <v>1644</v>
      </c>
      <c r="G79" s="387" t="s">
        <v>1645</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1647</v>
      </c>
      <c r="C81" s="387" t="s">
        <v>1641</v>
      </c>
      <c r="D81" s="387" t="s">
        <v>1642</v>
      </c>
      <c r="E81" s="387" t="s">
        <v>1643</v>
      </c>
      <c r="F81" s="387" t="s">
        <v>1644</v>
      </c>
      <c r="G81" s="387" t="s">
        <v>1645</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1733</v>
      </c>
      <c r="C83" s="454" t="s">
        <v>1719</v>
      </c>
      <c r="D83" s="454" t="s">
        <v>1720</v>
      </c>
      <c r="E83" s="454" t="s">
        <v>1721</v>
      </c>
      <c r="F83" s="454" t="s">
        <v>1722</v>
      </c>
      <c r="G83" s="454" t="s">
        <v>1723</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1742</v>
      </c>
      <c r="C85" s="387" t="s">
        <v>1641</v>
      </c>
      <c r="D85" s="387" t="s">
        <v>1642</v>
      </c>
      <c r="E85" s="387" t="s">
        <v>1643</v>
      </c>
      <c r="F85" s="387" t="s">
        <v>1644</v>
      </c>
      <c r="G85" s="387" t="s">
        <v>1645</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1743</v>
      </c>
      <c r="C87" s="4111" t="s">
        <v>3751</v>
      </c>
      <c r="D87" s="4111" t="s">
        <v>3752</v>
      </c>
      <c r="E87" s="4111" t="s">
        <v>3753</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3799</v>
      </c>
      <c r="D89" s="4111" t="s">
        <v>3800</v>
      </c>
      <c r="E89" s="4111" t="s">
        <v>3802</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1614</v>
      </c>
      <c r="B101" s="341" t="s">
        <v>1656</v>
      </c>
      <c r="C101" s="4114" t="s">
        <v>3846</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1657</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f ca="1">典型户型修正!U22</f>
        <v>18902</v>
      </c>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1658</v>
      </c>
      <c r="C106" s="4111" t="s">
        <v>3754</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1660</v>
      </c>
      <c r="C108" s="4111" t="s">
        <v>3755</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1169</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1744</v>
      </c>
      <c r="C113" s="4111" t="s">
        <v>3757</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1661</v>
      </c>
      <c r="C115" s="4111" t="s">
        <v>3759</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1662</v>
      </c>
      <c r="C117" s="4111" t="s">
        <v>3760</v>
      </c>
      <c r="D117" s="4111" t="s">
        <v>3761</v>
      </c>
      <c r="E117" s="4111" t="s">
        <v>3762</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1745</v>
      </c>
      <c r="C119" s="4112" t="s">
        <v>3763</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1728</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1664</v>
      </c>
      <c r="C123" s="4111" t="s">
        <v>3853</v>
      </c>
      <c r="D123" s="4111" t="s">
        <v>3803</v>
      </c>
      <c r="E123" s="4111" t="s">
        <v>3804</v>
      </c>
      <c r="F123" s="4111" t="s">
        <v>3805</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1665</v>
      </c>
      <c r="C125" s="387" t="s">
        <v>1641</v>
      </c>
      <c r="D125" s="387" t="s">
        <v>1642</v>
      </c>
      <c r="E125" s="387" t="s">
        <v>1643</v>
      </c>
      <c r="F125" s="387" t="s">
        <v>1644</v>
      </c>
      <c r="G125" s="387" t="s">
        <v>1645</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disablePrompts="1" count="26">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E2" xr:uid="{00000000-0002-0000-1900-000015000000}">
      <formula1>"需扣减承租人权益,——"</formula1>
    </dataValidation>
    <dataValidation type="list" allowBlank="1" showInputMessage="1" showErrorMessage="1" sqref="H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 type="list" allowBlank="1" showInputMessage="1" showErrorMessage="1" sqref="C2" xr:uid="{00000000-0002-0000-19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857</v>
      </c>
      <c r="B1" s="510"/>
      <c r="C1" s="3067" t="s">
        <v>19</v>
      </c>
      <c r="D1" s="990" t="s">
        <v>41</v>
      </c>
      <c r="E1" s="991" t="s">
        <v>658</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784</v>
      </c>
      <c r="B2" s="3081">
        <f ca="1">ROUND(D3/10000,4)</f>
        <v>225.4248</v>
      </c>
      <c r="C2" s="1008" t="s">
        <v>785</v>
      </c>
      <c r="D2" s="3832" t="s">
        <v>3740</v>
      </c>
      <c r="E2" s="1013"/>
      <c r="F2" s="1014"/>
      <c r="G2" s="2075"/>
      <c r="H2" s="2065"/>
      <c r="I2" s="2065"/>
      <c r="J2" s="2065"/>
      <c r="K2" s="2066"/>
      <c r="L2" s="2065"/>
      <c r="M2" s="2065"/>
    </row>
    <row r="3" spans="1:37" ht="18" customHeight="1" thickBot="1">
      <c r="A3" s="1015" t="s">
        <v>786</v>
      </c>
      <c r="B3" s="1016">
        <f ca="1">IF(ISERROR(D3/F29),0,ROUND(D3/F29,0))</f>
        <v>15496</v>
      </c>
      <c r="C3" s="1008" t="s">
        <v>787</v>
      </c>
      <c r="D3" s="1008">
        <f ca="1">IF(D2="含税",C28+J29+L51,C25+J28+L51)</f>
        <v>2254248</v>
      </c>
      <c r="E3" s="1013"/>
      <c r="F3" s="1014"/>
      <c r="G3" s="2075"/>
      <c r="H3" s="496" t="s">
        <v>856</v>
      </c>
      <c r="I3" s="1009"/>
      <c r="J3" s="1009"/>
      <c r="K3" s="1010"/>
      <c r="L3" s="1009"/>
      <c r="M3" s="1009"/>
    </row>
    <row r="4" spans="1:37" ht="18" customHeight="1">
      <c r="A4" s="198" t="s">
        <v>667</v>
      </c>
      <c r="B4" s="199" t="s">
        <v>668</v>
      </c>
      <c r="C4" s="199" t="s">
        <v>669</v>
      </c>
      <c r="D4" s="199" t="s">
        <v>670</v>
      </c>
      <c r="E4" s="200" t="s">
        <v>671</v>
      </c>
      <c r="F4" s="201"/>
      <c r="G4" s="1011"/>
      <c r="H4" s="198" t="s">
        <v>667</v>
      </c>
      <c r="I4" s="199" t="s">
        <v>668</v>
      </c>
      <c r="J4" s="199" t="s">
        <v>669</v>
      </c>
      <c r="K4" s="199" t="s">
        <v>670</v>
      </c>
      <c r="L4" s="3642" t="s">
        <v>671</v>
      </c>
      <c r="M4" s="201"/>
    </row>
    <row r="5" spans="1:37" ht="18" customHeight="1">
      <c r="A5" s="202">
        <v>1</v>
      </c>
      <c r="B5" s="2978" t="s">
        <v>3439</v>
      </c>
      <c r="C5" s="3014">
        <f ca="1">C6+C10+C12</f>
        <v>131578</v>
      </c>
      <c r="D5" s="992" t="s">
        <v>673</v>
      </c>
      <c r="E5" s="772"/>
      <c r="F5" s="773"/>
      <c r="G5" s="1011"/>
      <c r="H5" s="202">
        <v>1</v>
      </c>
      <c r="I5" s="203" t="s">
        <v>672</v>
      </c>
      <c r="J5" s="3014">
        <f ca="1">J6+J10+J12</f>
        <v>0</v>
      </c>
      <c r="K5" s="992" t="s">
        <v>673</v>
      </c>
      <c r="L5" s="3643"/>
      <c r="M5" s="773"/>
    </row>
    <row r="6" spans="1:37" ht="18" customHeight="1">
      <c r="A6" s="770" t="s">
        <v>392</v>
      </c>
      <c r="B6" s="2976" t="s">
        <v>3433</v>
      </c>
      <c r="C6" s="3978">
        <f ca="1">C7-C9</f>
        <v>131414</v>
      </c>
      <c r="D6" s="2977" t="s">
        <v>3437</v>
      </c>
      <c r="E6" s="2975" t="s">
        <v>3431</v>
      </c>
      <c r="F6" s="3404">
        <f ca="1">INDIRECT("'数据-取费表'!u"&amp;$G$1)</f>
        <v>2.75</v>
      </c>
      <c r="G6" s="1011"/>
      <c r="H6" s="770" t="s">
        <v>392</v>
      </c>
      <c r="I6" s="3444" t="s">
        <v>674</v>
      </c>
      <c r="J6" s="3015">
        <f ca="1">J7-J9</f>
        <v>0</v>
      </c>
      <c r="K6" s="2977" t="s">
        <v>3437</v>
      </c>
      <c r="L6" s="3644" t="s">
        <v>3431</v>
      </c>
      <c r="M6" s="4006">
        <f ca="1">INDIRECT("'数据-取费表'!z"&amp;$G$1)</f>
        <v>0</v>
      </c>
    </row>
    <row r="7" spans="1:37" ht="18" customHeight="1">
      <c r="A7" s="4368" t="s">
        <v>391</v>
      </c>
      <c r="B7" s="4371" t="s">
        <v>3434</v>
      </c>
      <c r="C7" s="4376">
        <f ca="1">ROUND(F6*F7*F8,0)</f>
        <v>146016</v>
      </c>
      <c r="D7" s="4370" t="s">
        <v>3521</v>
      </c>
      <c r="E7" s="777" t="s">
        <v>677</v>
      </c>
      <c r="F7" s="3964">
        <f ca="1">IF(INDIRECT("'数据-取费表'!ah"&amp;$G$1)="",INDIRECT("'数据-取费表'!k"&amp;$G$1),INDIRECT("'数据-取费表'!ah"&amp;$G$1))</f>
        <v>145.47</v>
      </c>
      <c r="G7" s="1011"/>
      <c r="H7" s="4368" t="s">
        <v>391</v>
      </c>
      <c r="I7" s="4371" t="s">
        <v>3434</v>
      </c>
      <c r="J7" s="4373">
        <f ca="1">ROUND(M6*M8*M7/10000,0)</f>
        <v>0</v>
      </c>
      <c r="K7" s="4377" t="s">
        <v>3436</v>
      </c>
      <c r="L7" s="1968" t="s">
        <v>677</v>
      </c>
      <c r="M7" s="4007">
        <f ca="1">F7</f>
        <v>145.47</v>
      </c>
    </row>
    <row r="8" spans="1:37" ht="18" customHeight="1">
      <c r="A8" s="4369"/>
      <c r="B8" s="4372"/>
      <c r="C8" s="4376"/>
      <c r="D8" s="4370"/>
      <c r="E8" s="205" t="s">
        <v>678</v>
      </c>
      <c r="F8" s="3964">
        <f ca="1">INDIRECT("'数据-取费表'!ai"&amp;$G$1)</f>
        <v>365</v>
      </c>
      <c r="G8" s="1011"/>
      <c r="H8" s="4369"/>
      <c r="I8" s="4372"/>
      <c r="J8" s="4373"/>
      <c r="K8" s="4377"/>
      <c r="L8" s="1968" t="s">
        <v>678</v>
      </c>
      <c r="M8" s="4007">
        <f ca="1">INDIRECT("'数据-取费表'!ai"&amp;$G$1)</f>
        <v>365</v>
      </c>
    </row>
    <row r="9" spans="1:37" ht="18" customHeight="1">
      <c r="A9" s="2958" t="s">
        <v>3435</v>
      </c>
      <c r="B9" s="3443" t="s">
        <v>3432</v>
      </c>
      <c r="C9" s="3037">
        <f ca="1">ROUND(C7*F9,0)</f>
        <v>14602</v>
      </c>
      <c r="D9" s="2977" t="s">
        <v>3438</v>
      </c>
      <c r="E9" s="205" t="s">
        <v>679</v>
      </c>
      <c r="F9" s="3050">
        <f ca="1">INDIRECT("'数据-取费表'!w"&amp;$G$1)</f>
        <v>0.1</v>
      </c>
      <c r="G9" s="1011"/>
      <c r="H9" s="2958" t="s">
        <v>3435</v>
      </c>
      <c r="I9" s="3443" t="s">
        <v>3432</v>
      </c>
      <c r="J9" s="3015">
        <f ca="1">ROUND(J7*M9,0)</f>
        <v>0</v>
      </c>
      <c r="K9" s="72"/>
      <c r="L9" s="3442" t="s">
        <v>679</v>
      </c>
      <c r="M9" s="3993">
        <f ca="1">INDIRECT("'数据-取费表'!ab"&amp;$G$1)</f>
        <v>0</v>
      </c>
    </row>
    <row r="10" spans="1:37" ht="18" customHeight="1">
      <c r="A10" s="770" t="s">
        <v>396</v>
      </c>
      <c r="B10" s="993" t="s">
        <v>680</v>
      </c>
      <c r="C10" s="3971">
        <f ca="1">ROUND(IF(F10="押一",C6/12*F11,IF(F10="押二",C6/12*2*F11,IF(F10="押三",C6/12*3*F11,C11*F11))),0)</f>
        <v>164</v>
      </c>
      <c r="D10" s="77" t="s">
        <v>2032</v>
      </c>
      <c r="E10" s="216" t="s">
        <v>681</v>
      </c>
      <c r="F10" s="812" t="s">
        <v>3741</v>
      </c>
      <c r="G10" s="1011"/>
      <c r="H10" s="770" t="s">
        <v>396</v>
      </c>
      <c r="I10" s="993" t="s">
        <v>680</v>
      </c>
      <c r="J10" s="3016">
        <f ca="1">ROUND(IF(M10="押一",J6/12*M11,IF(M10="押二",J6/12*2*M11,IF(M10="押三",J6/12*3*M11,J11*M11))),0)</f>
        <v>0</v>
      </c>
      <c r="K10" s="77" t="s">
        <v>2032</v>
      </c>
      <c r="L10" s="3442" t="s">
        <v>681</v>
      </c>
      <c r="M10" s="3994"/>
    </row>
    <row r="11" spans="1:37" ht="18" customHeight="1">
      <c r="A11" s="211"/>
      <c r="B11" s="994" t="s">
        <v>659</v>
      </c>
      <c r="C11" s="3980"/>
      <c r="D11" s="995"/>
      <c r="E11" s="216" t="s">
        <v>682</v>
      </c>
      <c r="F11" s="3123">
        <f ca="1">'数据-取费表'!B40</f>
        <v>1.4999999999999999E-2</v>
      </c>
      <c r="G11" s="1011"/>
      <c r="H11" s="778"/>
      <c r="I11" s="994" t="s">
        <v>659</v>
      </c>
      <c r="J11" s="3979"/>
      <c r="K11" s="493"/>
      <c r="L11" s="3442" t="s">
        <v>682</v>
      </c>
      <c r="M11" s="3993">
        <f ca="1">'数据-取费表'!B40</f>
        <v>1.4999999999999999E-2</v>
      </c>
    </row>
    <row r="12" spans="1:37" ht="18" customHeight="1" thickBot="1">
      <c r="A12" s="783" t="s">
        <v>431</v>
      </c>
      <c r="B12" s="996" t="s">
        <v>683</v>
      </c>
      <c r="C12" s="3018"/>
      <c r="D12" s="785"/>
      <c r="E12" s="790"/>
      <c r="F12" s="786"/>
      <c r="G12" s="1011"/>
      <c r="H12" s="783" t="s">
        <v>431</v>
      </c>
      <c r="I12" s="996" t="s">
        <v>683</v>
      </c>
      <c r="J12" s="3018"/>
      <c r="K12" s="798"/>
      <c r="L12" s="3645"/>
      <c r="M12" s="3995"/>
    </row>
    <row r="13" spans="1:37" ht="18" customHeight="1" thickTop="1">
      <c r="A13" s="779" t="s">
        <v>387</v>
      </c>
      <c r="B13" s="780" t="s">
        <v>694</v>
      </c>
      <c r="C13" s="3019">
        <f ca="1">ROUND(C14+C21+C22+C23,0)</f>
        <v>31523</v>
      </c>
      <c r="D13" s="787" t="s">
        <v>695</v>
      </c>
      <c r="E13" s="788"/>
      <c r="F13" s="773"/>
      <c r="G13" s="1011"/>
      <c r="H13" s="779" t="s">
        <v>387</v>
      </c>
      <c r="I13" s="780" t="s">
        <v>694</v>
      </c>
      <c r="J13" s="3019">
        <f ca="1">ROUND(J14+J21+J22+J23,0)</f>
        <v>8456</v>
      </c>
      <c r="K13" s="975" t="s">
        <v>3490</v>
      </c>
      <c r="L13" s="773"/>
      <c r="M13" s="3996"/>
    </row>
    <row r="14" spans="1:37" ht="18" customHeight="1">
      <c r="A14" s="711" t="s">
        <v>392</v>
      </c>
      <c r="B14" s="205" t="s">
        <v>699</v>
      </c>
      <c r="C14" s="2961">
        <f ca="1">ROUND(IF(AND(项目基本情况!B11="自然人",项目基本情况!B10="北京市"),C6*F14,C15+C18+C19),2)</f>
        <v>28527</v>
      </c>
      <c r="D14" s="975" t="s">
        <v>3490</v>
      </c>
      <c r="E14" s="974" t="s">
        <v>750</v>
      </c>
      <c r="F14" s="3044">
        <f ca="1">IF(项目基本情况!B11="企业","——",IF(M52="住宅",IF(F6*F7*F8/12/(1+'数据-取费表'!F30)&gt;100000,4%,2.5%),IF(F6*F7*F8/12/(1+'数据-取费表'!F30)&gt;100000,12%,7%)))</f>
        <v>7.0000000000000007E-2</v>
      </c>
      <c r="G14" s="1011"/>
      <c r="H14" s="711" t="s">
        <v>392</v>
      </c>
      <c r="I14" s="205" t="s">
        <v>699</v>
      </c>
      <c r="J14" s="2983">
        <f ca="1">ROUND(IF(AND(项目基本情况!B11="自然人",项目基本情况!B10="北京市"),J6*M14/(1+'数据-取费表'!C43),J15+J18+J19),2)</f>
        <v>6798</v>
      </c>
      <c r="K14" s="3011" t="s">
        <v>3489</v>
      </c>
      <c r="L14" s="88" t="s">
        <v>701</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3306</v>
      </c>
      <c r="C15" s="2961">
        <f ca="1">ROUND((C16-C17)*(1+F15),0)</f>
        <v>12757</v>
      </c>
      <c r="D15" s="3011" t="s">
        <v>3489</v>
      </c>
      <c r="E15" s="205" t="s">
        <v>3478</v>
      </c>
      <c r="F15" s="3045">
        <f>'数据-取费表'!B44</f>
        <v>0.1</v>
      </c>
      <c r="G15" s="1021"/>
      <c r="H15" s="711" t="s">
        <v>391</v>
      </c>
      <c r="I15" s="2975" t="s">
        <v>3306</v>
      </c>
      <c r="J15" s="2960">
        <f ca="1">ROUND((J16-J17)*(1+M15),2)</f>
        <v>-164.11</v>
      </c>
      <c r="K15" s="1070"/>
      <c r="L15" s="1968" t="s">
        <v>3478</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3309</v>
      </c>
      <c r="B16" s="2980" t="s">
        <v>3442</v>
      </c>
      <c r="C16" s="2905">
        <f ca="1">ROUND(C6*F16,0)</f>
        <v>11827</v>
      </c>
      <c r="D16" s="1070"/>
      <c r="E16" s="2988" t="s">
        <v>3444</v>
      </c>
      <c r="F16" s="3045">
        <v>0.09</v>
      </c>
      <c r="G16" s="1011"/>
      <c r="H16" s="2664" t="s">
        <v>3309</v>
      </c>
      <c r="I16" s="2980" t="s">
        <v>3442</v>
      </c>
      <c r="J16" s="2987">
        <f ca="1">ROUND(J6*M16,2)</f>
        <v>0</v>
      </c>
      <c r="K16" s="2989" t="s">
        <v>3445</v>
      </c>
      <c r="L16" s="3646" t="s">
        <v>3444</v>
      </c>
      <c r="M16" s="3998">
        <v>0.09</v>
      </c>
    </row>
    <row r="17" spans="1:37" s="1022" customFormat="1" ht="18" customHeight="1">
      <c r="A17" s="2664" t="s">
        <v>3310</v>
      </c>
      <c r="B17" s="2980" t="s">
        <v>3443</v>
      </c>
      <c r="C17" s="3400">
        <f ca="1">ROUND(C21*F16+((C22+C23)*F17),0)</f>
        <v>230</v>
      </c>
      <c r="D17" s="2989" t="s">
        <v>3445</v>
      </c>
      <c r="E17" s="2989"/>
      <c r="F17" s="3045">
        <v>0.06</v>
      </c>
      <c r="G17" s="1021"/>
      <c r="H17" s="2664" t="s">
        <v>3310</v>
      </c>
      <c r="I17" s="2980" t="s">
        <v>3443</v>
      </c>
      <c r="J17" s="3012">
        <f ca="1">ROUND(J21*M16+((J22+J23)*M17),2)</f>
        <v>149.19</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707</v>
      </c>
      <c r="C18" s="2961">
        <f ca="1">IF(项目基本情况!B11="自然人","——",IF(D18="按不含税租金收入计税",ROUND(C6*F18,0),IF(D18="按房产原值计税",ROUND(C47*F18*0.7,0),INDIRECT("'数据-取费表'!Aj"&amp;$G$1))))</f>
        <v>15770</v>
      </c>
      <c r="D18" s="2979" t="s">
        <v>3742</v>
      </c>
      <c r="E18" s="205" t="s">
        <v>692</v>
      </c>
      <c r="F18" s="3046">
        <f>IF(D18="按票据","——",IF(D18="按不含税租金收入计税",'数据-取费表'!B52,'数据-取费表'!B51))</f>
        <v>0.12</v>
      </c>
      <c r="G18" s="1021"/>
      <c r="H18" s="711" t="s">
        <v>393</v>
      </c>
      <c r="I18" s="205" t="s">
        <v>707</v>
      </c>
      <c r="J18" s="2960">
        <f ca="1">IF(K18="按不含税租金收入计税",ROUND(J6*M18,2),ROUND(C47*M18*0.7,2))</f>
        <v>6962.11</v>
      </c>
      <c r="K18" s="997"/>
      <c r="L18" s="1968" t="s">
        <v>692</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660</v>
      </c>
      <c r="B19" s="74" t="s">
        <v>710</v>
      </c>
      <c r="C19" s="3401">
        <f ca="1">IF(项目基本情况!B11="自然人","——",ROUND(F19*F20,0))</f>
        <v>0</v>
      </c>
      <c r="D19" s="226" t="s">
        <v>711</v>
      </c>
      <c r="E19" s="205" t="s">
        <v>712</v>
      </c>
      <c r="F19" s="3975">
        <f>'数据-取费表'!B53</f>
        <v>1.5</v>
      </c>
      <c r="G19" s="1011"/>
      <c r="H19" s="711" t="s">
        <v>660</v>
      </c>
      <c r="I19" s="74" t="s">
        <v>710</v>
      </c>
      <c r="J19" s="2984">
        <f ca="1">ROUND(M19*M20/10000,2)</f>
        <v>0</v>
      </c>
      <c r="K19" s="226" t="s">
        <v>711</v>
      </c>
      <c r="L19" s="1968" t="s">
        <v>712</v>
      </c>
      <c r="M19" s="4005">
        <f>'数据-取费表'!B53</f>
        <v>1.5</v>
      </c>
    </row>
    <row r="20" spans="1:37" s="1022" customFormat="1" ht="18" customHeight="1">
      <c r="A20" s="228"/>
      <c r="B20" s="801"/>
      <c r="C20" s="3402"/>
      <c r="D20" s="229"/>
      <c r="E20" s="205" t="s">
        <v>716</v>
      </c>
      <c r="F20" s="3404">
        <f ca="1">INDIRECT("'数据-取费表'!r"&amp;$G$1)</f>
        <v>0</v>
      </c>
      <c r="G20" s="1021"/>
      <c r="H20" s="228"/>
      <c r="I20" s="214"/>
      <c r="J20" s="2985"/>
      <c r="K20" s="229"/>
      <c r="L20" s="1968" t="s">
        <v>716</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718</v>
      </c>
      <c r="C21" s="2961">
        <f ca="1">ROUND(C47*F21,0)</f>
        <v>1658</v>
      </c>
      <c r="D21" s="974" t="s">
        <v>719</v>
      </c>
      <c r="E21" s="205" t="s">
        <v>692</v>
      </c>
      <c r="F21" s="3048">
        <f ca="1">INDIRECT("'数据-取费表'!Ak"&amp;$G$1)</f>
        <v>2E-3</v>
      </c>
      <c r="G21" s="1021"/>
      <c r="H21" s="711" t="s">
        <v>396</v>
      </c>
      <c r="I21" s="205" t="s">
        <v>718</v>
      </c>
      <c r="J21" s="2960">
        <f ca="1">ROUND(J31*M21,2)</f>
        <v>1657.65</v>
      </c>
      <c r="K21" s="974" t="s">
        <v>719</v>
      </c>
      <c r="L21" s="1968" t="s">
        <v>692</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722</v>
      </c>
      <c r="C22" s="2961">
        <f ca="1">ROUND(C49*F22,0)</f>
        <v>680</v>
      </c>
      <c r="D22" s="974" t="s">
        <v>3487</v>
      </c>
      <c r="E22" s="205" t="s">
        <v>692</v>
      </c>
      <c r="F22" s="3049">
        <f ca="1">INDIRECT("'数据-取费表'!Al"&amp;$G$1)</f>
        <v>1E-3</v>
      </c>
      <c r="G22" s="1011"/>
      <c r="H22" s="711" t="s">
        <v>431</v>
      </c>
      <c r="I22" s="205" t="s">
        <v>722</v>
      </c>
      <c r="J22" s="2960">
        <f ca="1">ROUND(J33*M22,2)</f>
        <v>0</v>
      </c>
      <c r="K22" s="974" t="s">
        <v>723</v>
      </c>
      <c r="L22" s="1968" t="s">
        <v>692</v>
      </c>
      <c r="M22" s="4000">
        <f ca="1">INDIRECT("'数据-取费表'!Al"&amp;$G$1)</f>
        <v>1E-3</v>
      </c>
    </row>
    <row r="23" spans="1:37" s="1022" customFormat="1" ht="18" customHeight="1" thickBot="1">
      <c r="A23" s="789" t="s">
        <v>663</v>
      </c>
      <c r="B23" s="790" t="s">
        <v>708</v>
      </c>
      <c r="C23" s="3403">
        <f ca="1">ROUND(C5*F23,0)</f>
        <v>658</v>
      </c>
      <c r="D23" s="792" t="s">
        <v>728</v>
      </c>
      <c r="E23" s="790" t="s">
        <v>692</v>
      </c>
      <c r="F23" s="3124">
        <f ca="1">INDIRECT("'数据-取费表'!Am"&amp;$G$1)</f>
        <v>5.0000000000000001E-3</v>
      </c>
      <c r="G23" s="1021"/>
      <c r="H23" s="789" t="s">
        <v>663</v>
      </c>
      <c r="I23" s="790" t="s">
        <v>708</v>
      </c>
      <c r="J23" s="2986">
        <f ca="1">ROUND(J5*M23,2)</f>
        <v>0</v>
      </c>
      <c r="K23" s="792" t="s">
        <v>728</v>
      </c>
      <c r="L23" s="3645" t="s">
        <v>692</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752</v>
      </c>
      <c r="C24" s="3019">
        <f ca="1">C5-C13</f>
        <v>100055</v>
      </c>
      <c r="D24" s="795" t="s">
        <v>733</v>
      </c>
      <c r="E24" s="796"/>
      <c r="F24" s="797"/>
      <c r="G24" s="1021"/>
      <c r="H24" s="779" t="s">
        <v>388</v>
      </c>
      <c r="I24" s="794" t="s">
        <v>732</v>
      </c>
      <c r="J24" s="3019">
        <f ca="1">J5-J13</f>
        <v>-8456</v>
      </c>
      <c r="K24" s="795" t="s">
        <v>733</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86" t="s">
        <v>754</v>
      </c>
      <c r="C25" s="4376">
        <f ca="1">ROUND(C24*(1-((1+F27)/(1+F25))^F26)/(F25-F27),0)</f>
        <v>2045734</v>
      </c>
      <c r="D25" s="226" t="s">
        <v>738</v>
      </c>
      <c r="E25" s="205" t="s">
        <v>739</v>
      </c>
      <c r="F25" s="3050">
        <f ca="1">INDIRECT("'数据-取费表'!I"&amp;$G$1)</f>
        <v>5.5E-2</v>
      </c>
      <c r="G25" s="1011"/>
      <c r="H25" s="4378" t="s">
        <v>389</v>
      </c>
      <c r="I25" s="4381" t="s">
        <v>737</v>
      </c>
      <c r="J25" s="4384">
        <f ca="1">IF(J5&lt;&gt;0,ROUND(J24*(1-((1+M27)/(1+M25))^M26)/(M25-M27),0),0)</f>
        <v>0</v>
      </c>
      <c r="K25" s="226" t="s">
        <v>738</v>
      </c>
      <c r="L25" s="3442" t="s">
        <v>739</v>
      </c>
      <c r="M25" s="3993">
        <f ca="1">INDIRECT("'数据-取费表'!I"&amp;$G$1)</f>
        <v>5.5E-2</v>
      </c>
    </row>
    <row r="26" spans="1:37">
      <c r="A26" s="3068"/>
      <c r="B26" s="4386"/>
      <c r="C26" s="4376"/>
      <c r="D26" s="233" t="s">
        <v>755</v>
      </c>
      <c r="E26" s="205" t="s">
        <v>743</v>
      </c>
      <c r="F26" s="3052">
        <f ca="1">IF(INDIRECT("'数据-取费表'!af"&amp;$G$1)=0,INDIRECT("'数据-取费表'!ae"&amp;$G$1),INDIRECT("'数据-取费表'!af"&amp;$G$1))</f>
        <v>37.270000000000003</v>
      </c>
      <c r="G26" s="1011"/>
      <c r="H26" s="4379"/>
      <c r="I26" s="4382"/>
      <c r="J26" s="4373"/>
      <c r="K26" s="974" t="s">
        <v>742</v>
      </c>
      <c r="L26" s="1968" t="s">
        <v>743</v>
      </c>
      <c r="M26" s="4003">
        <f ca="1">INDIRECT("'数据-取费表'!ag"&amp;$G$1)</f>
        <v>0</v>
      </c>
    </row>
    <row r="27" spans="1:37" ht="18" customHeight="1">
      <c r="A27" s="1057"/>
      <c r="B27" s="4386"/>
      <c r="C27" s="4376"/>
      <c r="D27" s="229"/>
      <c r="E27" s="205" t="s">
        <v>746</v>
      </c>
      <c r="F27" s="3050">
        <f ca="1">INDIRECT("'数据-取费表'!v"&amp;$G$1)</f>
        <v>0.02</v>
      </c>
      <c r="G27" s="1011"/>
      <c r="H27" s="4380"/>
      <c r="I27" s="4383"/>
      <c r="J27" s="4385"/>
      <c r="K27" s="974"/>
      <c r="L27" s="1968" t="s">
        <v>746</v>
      </c>
      <c r="M27" s="4004">
        <f ca="1">INDIRECT("'数据-取费表'!aa"&amp;$G$1)</f>
        <v>0</v>
      </c>
    </row>
    <row r="28" spans="1:37" s="1022" customFormat="1" ht="18" customHeight="1" thickBot="1">
      <c r="A28" s="3068" t="s">
        <v>3520</v>
      </c>
      <c r="B28" s="2990" t="s">
        <v>3518</v>
      </c>
      <c r="C28" s="3015">
        <f ca="1">ROUND(C25*(1+F28),0)</f>
        <v>2229850</v>
      </c>
      <c r="D28" s="3625" t="s">
        <v>3743</v>
      </c>
      <c r="E28" s="3626" t="str">
        <f>IF(D28="其他类型公式—收益价值×（1+9%）","销项税率","征收率")</f>
        <v>销项税率</v>
      </c>
      <c r="F28" s="3627">
        <f>IF(D28="其他类型公式—收益价值×（1+9%）",9%,3%)</f>
        <v>0.09</v>
      </c>
      <c r="G28" s="1021"/>
      <c r="H28" s="218" t="s">
        <v>390</v>
      </c>
      <c r="I28" s="2993" t="s">
        <v>748</v>
      </c>
      <c r="J28" s="3015">
        <f ca="1">ROUND(J25/(1+F25)^F26,0)</f>
        <v>0</v>
      </c>
      <c r="K28" s="72" t="s">
        <v>749</v>
      </c>
      <c r="L28" s="1968"/>
      <c r="M28" s="4003">
        <f ca="1">INDIRECT("'数据-取费表'!k"&amp;$G$1)</f>
        <v>145.47</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756</v>
      </c>
      <c r="C29" s="3029">
        <f ca="1">ROUND(C28/F29,0)</f>
        <v>15329</v>
      </c>
      <c r="D29" s="238" t="s">
        <v>3523</v>
      </c>
      <c r="E29" s="239" t="s">
        <v>758</v>
      </c>
      <c r="F29" s="3053">
        <f ca="1">INDIRECT("'数据-取费表'!k"&amp;$G$1)</f>
        <v>145.47</v>
      </c>
      <c r="G29" s="1021"/>
      <c r="H29" s="235">
        <v>7</v>
      </c>
      <c r="I29" s="3630" t="s">
        <v>3519</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3446</v>
      </c>
      <c r="B31" s="2992" t="s">
        <v>3447</v>
      </c>
      <c r="C31" s="3968">
        <f ca="1">SUM(C32:C37)</f>
        <v>671629</v>
      </c>
      <c r="D31" s="3004" t="s">
        <v>3454</v>
      </c>
      <c r="E31" s="3000"/>
      <c r="F31" s="3001"/>
      <c r="G31" s="1011"/>
      <c r="H31" s="3021" t="s">
        <v>3446</v>
      </c>
      <c r="I31" s="3024" t="s">
        <v>3492</v>
      </c>
      <c r="J31" s="3025">
        <f ca="1">C47</f>
        <v>828823</v>
      </c>
      <c r="K31" s="3635" t="s">
        <v>3488</v>
      </c>
      <c r="L31" s="3026"/>
      <c r="M31" s="3441"/>
    </row>
    <row r="32" spans="1:37" ht="18" customHeight="1">
      <c r="A32" s="2958" t="s">
        <v>391</v>
      </c>
      <c r="B32" s="2922" t="s">
        <v>687</v>
      </c>
      <c r="C32" s="2856">
        <f ca="1">ROUND(INDIRECT("'数据-取费表'!l"&amp;$G$1)*F29+'数据-取费表'!L14*INDIRECT("'数据-取费表'!S"&amp;$G$1),0)</f>
        <v>600500</v>
      </c>
      <c r="D32" s="974" t="s">
        <v>688</v>
      </c>
      <c r="E32" s="974"/>
      <c r="F32" s="234"/>
      <c r="G32" s="1011"/>
      <c r="H32" s="3022" t="s">
        <v>396</v>
      </c>
      <c r="I32" s="3027" t="s">
        <v>3474</v>
      </c>
      <c r="J32" s="2905">
        <f ca="1">ROUND(J31*(1-M32),0)</f>
        <v>828823</v>
      </c>
      <c r="K32" s="205" t="s">
        <v>3477</v>
      </c>
      <c r="L32" s="2977" t="s">
        <v>3495</v>
      </c>
      <c r="M32" s="215">
        <f ca="1">INDIRECT("'数据-取费表'!ad"&amp;$G$1)</f>
        <v>0</v>
      </c>
    </row>
    <row r="33" spans="1:17" ht="18" customHeight="1" thickBot="1">
      <c r="A33" s="2958" t="s">
        <v>3435</v>
      </c>
      <c r="B33" s="2922" t="s">
        <v>690</v>
      </c>
      <c r="C33" s="2961">
        <f ca="1">ROUND(C32*F33,0)</f>
        <v>30025</v>
      </c>
      <c r="D33" s="205" t="s">
        <v>691</v>
      </c>
      <c r="E33" s="205" t="s">
        <v>692</v>
      </c>
      <c r="F33" s="3046">
        <f>'数据-取费表'!B33</f>
        <v>0.05</v>
      </c>
      <c r="G33" s="1011"/>
      <c r="H33" s="3023" t="s">
        <v>3465</v>
      </c>
      <c r="I33" s="3028" t="s">
        <v>3476</v>
      </c>
      <c r="J33" s="3029">
        <f ca="1">J31-J32</f>
        <v>0</v>
      </c>
      <c r="K33" s="3002" t="s">
        <v>3522</v>
      </c>
      <c r="L33" s="238"/>
      <c r="M33" s="3030"/>
    </row>
    <row r="34" spans="1:17" ht="18" customHeight="1">
      <c r="A34" s="2958" t="s">
        <v>660</v>
      </c>
      <c r="B34" s="2922" t="s">
        <v>693</v>
      </c>
      <c r="C34" s="2961">
        <f ca="1">ROUND(INDIRECT("'数据-取费表'!m"&amp;$G$1)*F34,0)</f>
        <v>0</v>
      </c>
      <c r="D34" s="205" t="s">
        <v>691</v>
      </c>
      <c r="E34" s="205" t="s">
        <v>692</v>
      </c>
      <c r="F34" s="3046">
        <f ca="1">IF(INDIRECT("'数据-取费表'!c"&amp;$G$1)="住宅",'数据-取费表'!B34,0)</f>
        <v>0</v>
      </c>
      <c r="G34" s="1011"/>
    </row>
    <row r="35" spans="1:17" ht="18" customHeight="1">
      <c r="A35" s="2958" t="s">
        <v>3450</v>
      </c>
      <c r="B35" s="2922" t="s">
        <v>696</v>
      </c>
      <c r="C35" s="2961">
        <f ca="1">ROUND(F35*(F29+INDIRECT("'数据-取费表'!S"&amp;$G$1)),0)</f>
        <v>29094</v>
      </c>
      <c r="D35" s="205" t="s">
        <v>697</v>
      </c>
      <c r="E35" s="205" t="s">
        <v>698</v>
      </c>
      <c r="F35" s="3981">
        <f>'数据-取费表'!B35</f>
        <v>200</v>
      </c>
      <c r="G35" s="1011"/>
    </row>
    <row r="36" spans="1:17" ht="18" customHeight="1">
      <c r="A36" s="2958" t="s">
        <v>662</v>
      </c>
      <c r="B36" s="2980" t="s">
        <v>3313</v>
      </c>
      <c r="C36" s="2961">
        <f ca="1">ROUND(C32*F36,0)</f>
        <v>6005</v>
      </c>
      <c r="D36" s="205" t="s">
        <v>691</v>
      </c>
      <c r="E36" s="205" t="s">
        <v>692</v>
      </c>
      <c r="F36" s="3046">
        <f>'数据-取费表'!B36</f>
        <v>0.01</v>
      </c>
      <c r="G36" s="1011"/>
      <c r="H36" s="62"/>
      <c r="I36" s="62"/>
      <c r="J36" s="62"/>
      <c r="K36" s="1961"/>
      <c r="L36" s="62"/>
      <c r="M36" s="62"/>
    </row>
    <row r="37" spans="1:17" ht="18" customHeight="1">
      <c r="A37" s="2958" t="s">
        <v>662</v>
      </c>
      <c r="B37" s="2980" t="s">
        <v>3314</v>
      </c>
      <c r="C37" s="2961">
        <f ca="1">ROUND(C32*F37,0)</f>
        <v>6005</v>
      </c>
      <c r="D37" s="205" t="s">
        <v>691</v>
      </c>
      <c r="E37" s="205" t="s">
        <v>692</v>
      </c>
      <c r="F37" s="3046">
        <f>'数据-取费表'!B37</f>
        <v>0.01</v>
      </c>
      <c r="G37" s="1011"/>
      <c r="H37" s="62"/>
      <c r="I37" s="62"/>
      <c r="J37" s="62"/>
      <c r="K37" s="1961"/>
      <c r="L37" s="62"/>
      <c r="M37" s="62"/>
    </row>
    <row r="38" spans="1:17" ht="18" customHeight="1">
      <c r="A38" s="218" t="s">
        <v>3461</v>
      </c>
      <c r="B38" s="2993" t="s">
        <v>3462</v>
      </c>
      <c r="C38" s="3015">
        <f ca="1">ROUND(C31*F38,0)</f>
        <v>13433</v>
      </c>
      <c r="D38" s="2994" t="s">
        <v>3463</v>
      </c>
      <c r="E38" s="2993" t="s">
        <v>3464</v>
      </c>
      <c r="F38" s="3050">
        <f>'数据-取费表'!B38</f>
        <v>0.02</v>
      </c>
      <c r="G38" s="1011"/>
      <c r="H38" s="62"/>
      <c r="I38" s="62"/>
      <c r="J38" s="62"/>
      <c r="K38" s="1961"/>
      <c r="L38" s="62"/>
      <c r="M38" s="62"/>
    </row>
    <row r="39" spans="1:17" ht="18" customHeight="1">
      <c r="A39" s="218" t="s">
        <v>3465</v>
      </c>
      <c r="B39" s="2993" t="s">
        <v>3466</v>
      </c>
      <c r="C39" s="3969" t="str">
        <f>F39&amp;"V"</f>
        <v>0.02V</v>
      </c>
      <c r="D39" s="2994" t="s">
        <v>3467</v>
      </c>
      <c r="E39" s="2993" t="s">
        <v>3468</v>
      </c>
      <c r="F39" s="3050">
        <f>'数据-取费表'!B39</f>
        <v>0.02</v>
      </c>
      <c r="G39" s="1011"/>
      <c r="H39" s="62"/>
      <c r="I39" s="62"/>
      <c r="J39" s="62"/>
      <c r="K39" s="1961"/>
      <c r="L39" s="62"/>
      <c r="M39" s="62"/>
    </row>
    <row r="40" spans="1:17" ht="18" customHeight="1">
      <c r="A40" s="218" t="s">
        <v>3469</v>
      </c>
      <c r="B40" s="2996" t="s">
        <v>3397</v>
      </c>
      <c r="C40" s="3969" t="str">
        <f ca="1">C41&amp;"+"&amp;C42&amp;"V建"</f>
        <v>21442+0.0006V建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720</v>
      </c>
      <c r="C41" s="2961">
        <f ca="1">IF('数据-取费表'!B22&lt;=1,ROUND(C31*F42*F41/2,0)+ROUND(C38*F42*F41/2,0),ROUND(C31*(POWER((1+F42),F41/2)-1),0)+ROUND(C38*(POWER((1+F42),F41/2)-1),0))</f>
        <v>21442</v>
      </c>
      <c r="D41" s="72" t="str">
        <f>IF(F41&lt;=1,"(建造成本+管理费用)×利率×(建设周期÷2)","(建造成本+管理费用)×((1+利率)^(建设周期÷2)-1)")</f>
        <v>(建造成本+管理费用)×((1+利率)^(建设周期÷2)-1)</v>
      </c>
      <c r="E41" s="205" t="s">
        <v>721</v>
      </c>
      <c r="F41" s="3975">
        <f>'数据-取费表'!B20</f>
        <v>2</v>
      </c>
      <c r="G41" s="1011"/>
      <c r="H41" s="62"/>
      <c r="I41" s="62"/>
      <c r="J41" s="62"/>
      <c r="K41" s="1961"/>
      <c r="L41" s="62"/>
      <c r="M41" s="62"/>
    </row>
    <row r="42" spans="1:17" ht="18" customHeight="1">
      <c r="A42" s="2958" t="s">
        <v>725</v>
      </c>
      <c r="B42" s="205" t="s">
        <v>726</v>
      </c>
      <c r="C42" s="3967">
        <f ca="1">ROUND(IF('数据-取费表'!B22&lt;=1,F39*F42*F41/2,F39*(POWER((1+F42),F41/2)-1)),4)</f>
        <v>5.9999999999999995E-4</v>
      </c>
      <c r="D42" s="72" t="str">
        <f>IF(F41&lt;=1,"销售费用×利率×(建设周期÷2)","销售费用×((1+利率)^(建设周期÷2)-1)")</f>
        <v>销售费用×((1+利率)^(建设周期÷2)-1)</v>
      </c>
      <c r="E42" s="205" t="s">
        <v>727</v>
      </c>
      <c r="F42" s="3045">
        <f ca="1">'数据-取费表'!B41</f>
        <v>3.1300000000000001E-2</v>
      </c>
      <c r="G42" s="1011"/>
      <c r="H42" s="62"/>
      <c r="I42" s="62"/>
      <c r="J42" s="62"/>
      <c r="K42" s="1961"/>
      <c r="L42" s="62"/>
      <c r="M42" s="62"/>
    </row>
    <row r="43" spans="1:17" ht="18" customHeight="1">
      <c r="A43" s="218" t="s">
        <v>3470</v>
      </c>
      <c r="B43" s="2996" t="s">
        <v>3332</v>
      </c>
      <c r="C43" s="3969" t="str">
        <f ca="1">C44&amp;"+"&amp;C45&amp;"V建"</f>
        <v>102759+0.003V建</v>
      </c>
      <c r="D43" s="2942" t="s">
        <v>3471</v>
      </c>
      <c r="E43" s="219"/>
      <c r="F43" s="3047"/>
      <c r="G43" s="1011"/>
      <c r="H43" s="62"/>
      <c r="I43" s="62"/>
      <c r="J43" s="62"/>
      <c r="K43" s="1961"/>
      <c r="L43" s="62"/>
      <c r="M43" s="62"/>
    </row>
    <row r="44" spans="1:17" ht="18" customHeight="1">
      <c r="A44" s="2958" t="s">
        <v>391</v>
      </c>
      <c r="B44" s="205" t="s">
        <v>734</v>
      </c>
      <c r="C44" s="2961">
        <f ca="1">ROUND((C31+C38)*F44,0)</f>
        <v>102759</v>
      </c>
      <c r="D44" s="225" t="s">
        <v>735</v>
      </c>
      <c r="E44" s="205" t="s">
        <v>736</v>
      </c>
      <c r="F44" s="3050">
        <f ca="1">INDIRECT("'数据-取费表'!q"&amp;$G$1)</f>
        <v>0.15</v>
      </c>
      <c r="G44" s="1011"/>
      <c r="H44" s="62"/>
      <c r="I44" s="62"/>
      <c r="J44" s="62"/>
      <c r="K44" s="1961"/>
      <c r="L44" s="62"/>
      <c r="M44" s="62"/>
    </row>
    <row r="45" spans="1:17" ht="18" customHeight="1">
      <c r="A45" s="2958" t="s">
        <v>393</v>
      </c>
      <c r="B45" s="205" t="s">
        <v>740</v>
      </c>
      <c r="C45" s="3967">
        <f ca="1">ROUND(F39*F44,4)</f>
        <v>3.0000000000000001E-3</v>
      </c>
      <c r="D45" s="225" t="s">
        <v>741</v>
      </c>
      <c r="E45" s="205"/>
      <c r="F45" s="3046"/>
      <c r="G45" s="1011"/>
      <c r="H45" s="62"/>
      <c r="I45" s="62"/>
      <c r="J45" s="62"/>
      <c r="K45" s="1961"/>
      <c r="L45" s="62"/>
      <c r="M45" s="62"/>
    </row>
    <row r="46" spans="1:17" ht="18" customHeight="1">
      <c r="A46" s="218" t="s">
        <v>3457</v>
      </c>
      <c r="B46" s="2993" t="s">
        <v>3458</v>
      </c>
      <c r="C46" s="3971">
        <f>ROUND(F46/(1+'数据-取费表'!C43),4)</f>
        <v>0</v>
      </c>
      <c r="D46" s="2994"/>
      <c r="E46" s="2993"/>
      <c r="F46" s="3050"/>
      <c r="G46" s="1011"/>
      <c r="H46" s="62"/>
      <c r="I46" s="62"/>
      <c r="J46" s="62"/>
      <c r="K46" s="1961"/>
      <c r="L46" s="62"/>
      <c r="M46" s="62"/>
    </row>
    <row r="47" spans="1:17" s="1011" customFormat="1" ht="18" customHeight="1">
      <c r="A47" s="218" t="s">
        <v>3459</v>
      </c>
      <c r="B47" s="2993" t="s">
        <v>3460</v>
      </c>
      <c r="C47" s="3015">
        <f ca="1">ROUND((C31+C38+C41+C44)/(1-F39-C42-C45-C46),0)</f>
        <v>828823</v>
      </c>
      <c r="D47" s="3009" t="s">
        <v>3488</v>
      </c>
      <c r="E47" s="2993"/>
      <c r="F47" s="3050"/>
      <c r="K47" s="1027"/>
      <c r="Q47" s="3984"/>
    </row>
    <row r="48" spans="1:17" s="1011" customFormat="1" ht="18" customHeight="1">
      <c r="A48" s="2997" t="s">
        <v>3472</v>
      </c>
      <c r="B48" s="2996" t="s">
        <v>3474</v>
      </c>
      <c r="C48" s="3015">
        <f ca="1">ROUND(C47*(1-F48),0)</f>
        <v>149188</v>
      </c>
      <c r="D48" s="205" t="s">
        <v>3477</v>
      </c>
      <c r="E48" s="205" t="s">
        <v>686</v>
      </c>
      <c r="F48" s="3046">
        <f ca="1">INDIRECT("'数据-取费表'!y"&amp;$G$1)</f>
        <v>0.82</v>
      </c>
      <c r="K48" s="1027"/>
      <c r="Q48" s="3984"/>
    </row>
    <row r="49" spans="1:18" s="1011" customFormat="1" ht="18" customHeight="1" thickBot="1">
      <c r="A49" s="2998" t="s">
        <v>3475</v>
      </c>
      <c r="B49" s="3007" t="s">
        <v>3485</v>
      </c>
      <c r="C49" s="3029">
        <f ca="1">C47-C48</f>
        <v>679635</v>
      </c>
      <c r="D49" s="3002" t="s">
        <v>3522</v>
      </c>
      <c r="E49" s="236"/>
      <c r="F49" s="3003"/>
      <c r="K49" s="1027"/>
      <c r="Q49" s="3984"/>
    </row>
    <row r="50" spans="1:18" s="1011" customFormat="1" ht="18" customHeight="1" thickBot="1">
      <c r="A50" s="1025"/>
      <c r="B50" s="1025"/>
      <c r="C50" s="1026"/>
      <c r="D50" s="1025"/>
      <c r="E50" s="1025"/>
      <c r="F50" s="1025"/>
      <c r="I50" s="3031" t="s">
        <v>3496</v>
      </c>
      <c r="J50" s="528"/>
      <c r="O50" s="2074" t="s">
        <v>788</v>
      </c>
      <c r="P50" s="1084"/>
      <c r="Q50" s="3986"/>
      <c r="R50" s="1084"/>
    </row>
    <row r="51" spans="1:18" s="1011" customFormat="1" ht="13.5" thickBot="1">
      <c r="A51" s="1029" t="s">
        <v>789</v>
      </c>
      <c r="C51" s="3038">
        <f ca="1">IF(D2="含税",C78-C28,C75-C25)</f>
        <v>-2277298</v>
      </c>
      <c r="D51" s="1031" t="str">
        <f>C2</f>
        <v>万元</v>
      </c>
      <c r="E51" s="1025"/>
      <c r="F51" s="1025"/>
      <c r="I51" s="1032" t="s">
        <v>790</v>
      </c>
      <c r="J51" s="1033"/>
      <c r="K51" s="1034"/>
      <c r="L51" s="3409">
        <f ca="1">IF(M52="住宅",0,IF(L53&gt;J56,L65,J65))</f>
        <v>24398</v>
      </c>
      <c r="O51" s="1036" t="s">
        <v>791</v>
      </c>
      <c r="P51" s="1037" t="s">
        <v>792</v>
      </c>
      <c r="Q51" s="3990" t="s">
        <v>793</v>
      </c>
      <c r="R51" s="1038" t="s">
        <v>794</v>
      </c>
    </row>
    <row r="52" spans="1:18" s="1011" customFormat="1" ht="13.5" thickBot="1">
      <c r="A52" s="675" t="s">
        <v>667</v>
      </c>
      <c r="B52" s="707" t="s">
        <v>668</v>
      </c>
      <c r="C52" s="813" t="s">
        <v>669</v>
      </c>
      <c r="D52" s="707" t="s">
        <v>670</v>
      </c>
      <c r="E52" s="759" t="s">
        <v>671</v>
      </c>
      <c r="F52" s="760"/>
      <c r="G52" s="524"/>
      <c r="I52" s="1039" t="s">
        <v>795</v>
      </c>
      <c r="J52" s="1040" t="s">
        <v>3744</v>
      </c>
      <c r="K52" s="1041" t="s">
        <v>796</v>
      </c>
      <c r="L52" s="3410">
        <f ca="1">INDIRECT("'数据-取费表'!d"&amp;$G$1)</f>
        <v>50</v>
      </c>
      <c r="M52" s="1007" t="str">
        <f>IF(ISNUMBER(FIND("住宅",C1)),"住宅","非住宅")</f>
        <v>非住宅</v>
      </c>
      <c r="O52" s="1043" t="s">
        <v>397</v>
      </c>
      <c r="P52" s="1044" t="s">
        <v>797</v>
      </c>
      <c r="Q52" s="3987">
        <f ca="1">C25+J28</f>
        <v>2045734</v>
      </c>
      <c r="R52" s="1045" t="s">
        <v>798</v>
      </c>
    </row>
    <row r="53" spans="1:18" s="1011" customFormat="1" ht="28.5" thickBot="1">
      <c r="A53" s="807" t="s">
        <v>432</v>
      </c>
      <c r="B53" s="203" t="s">
        <v>672</v>
      </c>
      <c r="C53" s="3032">
        <f ca="1">C54+C58+C60</f>
        <v>0</v>
      </c>
      <c r="D53" s="809"/>
      <c r="E53" s="810"/>
      <c r="F53" s="691"/>
      <c r="G53" s="524"/>
      <c r="H53" s="525"/>
      <c r="I53" s="1046" t="s">
        <v>799</v>
      </c>
      <c r="J53" s="1047" t="s">
        <v>3745</v>
      </c>
      <c r="K53" s="1048" t="s">
        <v>800</v>
      </c>
      <c r="L53" s="3407">
        <f ca="1">INDIRECT("'数据-取费表'!f"&amp;$G$1)</f>
        <v>37.270000000000003</v>
      </c>
      <c r="O53" s="1043" t="s">
        <v>398</v>
      </c>
      <c r="P53" s="1044" t="s">
        <v>801</v>
      </c>
      <c r="Q53" s="3987">
        <f ca="1">J65</f>
        <v>24398</v>
      </c>
      <c r="R53" s="1045" t="s">
        <v>802</v>
      </c>
    </row>
    <row r="54" spans="1:18" s="1011" customFormat="1" ht="15.75" thickBot="1">
      <c r="A54" s="704" t="s">
        <v>433</v>
      </c>
      <c r="B54" s="998" t="s">
        <v>759</v>
      </c>
      <c r="C54" s="3033">
        <f ca="1">C55-C57</f>
        <v>0</v>
      </c>
      <c r="D54" s="756" t="s">
        <v>2026</v>
      </c>
      <c r="E54" s="3006" t="s">
        <v>3484</v>
      </c>
      <c r="F54" s="3039"/>
      <c r="H54" s="525"/>
      <c r="I54" s="1046" t="s">
        <v>803</v>
      </c>
      <c r="J54" s="3405">
        <v>2015</v>
      </c>
      <c r="K54" s="1048" t="s">
        <v>804</v>
      </c>
      <c r="L54" s="3411"/>
      <c r="O54" s="1052" t="s">
        <v>399</v>
      </c>
      <c r="P54" s="1044" t="s">
        <v>805</v>
      </c>
      <c r="Q54" s="3987">
        <f ca="1">C47</f>
        <v>828823</v>
      </c>
      <c r="R54" s="1045" t="s">
        <v>798</v>
      </c>
    </row>
    <row r="55" spans="1:18" s="1011" customFormat="1" ht="13.5" thickBot="1">
      <c r="A55" s="705" t="s">
        <v>3482</v>
      </c>
      <c r="B55" s="3005" t="s">
        <v>3480</v>
      </c>
      <c r="C55" s="3034">
        <f ca="1">ROUND(F54*F56*F55,0)</f>
        <v>0</v>
      </c>
      <c r="D55" s="682"/>
      <c r="E55" s="757" t="s">
        <v>677</v>
      </c>
      <c r="F55" s="3040">
        <f ca="1">F7</f>
        <v>145.47</v>
      </c>
      <c r="H55" s="525"/>
      <c r="I55" s="1046" t="s">
        <v>806</v>
      </c>
      <c r="J55" s="3406">
        <f>SUMPRODUCT((I68:I70=J52)*(J67:L67=J53)*(J68:L70))</f>
        <v>60</v>
      </c>
      <c r="K55" s="1048" t="s">
        <v>807</v>
      </c>
      <c r="L55" s="3411"/>
      <c r="M55" s="1054"/>
      <c r="O55" s="1052" t="s">
        <v>400</v>
      </c>
      <c r="P55" s="1044" t="s">
        <v>808</v>
      </c>
      <c r="Q55" s="3988">
        <f ca="1">J63</f>
        <v>0.4</v>
      </c>
      <c r="R55" s="1045"/>
    </row>
    <row r="56" spans="1:18" s="1011" customFormat="1" ht="13.5" thickBot="1">
      <c r="A56" s="706"/>
      <c r="B56" s="708"/>
      <c r="C56" s="3035"/>
      <c r="D56" s="682"/>
      <c r="E56" s="710" t="s">
        <v>678</v>
      </c>
      <c r="F56" s="3041">
        <f ca="1">F8</f>
        <v>365</v>
      </c>
      <c r="I56" s="1056" t="s">
        <v>809</v>
      </c>
      <c r="J56" s="3407">
        <f>IF(J54="",J55,J54+J55-YEAR('数据-取费表'!B2))</f>
        <v>49</v>
      </c>
      <c r="K56" s="1057" t="s">
        <v>810</v>
      </c>
      <c r="L56" s="3412">
        <f ca="1">ROUND(-PV(INDIRECT("'数据-取费表'!h"&amp;$G$1),J56,(C24-C48*C83),0),0)</f>
        <v>1614580</v>
      </c>
      <c r="M56" s="1059"/>
      <c r="O56" s="1052" t="s">
        <v>401</v>
      </c>
      <c r="P56" s="1044" t="s">
        <v>811</v>
      </c>
      <c r="Q56" s="3988">
        <f>J57</f>
        <v>7.4999999999999997E-2</v>
      </c>
      <c r="R56" s="1045"/>
    </row>
    <row r="57" spans="1:18" s="1011" customFormat="1" ht="13.5" thickBot="1">
      <c r="A57" s="706" t="s">
        <v>3483</v>
      </c>
      <c r="B57" s="3005" t="s">
        <v>3432</v>
      </c>
      <c r="C57" s="3035">
        <f ca="1">ROUND(C55*F57,0)</f>
        <v>0</v>
      </c>
      <c r="D57" s="682"/>
      <c r="E57" s="710" t="s">
        <v>679</v>
      </c>
      <c r="F57" s="3042"/>
      <c r="I57" s="1060" t="s">
        <v>812</v>
      </c>
      <c r="J57" s="1061">
        <v>7.4999999999999997E-2</v>
      </c>
      <c r="K57" s="1060" t="s">
        <v>813</v>
      </c>
      <c r="L57" s="3413"/>
      <c r="O57" s="1052" t="s">
        <v>402</v>
      </c>
      <c r="P57" s="1044" t="s">
        <v>814</v>
      </c>
      <c r="Q57" s="3987">
        <f ca="1">J58</f>
        <v>37.270000000000003</v>
      </c>
      <c r="R57" s="1045" t="s">
        <v>815</v>
      </c>
    </row>
    <row r="58" spans="1:18" s="1011" customFormat="1" ht="24.75" thickBot="1">
      <c r="A58" s="3636" t="s">
        <v>434</v>
      </c>
      <c r="B58" s="1000" t="s">
        <v>680</v>
      </c>
      <c r="C58" s="3015">
        <f ca="1">ROUND(IF(F58="押一",C54/12*F11,IF(F58="押二",C54/12*2*F11,IF(F58="押三",C54/12*3*F11,C59*F11))),0)</f>
        <v>0</v>
      </c>
      <c r="D58" s="77" t="s">
        <v>2032</v>
      </c>
      <c r="E58" s="216" t="s">
        <v>681</v>
      </c>
      <c r="F58" s="3043"/>
      <c r="I58" s="1062" t="s">
        <v>816</v>
      </c>
      <c r="J58" s="3408">
        <f ca="1">IF(M52="住宅",IF(D1="——",MAX(J56,L53),MAX(J56,L53-'数据-取费表'!B24)),IF(D1="——",MIN(J56,L53),MIN(J56,L53-'数据-取费表'!B24)))</f>
        <v>37.270000000000003</v>
      </c>
      <c r="K58" s="4374" t="s">
        <v>817</v>
      </c>
      <c r="L58" s="4375"/>
      <c r="O58" s="1043" t="s">
        <v>403</v>
      </c>
      <c r="P58" s="1044" t="s">
        <v>818</v>
      </c>
      <c r="Q58" s="3987">
        <f ca="1">Q52+Q53</f>
        <v>2070132</v>
      </c>
      <c r="R58" s="1045" t="s">
        <v>404</v>
      </c>
    </row>
    <row r="59" spans="1:18" s="1011" customFormat="1" ht="13.5" thickBot="1">
      <c r="A59" s="829"/>
      <c r="B59" s="994" t="s">
        <v>659</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819</v>
      </c>
      <c r="P59" s="1008"/>
      <c r="Q59" s="3989"/>
      <c r="R59" s="1008"/>
    </row>
    <row r="60" spans="1:18" s="1011" customFormat="1" ht="13.5" thickBot="1">
      <c r="A60" s="783" t="s">
        <v>431</v>
      </c>
      <c r="B60" s="996" t="s">
        <v>683</v>
      </c>
      <c r="C60" s="3017"/>
      <c r="D60" s="77"/>
      <c r="E60" s="1001"/>
      <c r="F60" s="1063"/>
      <c r="I60" s="1066" t="s">
        <v>820</v>
      </c>
      <c r="J60" s="1067">
        <f ca="1">ROUND(IF(J52="钢混",J62/J55,1-(1-2%)*(J55-J62)/J55),3)</f>
        <v>0.19600000000000001</v>
      </c>
      <c r="K60" s="1068" t="s">
        <v>821</v>
      </c>
      <c r="L60" s="1069"/>
      <c r="O60" s="1036" t="s">
        <v>791</v>
      </c>
      <c r="P60" s="1037" t="s">
        <v>792</v>
      </c>
      <c r="Q60" s="3990" t="s">
        <v>793</v>
      </c>
      <c r="R60" s="1038" t="s">
        <v>794</v>
      </c>
    </row>
    <row r="61" spans="1:18" s="1011" customFormat="1" ht="25.5" thickTop="1" thickBot="1">
      <c r="A61" s="686">
        <v>2</v>
      </c>
      <c r="B61" s="3008" t="s">
        <v>3485</v>
      </c>
      <c r="C61" s="2680">
        <f ca="1">C49</f>
        <v>679635</v>
      </c>
      <c r="D61" s="1070"/>
      <c r="E61" s="1071"/>
      <c r="F61" s="1063"/>
      <c r="I61" s="1072" t="s">
        <v>822</v>
      </c>
      <c r="J61" s="1073" t="s">
        <v>3746</v>
      </c>
      <c r="K61" s="1046" t="s">
        <v>823</v>
      </c>
      <c r="L61" s="3407" t="str">
        <f ca="1">IF(L53&lt;J56,"——",L53-J58)</f>
        <v>——</v>
      </c>
      <c r="O61" s="1043" t="s">
        <v>397</v>
      </c>
      <c r="P61" s="1044" t="s">
        <v>797</v>
      </c>
      <c r="Q61" s="3987">
        <f ca="1">C25+J28</f>
        <v>2045734</v>
      </c>
      <c r="R61" s="1045" t="s">
        <v>798</v>
      </c>
    </row>
    <row r="62" spans="1:18" s="1011" customFormat="1" ht="24.75" thickBot="1">
      <c r="A62" s="1074"/>
      <c r="B62" s="679" t="s">
        <v>747</v>
      </c>
      <c r="C62" s="3036">
        <f ca="1">C47</f>
        <v>828823</v>
      </c>
      <c r="D62" s="3010" t="s">
        <v>3488</v>
      </c>
      <c r="E62" s="1076"/>
      <c r="F62" s="1077"/>
      <c r="I62" s="1078" t="s">
        <v>824</v>
      </c>
      <c r="J62" s="3976">
        <f ca="1">IF(OR(M52="住宅",J56&lt;L53,J61="是"),"——",J56-L53)</f>
        <v>11.729999999999997</v>
      </c>
      <c r="K62" s="1046" t="s">
        <v>825</v>
      </c>
      <c r="L62" s="3417" t="str">
        <f ca="1">IF(L53&lt;J56,"——",IF(L60="比较法",L54,IF(L60="基准地价",L55,L56)))</f>
        <v>——</v>
      </c>
      <c r="O62" s="1043" t="s">
        <v>398</v>
      </c>
      <c r="P62" s="1044" t="s">
        <v>826</v>
      </c>
      <c r="Q62" s="3987">
        <f ca="1">L65</f>
        <v>0</v>
      </c>
      <c r="R62" s="1045" t="s">
        <v>827</v>
      </c>
    </row>
    <row r="63" spans="1:18" s="1011" customFormat="1" ht="24.75" thickBot="1">
      <c r="A63" s="218" t="s">
        <v>387</v>
      </c>
      <c r="B63" s="687" t="s">
        <v>694</v>
      </c>
      <c r="C63" s="3015">
        <f ca="1">ROUND(C64+C71+C72+C73,0)</f>
        <v>2129</v>
      </c>
      <c r="D63" s="689" t="s">
        <v>695</v>
      </c>
      <c r="E63" s="690"/>
      <c r="F63" s="691"/>
      <c r="I63" s="1078" t="s">
        <v>828</v>
      </c>
      <c r="J63" s="1080">
        <f ca="1">IF(J60&lt;0.4,0.4,J60)</f>
        <v>0.4</v>
      </c>
      <c r="K63" s="1057" t="s">
        <v>829</v>
      </c>
      <c r="L63" s="3417" t="e">
        <f ca="1">ROUND(POWER(1+L57,L52-L53)*(POWER(1+L57,L53)-1)/(POWER(1+L57,L52)-1),4)</f>
        <v>#DIV/0!</v>
      </c>
      <c r="O63" s="1052" t="s">
        <v>399</v>
      </c>
      <c r="P63" s="1044" t="s">
        <v>830</v>
      </c>
      <c r="Q63" s="3987">
        <f>IF(L60="比较法",L54,IF(L60="基准地价",L55,0))</f>
        <v>0</v>
      </c>
      <c r="R63" s="1045" t="s">
        <v>798</v>
      </c>
    </row>
    <row r="64" spans="1:18" s="1011" customFormat="1" ht="24.75" thickBot="1">
      <c r="A64" s="711" t="s">
        <v>392</v>
      </c>
      <c r="B64" s="679" t="s">
        <v>699</v>
      </c>
      <c r="C64" s="2983">
        <f ca="1">ROUND(IF(AND(项目基本情况!B11="自然人",项目基本情况!B10="北京市"),C54*F64,C65+C68+C69),2)</f>
        <v>-209</v>
      </c>
      <c r="D64" s="692" t="s">
        <v>3490</v>
      </c>
      <c r="E64" s="693" t="s">
        <v>701</v>
      </c>
      <c r="F64" s="3044">
        <f ca="1">IF(项目基本情况!B11="企业","——",IF('数据-取费表'!B10="住宅",IF(F54*F55*F56/12/(1+'数据-取费表'!F30)&gt;100000,4%,2.5%),IF(F54*F55*F56/12/(1+'数据-取费表'!F30)&gt;100000,12%,7%)))</f>
        <v>7.0000000000000007E-2</v>
      </c>
      <c r="I64" s="1078" t="s">
        <v>831</v>
      </c>
      <c r="J64" s="3414">
        <f ca="1">IF(OR(M52="住宅",J56&lt;L53,J61="是"),"——",ROUND(C47*J63,0))</f>
        <v>331529</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832</v>
      </c>
      <c r="Q64" s="3988">
        <f>L57</f>
        <v>0</v>
      </c>
      <c r="R64" s="1045"/>
    </row>
    <row r="65" spans="1:18" s="1011" customFormat="1" ht="16.5" thickBot="1">
      <c r="A65" s="711" t="s">
        <v>391</v>
      </c>
      <c r="B65" s="2975" t="s">
        <v>3306</v>
      </c>
      <c r="C65" s="2960">
        <f ca="1">ROUND((C66-C67)*(1+F65),0)</f>
        <v>-209</v>
      </c>
      <c r="D65" s="3011" t="s">
        <v>3489</v>
      </c>
      <c r="E65" s="205" t="s">
        <v>3478</v>
      </c>
      <c r="F65" s="3045">
        <f>F15</f>
        <v>0.1</v>
      </c>
      <c r="I65" s="1081" t="s">
        <v>833</v>
      </c>
      <c r="J65" s="3415">
        <f ca="1">IF(OR(M52="住宅",J56&lt;L53,J61="是"),"0",IF(D2="含税",ROUND((J64/(1+J57)^J58)*(1+M16),0),ROUND(J64/(1+J57)^J58,0)))</f>
        <v>24398</v>
      </c>
      <c r="K65" s="1083" t="s">
        <v>834</v>
      </c>
      <c r="L65" s="3415">
        <f ca="1">IF(OR(M52="住宅",L53&lt;J56),0,IF(D2="含税",ROUND((L62*(L63/L64-1))*(1+M16),0),ROUND(L62*(L63/L64-1),0)))</f>
        <v>0</v>
      </c>
      <c r="O65" s="1052" t="s">
        <v>401</v>
      </c>
      <c r="P65" s="1044" t="s">
        <v>835</v>
      </c>
      <c r="Q65" s="3991" t="e">
        <f ca="1">L63</f>
        <v>#DIV/0!</v>
      </c>
      <c r="R65" s="1045" t="s">
        <v>836</v>
      </c>
    </row>
    <row r="66" spans="1:18" s="1011" customFormat="1" ht="13.5" thickBot="1">
      <c r="A66" s="711"/>
      <c r="B66" s="2980" t="s">
        <v>3442</v>
      </c>
      <c r="C66" s="2960">
        <f ca="1">ROUND(C54*F66,0)</f>
        <v>0</v>
      </c>
      <c r="D66" s="1070"/>
      <c r="E66" s="2988" t="s">
        <v>3444</v>
      </c>
      <c r="F66" s="3045">
        <f t="shared" ref="F66:F73" si="0">F16</f>
        <v>0.09</v>
      </c>
      <c r="I66" s="1084"/>
      <c r="J66" s="1084"/>
      <c r="K66" s="1084"/>
      <c r="L66" s="1084"/>
      <c r="O66" s="1052" t="s">
        <v>402</v>
      </c>
      <c r="P66" s="1044" t="str">
        <f>K64</f>
        <v>建筑物剩余耐用年限下的土地年期修正系数Kn</v>
      </c>
      <c r="Q66" s="3991" t="e">
        <f ca="1">L64</f>
        <v>#DIV/0!</v>
      </c>
      <c r="R66" s="1045" t="s">
        <v>837</v>
      </c>
    </row>
    <row r="67" spans="1:18" s="1011" customFormat="1" ht="13.5" thickBot="1">
      <c r="A67" s="711"/>
      <c r="B67" s="2980" t="s">
        <v>3443</v>
      </c>
      <c r="C67" s="2960">
        <f ca="1">ROUND(C71*F66+((C72+C73)*F67),0)</f>
        <v>190</v>
      </c>
      <c r="D67" s="2989" t="s">
        <v>3445</v>
      </c>
      <c r="E67" s="2989"/>
      <c r="F67" s="3045">
        <f t="shared" si="0"/>
        <v>0.06</v>
      </c>
      <c r="I67" s="1085" t="s">
        <v>838</v>
      </c>
      <c r="J67" s="1086" t="s">
        <v>839</v>
      </c>
      <c r="K67" s="1086" t="s">
        <v>840</v>
      </c>
      <c r="L67" s="1086" t="s">
        <v>841</v>
      </c>
      <c r="M67" s="1087" t="s">
        <v>842</v>
      </c>
      <c r="O67" s="1043" t="s">
        <v>403</v>
      </c>
      <c r="P67" s="1044" t="s">
        <v>818</v>
      </c>
      <c r="Q67" s="3987">
        <f ca="1">Q61+Q62</f>
        <v>2045734</v>
      </c>
      <c r="R67" s="1045" t="s">
        <v>404</v>
      </c>
    </row>
    <row r="68" spans="1:18" s="1011" customFormat="1" ht="13.5" thickBot="1">
      <c r="A68" s="711" t="s">
        <v>761</v>
      </c>
      <c r="B68" s="679" t="s">
        <v>762</v>
      </c>
      <c r="C68" s="2960">
        <f ca="1">IF(项目基本情况!B11="自然人","——",IF(D68="按不含税租金收入计税",ROUND(C54*F68/(1+'数据-取费表'!C43),0),IF(D68="按房产原值计税",ROUND(C62*F68*0.7,0),INDIRECT("'数据-取费表'!Aj"&amp;$G$1))))</f>
        <v>0</v>
      </c>
      <c r="D68" s="997"/>
      <c r="E68" s="679" t="s">
        <v>692</v>
      </c>
      <c r="F68" s="3046">
        <f t="shared" si="0"/>
        <v>0.12</v>
      </c>
      <c r="I68" s="3982" t="s">
        <v>844</v>
      </c>
      <c r="J68" s="242">
        <v>70</v>
      </c>
      <c r="K68" s="242">
        <v>50</v>
      </c>
      <c r="L68" s="242">
        <v>80</v>
      </c>
      <c r="M68" s="1088">
        <v>0.02</v>
      </c>
      <c r="O68" s="1028" t="s">
        <v>845</v>
      </c>
      <c r="P68" s="1008"/>
      <c r="Q68" s="3989"/>
      <c r="R68" s="1008"/>
    </row>
    <row r="69" spans="1:18" s="1011" customFormat="1" ht="13.5" thickBot="1">
      <c r="A69" s="711" t="s">
        <v>764</v>
      </c>
      <c r="B69" s="678" t="s">
        <v>765</v>
      </c>
      <c r="C69" s="2984">
        <f ca="1">IF(项目基本情况!B11="自然人","——",ROUND(F69*F70,2))</f>
        <v>0</v>
      </c>
      <c r="D69" s="694" t="s">
        <v>766</v>
      </c>
      <c r="E69" s="679" t="s">
        <v>712</v>
      </c>
      <c r="F69" s="3975">
        <f t="shared" si="0"/>
        <v>1.5</v>
      </c>
      <c r="I69" s="3982" t="s">
        <v>846</v>
      </c>
      <c r="J69" s="242">
        <v>50</v>
      </c>
      <c r="K69" s="242">
        <v>35</v>
      </c>
      <c r="L69" s="242">
        <v>60</v>
      </c>
      <c r="M69" s="1087">
        <v>0</v>
      </c>
      <c r="O69" s="1036" t="s">
        <v>791</v>
      </c>
      <c r="P69" s="1037" t="s">
        <v>792</v>
      </c>
      <c r="Q69" s="3990" t="s">
        <v>793</v>
      </c>
      <c r="R69" s="1038" t="s">
        <v>794</v>
      </c>
    </row>
    <row r="70" spans="1:18" s="1011" customFormat="1" ht="13.5" thickBot="1">
      <c r="A70" s="228"/>
      <c r="B70" s="685"/>
      <c r="C70" s="2985"/>
      <c r="D70" s="695"/>
      <c r="E70" s="679" t="s">
        <v>716</v>
      </c>
      <c r="F70" s="3404">
        <f t="shared" ca="1" si="0"/>
        <v>0</v>
      </c>
      <c r="I70" s="3982" t="s">
        <v>847</v>
      </c>
      <c r="J70" s="242">
        <v>40</v>
      </c>
      <c r="K70" s="242">
        <v>30</v>
      </c>
      <c r="L70" s="242">
        <v>50</v>
      </c>
      <c r="M70" s="1088">
        <v>0.02</v>
      </c>
      <c r="O70" s="1043" t="s">
        <v>397</v>
      </c>
      <c r="P70" s="1044" t="s">
        <v>848</v>
      </c>
      <c r="Q70" s="3992">
        <f ca="1">C25+J28</f>
        <v>2045734</v>
      </c>
      <c r="R70" s="1045" t="s">
        <v>798</v>
      </c>
    </row>
    <row r="71" spans="1:18" s="1011" customFormat="1" ht="16.5" thickBot="1">
      <c r="A71" s="711" t="s">
        <v>769</v>
      </c>
      <c r="B71" s="679" t="s">
        <v>770</v>
      </c>
      <c r="C71" s="2960">
        <f ca="1">ROUND(C62*F71,0)</f>
        <v>1658</v>
      </c>
      <c r="D71" s="693" t="s">
        <v>719</v>
      </c>
      <c r="E71" s="679" t="s">
        <v>692</v>
      </c>
      <c r="F71" s="3048">
        <f t="shared" ca="1" si="0"/>
        <v>2E-3</v>
      </c>
      <c r="O71" s="1043" t="s">
        <v>398</v>
      </c>
      <c r="P71" s="1044" t="s">
        <v>826</v>
      </c>
      <c r="Q71" s="3991">
        <f ca="1">L65</f>
        <v>0</v>
      </c>
      <c r="R71" s="1045" t="s">
        <v>849</v>
      </c>
    </row>
    <row r="72" spans="1:18" s="1011" customFormat="1" ht="16.5" thickBot="1">
      <c r="A72" s="711" t="s">
        <v>772</v>
      </c>
      <c r="B72" s="679" t="s">
        <v>722</v>
      </c>
      <c r="C72" s="2960">
        <f ca="1">ROUND(C61*F72,0)</f>
        <v>680</v>
      </c>
      <c r="D72" s="693" t="s">
        <v>3487</v>
      </c>
      <c r="E72" s="679" t="s">
        <v>692</v>
      </c>
      <c r="F72" s="3049">
        <f t="shared" ca="1" si="0"/>
        <v>1E-3</v>
      </c>
      <c r="O72" s="1052" t="s">
        <v>399</v>
      </c>
      <c r="P72" s="1044" t="s">
        <v>830</v>
      </c>
      <c r="Q72" s="3992">
        <f ca="1">L56</f>
        <v>1614580</v>
      </c>
      <c r="R72" s="1045" t="s">
        <v>850</v>
      </c>
    </row>
    <row r="73" spans="1:18" s="1011" customFormat="1" ht="16.5" thickBot="1">
      <c r="A73" s="711" t="s">
        <v>773</v>
      </c>
      <c r="B73" s="679" t="s">
        <v>708</v>
      </c>
      <c r="C73" s="2960">
        <f ca="1">ROUND(C53*F73,0)</f>
        <v>0</v>
      </c>
      <c r="D73" s="693" t="s">
        <v>774</v>
      </c>
      <c r="E73" s="679" t="s">
        <v>692</v>
      </c>
      <c r="F73" s="3050">
        <f t="shared" ca="1" si="0"/>
        <v>5.0000000000000001E-3</v>
      </c>
      <c r="O73" s="1052" t="s">
        <v>400</v>
      </c>
      <c r="P73" s="1090" t="s">
        <v>851</v>
      </c>
      <c r="Q73" s="3992">
        <f ca="1">ROUND(Q74-Q75*Q76,0)</f>
        <v>88866</v>
      </c>
      <c r="R73" s="1045" t="s">
        <v>408</v>
      </c>
    </row>
    <row r="74" spans="1:18" s="1011" customFormat="1" ht="13.5" thickBot="1">
      <c r="A74" s="686" t="s">
        <v>388</v>
      </c>
      <c r="B74" s="696" t="s">
        <v>732</v>
      </c>
      <c r="C74" s="3015">
        <f ca="1">C53-C63</f>
        <v>-2129</v>
      </c>
      <c r="D74" s="692" t="s">
        <v>733</v>
      </c>
      <c r="E74" s="697"/>
      <c r="F74" s="3051"/>
      <c r="O74" s="1052" t="s">
        <v>405</v>
      </c>
      <c r="P74" s="1090" t="s">
        <v>852</v>
      </c>
      <c r="Q74" s="3992">
        <f ca="1">C24</f>
        <v>100055</v>
      </c>
      <c r="R74" s="1045" t="s">
        <v>798</v>
      </c>
    </row>
    <row r="75" spans="1:18" s="1011" customFormat="1" ht="13.5" thickBot="1">
      <c r="A75" s="3637" t="s">
        <v>389</v>
      </c>
      <c r="B75" s="677" t="s">
        <v>754</v>
      </c>
      <c r="C75" s="3020">
        <f ca="1">ROUND(C74*(1-((1+F77)/(1+F75))^F76)/(F75-F77),0)</f>
        <v>-43530</v>
      </c>
      <c r="D75" s="3070" t="s">
        <v>738</v>
      </c>
      <c r="E75" s="679" t="s">
        <v>739</v>
      </c>
      <c r="F75" s="3050">
        <f ca="1">F25</f>
        <v>5.5E-2</v>
      </c>
      <c r="O75" s="1052" t="s">
        <v>406</v>
      </c>
      <c r="P75" s="1090" t="s">
        <v>853</v>
      </c>
      <c r="Q75" s="3992">
        <f ca="1">C48</f>
        <v>149188</v>
      </c>
      <c r="R75" s="1045" t="s">
        <v>798</v>
      </c>
    </row>
    <row r="76" spans="1:18" s="1011" customFormat="1" ht="13.5" thickBot="1">
      <c r="A76" s="3638"/>
      <c r="B76" s="681"/>
      <c r="C76" s="3037"/>
      <c r="D76" s="3071" t="s">
        <v>742</v>
      </c>
      <c r="E76" s="679" t="s">
        <v>743</v>
      </c>
      <c r="F76" s="3052">
        <f ca="1">F26</f>
        <v>37.270000000000003</v>
      </c>
      <c r="O76" s="1052" t="s">
        <v>407</v>
      </c>
      <c r="P76" s="1090" t="s">
        <v>854</v>
      </c>
      <c r="Q76" s="3988">
        <f ca="1">C83</f>
        <v>7.4999999999999997E-2</v>
      </c>
      <c r="R76" s="1045"/>
    </row>
    <row r="77" spans="1:18" s="1011" customFormat="1" ht="13.5" thickBot="1">
      <c r="A77" s="3639"/>
      <c r="B77" s="3072"/>
      <c r="C77" s="3072"/>
      <c r="D77" s="3069"/>
      <c r="E77" s="679" t="s">
        <v>746</v>
      </c>
      <c r="F77" s="3042">
        <v>0.02</v>
      </c>
      <c r="O77" s="1052" t="s">
        <v>401</v>
      </c>
      <c r="P77" s="1044" t="s">
        <v>832</v>
      </c>
      <c r="Q77" s="3988">
        <f>L57</f>
        <v>0</v>
      </c>
      <c r="R77" s="1045"/>
    </row>
    <row r="78" spans="1:18" ht="16.5" thickBot="1">
      <c r="A78" s="683"/>
      <c r="B78" s="3013" t="s">
        <v>3491</v>
      </c>
      <c r="C78" s="3019">
        <f ca="1">ROUND(C75*(1+F28),0)</f>
        <v>-47448</v>
      </c>
      <c r="D78" s="3628" t="str">
        <f>D28</f>
        <v>其他类型公式—收益价值×（1+9%）</v>
      </c>
      <c r="E78" s="1008"/>
      <c r="F78" s="3640"/>
      <c r="O78" s="1052" t="s">
        <v>402</v>
      </c>
      <c r="P78" s="1044" t="s">
        <v>835</v>
      </c>
      <c r="Q78" s="3991" t="e">
        <f ca="1">L63</f>
        <v>#DIV/0!</v>
      </c>
      <c r="R78" s="1045" t="s">
        <v>836</v>
      </c>
    </row>
    <row r="79" spans="1:18" ht="13.5" thickBot="1">
      <c r="A79" s="700" t="s">
        <v>390</v>
      </c>
      <c r="B79" s="701" t="s">
        <v>756</v>
      </c>
      <c r="C79" s="3029">
        <f ca="1">ROUND(C78/F79,0)</f>
        <v>-326</v>
      </c>
      <c r="D79" s="702" t="s">
        <v>3523</v>
      </c>
      <c r="E79" s="703" t="s">
        <v>758</v>
      </c>
      <c r="F79" s="3053">
        <f ca="1">F29</f>
        <v>145.47</v>
      </c>
      <c r="O79" s="1052" t="s">
        <v>409</v>
      </c>
      <c r="P79" s="1044" t="str">
        <f>K64</f>
        <v>建筑物剩余耐用年限下的土地年期修正系数Kn</v>
      </c>
      <c r="Q79" s="3991" t="e">
        <f ca="1">L64</f>
        <v>#DIV/0!</v>
      </c>
      <c r="R79" s="1045" t="s">
        <v>837</v>
      </c>
    </row>
    <row r="80" spans="1:18" ht="13.5" thickBot="1">
      <c r="A80" s="1011"/>
      <c r="B80" s="528"/>
      <c r="C80" s="528"/>
      <c r="D80" s="1011"/>
      <c r="E80" s="1011"/>
      <c r="F80" s="1011"/>
      <c r="K80" s="1027"/>
      <c r="L80" s="1011"/>
      <c r="O80" s="1043" t="s">
        <v>403</v>
      </c>
      <c r="P80" s="1044" t="s">
        <v>818</v>
      </c>
      <c r="Q80" s="3992">
        <f ca="1">Q70+Q71</f>
        <v>2045734</v>
      </c>
      <c r="R80" s="1045" t="s">
        <v>404</v>
      </c>
    </row>
    <row r="81" spans="1:12">
      <c r="A81" s="1011"/>
      <c r="B81" s="187" t="s">
        <v>855</v>
      </c>
      <c r="C81" s="1092"/>
      <c r="D81" s="1011"/>
      <c r="E81" s="1011"/>
      <c r="F81" s="1011"/>
      <c r="I81" s="1011"/>
      <c r="J81" s="1011"/>
      <c r="K81" s="1027"/>
      <c r="L81" s="1011"/>
    </row>
    <row r="82" spans="1:12">
      <c r="A82" s="1011"/>
      <c r="B82" s="241" t="s">
        <v>775</v>
      </c>
      <c r="C82" s="3125">
        <f ca="1">ROUND(C48*C83,0)</f>
        <v>11189</v>
      </c>
      <c r="D82" s="1011"/>
      <c r="E82" s="1011"/>
      <c r="F82" s="1011"/>
      <c r="I82" s="1011"/>
      <c r="J82" s="1011"/>
      <c r="K82" s="1027"/>
      <c r="L82" s="1011"/>
    </row>
    <row r="83" spans="1:12">
      <c r="B83" s="243" t="s">
        <v>776</v>
      </c>
      <c r="C83" s="2995">
        <f ca="1">INDIRECT("'数据-取费表'!j"&amp;$G$1)</f>
        <v>7.4999999999999997E-2</v>
      </c>
    </row>
    <row r="84" spans="1:12">
      <c r="B84" s="245" t="s">
        <v>777</v>
      </c>
      <c r="C84" s="246"/>
    </row>
    <row r="85" spans="1:12">
      <c r="B85" s="184" t="s">
        <v>778</v>
      </c>
      <c r="C85" s="247"/>
    </row>
    <row r="86" spans="1:12">
      <c r="B86" s="241" t="s">
        <v>779</v>
      </c>
      <c r="C86" s="3126">
        <f ca="1">1-C87</f>
        <v>0.88800000000000001</v>
      </c>
    </row>
    <row r="87" spans="1:12">
      <c r="B87" s="241" t="s">
        <v>780</v>
      </c>
      <c r="C87" s="3126">
        <f ca="1">ROUND(C82/C24,3)</f>
        <v>0.112</v>
      </c>
    </row>
    <row r="88" spans="1:12">
      <c r="B88" s="184" t="s">
        <v>781</v>
      </c>
      <c r="C88" s="152"/>
    </row>
    <row r="89" spans="1:12">
      <c r="B89" s="187" t="s">
        <v>782</v>
      </c>
      <c r="C89" s="3127">
        <f ca="1">1-C90</f>
        <v>0.67199999999999993</v>
      </c>
    </row>
    <row r="90" spans="1:12">
      <c r="B90" s="187" t="s">
        <v>783</v>
      </c>
      <c r="C90" s="3126">
        <f ca="1">ROUND(C49/(C25+J28+L51),3)</f>
        <v>0.32800000000000001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A00-000000000000}">
      <formula1>"含税,不含税"</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M10 F10 F58" xr:uid="{00000000-0002-0000-1A00-000002000000}">
      <formula1>"押一,押二,押三,自定义"</formula1>
    </dataValidation>
    <dataValidation type="list" allowBlank="1" showInputMessage="1" showErrorMessage="1" sqref="L60" xr:uid="{00000000-0002-0000-1A00-000003000000}">
      <formula1>"比较法,基准地价,收益还原"</formula1>
    </dataValidation>
    <dataValidation type="list" allowBlank="1" showInputMessage="1" showErrorMessage="1" sqref="J61" xr:uid="{00000000-0002-0000-1A00-000004000000}">
      <formula1>估价范围判定</formula1>
    </dataValidation>
    <dataValidation type="list" allowBlank="1" showInputMessage="1" showErrorMessage="1" sqref="J53" xr:uid="{00000000-0002-0000-1A00-000005000000}">
      <formula1>"非生产用房,生产用房,受腐蚀的生产用房"</formula1>
    </dataValidation>
    <dataValidation type="list" allowBlank="1" showInputMessage="1" showErrorMessage="1" sqref="J52" xr:uid="{00000000-0002-0000-1A00-000006000000}">
      <formula1>"钢,钢混,砖混"</formula1>
    </dataValidation>
    <dataValidation type="list" allowBlank="1" showInputMessage="1" showErrorMessage="1" sqref="C1" xr:uid="{00000000-0002-0000-1A00-000007000000}">
      <formula1>项目类型</formula1>
    </dataValidation>
    <dataValidation type="list" allowBlank="1" showInputMessage="1" showErrorMessage="1" sqref="D68 D18" xr:uid="{00000000-0002-0000-1A00-000008000000}">
      <formula1>"按不含税租金收入计税,按房产原值计税,按票据"</formula1>
    </dataValidation>
    <dataValidation type="list" allowBlank="1" showInputMessage="1" showErrorMessage="1" sqref="K18" xr:uid="{00000000-0002-0000-1A00-000009000000}">
      <formula1>"按不含税租金收入计税,按房产原值计税"</formula1>
    </dataValidation>
    <dataValidation type="list" allowBlank="1" showInputMessage="1" showErrorMessage="1" sqref="D28" xr:uid="{00000000-0002-0000-1A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857</v>
      </c>
      <c r="B1" s="510"/>
      <c r="C1" s="1006"/>
      <c r="D1" s="990" t="s">
        <v>41</v>
      </c>
      <c r="E1" s="991" t="s">
        <v>658</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858</v>
      </c>
      <c r="B2" s="2622" t="e">
        <f ca="1">ROUND(D2/10000,4)</f>
        <v>#DIV/0!</v>
      </c>
      <c r="C2" s="1008" t="s">
        <v>859</v>
      </c>
      <c r="D2" s="1094" t="e">
        <f ca="1">C40+J29+L46</f>
        <v>#DIV/0!</v>
      </c>
      <c r="E2" s="1013" t="s">
        <v>860</v>
      </c>
      <c r="F2" s="1014"/>
      <c r="G2" s="2075"/>
      <c r="H2" s="2065"/>
      <c r="I2" s="2065"/>
      <c r="J2" s="2065"/>
      <c r="K2" s="2066"/>
      <c r="L2" s="2065"/>
      <c r="M2" s="2065"/>
    </row>
    <row r="3" spans="1:37" ht="18" customHeight="1" thickBot="1">
      <c r="A3" s="1015" t="s">
        <v>861</v>
      </c>
      <c r="B3" s="1016">
        <f ca="1">IF(ISERROR(D2/F43),0,ROUND(D2/F43,0))</f>
        <v>0</v>
      </c>
      <c r="C3" s="1008" t="s">
        <v>862</v>
      </c>
      <c r="D3" s="1008"/>
      <c r="E3" s="1013"/>
      <c r="F3" s="1014"/>
      <c r="G3" s="2075"/>
      <c r="H3" s="496" t="s">
        <v>856</v>
      </c>
      <c r="I3" s="1009"/>
      <c r="J3" s="1009"/>
      <c r="K3" s="1010"/>
      <c r="L3" s="1009"/>
      <c r="M3" s="1009"/>
    </row>
    <row r="4" spans="1:37" ht="18" customHeight="1">
      <c r="A4" s="198" t="s">
        <v>863</v>
      </c>
      <c r="B4" s="199" t="s">
        <v>864</v>
      </c>
      <c r="C4" s="199" t="s">
        <v>865</v>
      </c>
      <c r="D4" s="199" t="s">
        <v>866</v>
      </c>
      <c r="E4" s="200" t="s">
        <v>867</v>
      </c>
      <c r="F4" s="201"/>
      <c r="G4" s="1011"/>
      <c r="H4" s="198" t="s">
        <v>863</v>
      </c>
      <c r="I4" s="199" t="s">
        <v>864</v>
      </c>
      <c r="J4" s="199" t="s">
        <v>865</v>
      </c>
      <c r="K4" s="199" t="s">
        <v>866</v>
      </c>
      <c r="L4" s="200" t="s">
        <v>867</v>
      </c>
      <c r="M4" s="201"/>
    </row>
    <row r="5" spans="1:37" ht="18" customHeight="1">
      <c r="A5" s="202">
        <v>1</v>
      </c>
      <c r="B5" s="203" t="s">
        <v>868</v>
      </c>
      <c r="C5" s="771">
        <f ca="1">C6+C10+C12</f>
        <v>0</v>
      </c>
      <c r="D5" s="992" t="s">
        <v>869</v>
      </c>
      <c r="E5" s="772"/>
      <c r="F5" s="773"/>
      <c r="G5" s="1011"/>
      <c r="H5" s="202">
        <v>1</v>
      </c>
      <c r="I5" s="203" t="s">
        <v>868</v>
      </c>
      <c r="J5" s="771">
        <f ca="1">J6+J10+J12</f>
        <v>0</v>
      </c>
      <c r="K5" s="992" t="s">
        <v>869</v>
      </c>
      <c r="L5" s="772"/>
      <c r="M5" s="773"/>
    </row>
    <row r="6" spans="1:37" ht="18" customHeight="1">
      <c r="A6" s="770" t="s">
        <v>392</v>
      </c>
      <c r="B6" s="4474" t="s">
        <v>674</v>
      </c>
      <c r="C6" s="775">
        <f ca="1">ROUND(F6*F8*F7*(1-F9),0)</f>
        <v>0</v>
      </c>
      <c r="D6" s="74" t="s">
        <v>2024</v>
      </c>
      <c r="E6" s="205" t="s">
        <v>676</v>
      </c>
      <c r="F6" s="206">
        <f ca="1">INDIRECT("'数据-取费表'!u"&amp;$G$1)</f>
        <v>0</v>
      </c>
      <c r="G6" s="1011"/>
      <c r="H6" s="770" t="s">
        <v>392</v>
      </c>
      <c r="I6" s="4474" t="s">
        <v>674</v>
      </c>
      <c r="J6" s="204">
        <f ca="1">ROUND(M6*M8*M7*(1-M9),0)</f>
        <v>0</v>
      </c>
      <c r="K6" s="1003" t="s">
        <v>2025</v>
      </c>
      <c r="L6" s="205" t="s">
        <v>676</v>
      </c>
      <c r="M6" s="206">
        <f ca="1">INDIRECT("'数据-取费表'!z"&amp;$G$1)</f>
        <v>0</v>
      </c>
    </row>
    <row r="7" spans="1:37" ht="18" customHeight="1">
      <c r="A7" s="774"/>
      <c r="B7" s="4475"/>
      <c r="C7" s="776"/>
      <c r="D7" s="210"/>
      <c r="E7" s="777" t="s">
        <v>677</v>
      </c>
      <c r="F7" s="206">
        <f ca="1">IF(INDIRECT("'数据-取费表'!ah"&amp;$G$1)="",INDIRECT("'数据-取费表'!k"&amp;$G$1),INDIRECT("'数据-取费表'!ah"&amp;$G$1))</f>
        <v>0</v>
      </c>
      <c r="G7" s="1011"/>
      <c r="H7" s="207"/>
      <c r="I7" s="4475"/>
      <c r="J7" s="209"/>
      <c r="K7" s="210"/>
      <c r="L7" s="205" t="s">
        <v>677</v>
      </c>
      <c r="M7" s="206">
        <f ca="1">F7</f>
        <v>0</v>
      </c>
    </row>
    <row r="8" spans="1:37" ht="18" customHeight="1">
      <c r="A8" s="207"/>
      <c r="B8" s="4475"/>
      <c r="C8" s="209"/>
      <c r="D8" s="210"/>
      <c r="E8" s="205" t="s">
        <v>678</v>
      </c>
      <c r="F8" s="206">
        <f ca="1">INDIRECT("'数据-取费表'!ai"&amp;$G$1)</f>
        <v>0</v>
      </c>
      <c r="G8" s="1011"/>
      <c r="H8" s="207"/>
      <c r="I8" s="4475"/>
      <c r="J8" s="209"/>
      <c r="K8" s="210"/>
      <c r="L8" s="205" t="s">
        <v>678</v>
      </c>
      <c r="M8" s="206">
        <f ca="1">INDIRECT("'数据-取费表'!ai"&amp;$G$1)</f>
        <v>0</v>
      </c>
    </row>
    <row r="9" spans="1:37" ht="18" customHeight="1">
      <c r="A9" s="207"/>
      <c r="B9" s="4476"/>
      <c r="C9" s="209"/>
      <c r="D9" s="210"/>
      <c r="E9" s="205" t="s">
        <v>679</v>
      </c>
      <c r="F9" s="215">
        <f ca="1">INDIRECT("'数据-取费表'!w"&amp;$G$1)</f>
        <v>0</v>
      </c>
      <c r="G9" s="1011"/>
      <c r="H9" s="207"/>
      <c r="I9" s="4476"/>
      <c r="J9" s="209"/>
      <c r="K9" s="210"/>
      <c r="L9" s="216" t="s">
        <v>679</v>
      </c>
      <c r="M9" s="217">
        <f ca="1">INDIRECT("'数据-取费表'!ab"&amp;$G$1)</f>
        <v>0</v>
      </c>
    </row>
    <row r="10" spans="1:37" ht="18" customHeight="1">
      <c r="A10" s="770" t="s">
        <v>396</v>
      </c>
      <c r="B10" s="993" t="s">
        <v>680</v>
      </c>
      <c r="C10" s="219">
        <f ca="1">ROUND(IF(F10="押一",C6/12*F11,IF(F10="押二",C6/12*2*F11,IF(F10="押三",C6/12*3*F11,C11*F11))),0)</f>
        <v>0</v>
      </c>
      <c r="D10" s="77" t="s">
        <v>2032</v>
      </c>
      <c r="E10" s="216" t="s">
        <v>681</v>
      </c>
      <c r="F10" s="812"/>
      <c r="G10" s="1011"/>
      <c r="H10" s="770" t="s">
        <v>396</v>
      </c>
      <c r="I10" s="993" t="s">
        <v>680</v>
      </c>
      <c r="J10" s="204">
        <f ca="1">ROUND(IF(M10="押一",J6/12*M11,IF(M10="押二",J6/12*2*M11,IF(M10="押三",J6/12*3*M11,J11*M11))),0)</f>
        <v>0</v>
      </c>
      <c r="K10" s="1004" t="s">
        <v>2034</v>
      </c>
      <c r="L10" s="216" t="s">
        <v>681</v>
      </c>
      <c r="M10" s="812"/>
    </row>
    <row r="11" spans="1:37" ht="18" customHeight="1">
      <c r="A11" s="211"/>
      <c r="B11" s="994" t="s">
        <v>870</v>
      </c>
      <c r="C11" s="688"/>
      <c r="D11" s="210"/>
      <c r="E11" s="216" t="s">
        <v>682</v>
      </c>
      <c r="F11" s="217">
        <f ca="1">'数据-取费表'!B40</f>
        <v>1.4999999999999999E-2</v>
      </c>
      <c r="G11" s="1011"/>
      <c r="H11" s="778"/>
      <c r="I11" s="994" t="s">
        <v>871</v>
      </c>
      <c r="J11" s="688"/>
      <c r="K11" s="493"/>
      <c r="L11" s="216" t="s">
        <v>682</v>
      </c>
      <c r="M11" s="603">
        <f ca="1">'数据-取费表'!B40</f>
        <v>1.4999999999999999E-2</v>
      </c>
    </row>
    <row r="12" spans="1:37" ht="18" customHeight="1" thickBot="1">
      <c r="A12" s="783" t="s">
        <v>431</v>
      </c>
      <c r="B12" s="996" t="s">
        <v>683</v>
      </c>
      <c r="C12" s="784"/>
      <c r="D12" s="785"/>
      <c r="E12" s="790"/>
      <c r="F12" s="786"/>
      <c r="G12" s="1011"/>
      <c r="H12" s="783" t="s">
        <v>431</v>
      </c>
      <c r="I12" s="996" t="s">
        <v>683</v>
      </c>
      <c r="J12" s="784"/>
      <c r="K12" s="798"/>
      <c r="L12" s="790"/>
      <c r="M12" s="799"/>
    </row>
    <row r="13" spans="1:37" ht="18" customHeight="1" thickTop="1">
      <c r="A13" s="779">
        <v>2</v>
      </c>
      <c r="B13" s="780" t="s">
        <v>684</v>
      </c>
      <c r="C13" s="213">
        <f ca="1">ROUND(C29*F13,0)</f>
        <v>0</v>
      </c>
      <c r="D13" s="781" t="s">
        <v>685</v>
      </c>
      <c r="E13" s="781" t="s">
        <v>686</v>
      </c>
      <c r="F13" s="782">
        <f ca="1">INDIRECT("'数据-取费表'!y"&amp;$G$1)</f>
        <v>0</v>
      </c>
      <c r="G13" s="1011"/>
      <c r="H13" s="779">
        <v>2</v>
      </c>
      <c r="I13" s="780" t="s">
        <v>684</v>
      </c>
      <c r="J13" s="769">
        <f ca="1">ROUND(J14*J15,0)</f>
        <v>0</v>
      </c>
      <c r="K13" s="787" t="s">
        <v>685</v>
      </c>
      <c r="L13" s="1017"/>
      <c r="M13" s="1018"/>
    </row>
    <row r="14" spans="1:37" ht="18" customHeight="1">
      <c r="A14" s="711" t="s">
        <v>391</v>
      </c>
      <c r="B14" s="205" t="s">
        <v>687</v>
      </c>
      <c r="C14" s="220">
        <f ca="1">ROUND(INDIRECT("'数据-取费表'!l"&amp;$G$1)*F43+'数据-取费表'!L14*INDIRECT("'数据-取费表'!S"&amp;$G$1),0)</f>
        <v>0</v>
      </c>
      <c r="D14" s="975" t="s">
        <v>688</v>
      </c>
      <c r="E14" s="973"/>
      <c r="F14" s="221"/>
      <c r="G14" s="1011"/>
      <c r="H14" s="711" t="s">
        <v>392</v>
      </c>
      <c r="I14" s="205" t="s">
        <v>689</v>
      </c>
      <c r="J14" s="18">
        <f ca="1">C29</f>
        <v>0</v>
      </c>
      <c r="K14" s="9"/>
      <c r="L14" s="578"/>
      <c r="M14" s="579"/>
    </row>
    <row r="15" spans="1:37" s="1022" customFormat="1" ht="18" customHeight="1" thickBot="1">
      <c r="A15" s="711" t="s">
        <v>393</v>
      </c>
      <c r="B15" s="205" t="s">
        <v>690</v>
      </c>
      <c r="C15" s="18">
        <f ca="1">ROUND(C14*F15,0)</f>
        <v>0</v>
      </c>
      <c r="D15" s="222" t="s">
        <v>691</v>
      </c>
      <c r="E15" s="222" t="s">
        <v>692</v>
      </c>
      <c r="F15" s="223">
        <f>'数据-取费表'!B33</f>
        <v>0.05</v>
      </c>
      <c r="G15" s="1021"/>
      <c r="H15" s="789" t="s">
        <v>396</v>
      </c>
      <c r="I15" s="790" t="s">
        <v>686</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660</v>
      </c>
      <c r="B16" s="205" t="s">
        <v>693</v>
      </c>
      <c r="C16" s="18">
        <f ca="1">ROUND(INDIRECT("'数据-取费表'!l"&amp;$G$1)*F43*F16,0)</f>
        <v>0</v>
      </c>
      <c r="D16" s="205" t="s">
        <v>691</v>
      </c>
      <c r="E16" s="205" t="s">
        <v>692</v>
      </c>
      <c r="F16" s="224">
        <f ca="1">IF(INDIRECT("'数据-取费表'!c"&amp;$G$1)="住宅",'数据-取费表'!B34,0)</f>
        <v>0</v>
      </c>
      <c r="G16" s="1011"/>
      <c r="H16" s="779" t="s">
        <v>387</v>
      </c>
      <c r="I16" s="780" t="s">
        <v>694</v>
      </c>
      <c r="J16" s="213">
        <f ca="1">ROUND(J17+J22+J23+J24,0)</f>
        <v>0</v>
      </c>
      <c r="K16" s="787" t="s">
        <v>695</v>
      </c>
      <c r="L16" s="788"/>
      <c r="M16" s="773"/>
    </row>
    <row r="17" spans="1:37" s="1022" customFormat="1" ht="18" customHeight="1">
      <c r="A17" s="711" t="s">
        <v>661</v>
      </c>
      <c r="B17" s="205" t="s">
        <v>696</v>
      </c>
      <c r="C17" s="18">
        <f ca="1">ROUND(F17*(F43+INDIRECT("'数据-取费表'!S"&amp;$G$1)),0)</f>
        <v>0</v>
      </c>
      <c r="D17" s="205" t="s">
        <v>697</v>
      </c>
      <c r="E17" s="205" t="s">
        <v>698</v>
      </c>
      <c r="F17" s="20">
        <f>'数据-取费表'!B35</f>
        <v>200</v>
      </c>
      <c r="G17" s="1021"/>
      <c r="H17" s="711" t="s">
        <v>392</v>
      </c>
      <c r="I17" s="205" t="s">
        <v>699</v>
      </c>
      <c r="J17" s="1786">
        <f ca="1">ROUND(IF(AND(项目基本情况!B11="自然人",项目基本情况!B10="北京市"),J6*M17/(1+'数据-取费表'!C43),J18+J19+J20),0)</f>
        <v>0</v>
      </c>
      <c r="K17" s="975" t="s">
        <v>700</v>
      </c>
      <c r="L17" s="974" t="s">
        <v>701</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662</v>
      </c>
      <c r="B18" s="205" t="s">
        <v>702</v>
      </c>
      <c r="C18" s="18">
        <f ca="1">ROUND(C14*F18,0)</f>
        <v>0</v>
      </c>
      <c r="D18" s="205" t="s">
        <v>691</v>
      </c>
      <c r="E18" s="205" t="s">
        <v>692</v>
      </c>
      <c r="F18" s="224">
        <f>'数据-取费表'!B36</f>
        <v>0.01</v>
      </c>
      <c r="G18" s="1021"/>
      <c r="H18" s="711" t="s">
        <v>391</v>
      </c>
      <c r="I18" s="205" t="s">
        <v>703</v>
      </c>
      <c r="J18" s="18">
        <f ca="1">ROUND(J6*M18/(1+'数据-取费表'!C43),0)</f>
        <v>0</v>
      </c>
      <c r="K18" s="974" t="s">
        <v>704</v>
      </c>
      <c r="L18" s="205" t="s">
        <v>692</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705</v>
      </c>
      <c r="C19" s="18">
        <f ca="1">SUM(C14:C18)</f>
        <v>0</v>
      </c>
      <c r="D19" s="64" t="s">
        <v>706</v>
      </c>
      <c r="E19" s="988"/>
      <c r="F19" s="20"/>
      <c r="G19" s="1011"/>
      <c r="H19" s="711" t="s">
        <v>393</v>
      </c>
      <c r="I19" s="205" t="s">
        <v>707</v>
      </c>
      <c r="J19" s="18">
        <f ca="1">IF(K19="按租金收入计税",ROUND(J6*M19/(1+'数据-取费表'!C43),0),ROUND(C29*M19*0.7,0))</f>
        <v>0</v>
      </c>
      <c r="K19" s="997" t="s">
        <v>3240</v>
      </c>
      <c r="L19" s="205" t="s">
        <v>692</v>
      </c>
      <c r="M19" s="224">
        <f>IF(K19="按租金收入计税",'数据-取费表'!B52,'数据-取费表'!B51)</f>
        <v>0.12</v>
      </c>
    </row>
    <row r="20" spans="1:37" s="1022" customFormat="1" ht="18" customHeight="1">
      <c r="A20" s="711" t="s">
        <v>396</v>
      </c>
      <c r="B20" s="205" t="s">
        <v>708</v>
      </c>
      <c r="C20" s="18">
        <f ca="1">ROUND(C19*F20,0)</f>
        <v>0</v>
      </c>
      <c r="D20" s="225" t="s">
        <v>709</v>
      </c>
      <c r="E20" s="205" t="s">
        <v>692</v>
      </c>
      <c r="F20" s="224">
        <f>'数据-取费表'!B38</f>
        <v>0.02</v>
      </c>
      <c r="G20" s="1021"/>
      <c r="H20" s="711" t="s">
        <v>660</v>
      </c>
      <c r="I20" s="74" t="s">
        <v>710</v>
      </c>
      <c r="J20" s="19">
        <f ca="1">ROUND(M20*M21,0)</f>
        <v>0</v>
      </c>
      <c r="K20" s="226" t="s">
        <v>711</v>
      </c>
      <c r="L20" s="205" t="s">
        <v>712</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713</v>
      </c>
      <c r="C21" s="18" t="s">
        <v>0</v>
      </c>
      <c r="D21" s="225" t="s">
        <v>714</v>
      </c>
      <c r="E21" s="205" t="s">
        <v>715</v>
      </c>
      <c r="F21" s="224">
        <f>'数据-取费表'!B39</f>
        <v>0.02</v>
      </c>
      <c r="G21" s="1021"/>
      <c r="H21" s="228"/>
      <c r="I21" s="214"/>
      <c r="J21" s="23"/>
      <c r="K21" s="229"/>
      <c r="L21" s="205" t="s">
        <v>716</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663</v>
      </c>
      <c r="B22" s="205" t="s">
        <v>717</v>
      </c>
      <c r="C22" s="18"/>
      <c r="D22" s="64" t="str">
        <f>IF(F23&lt;=1,"单利计息。","复利计息。")&amp;"建造成本、管理费用、销售费用产生的利息。"</f>
        <v>复利计息。建造成本、管理费用、销售费用产生的利息。</v>
      </c>
      <c r="E22" s="988"/>
      <c r="F22" s="20"/>
      <c r="G22" s="1011"/>
      <c r="H22" s="711" t="s">
        <v>396</v>
      </c>
      <c r="I22" s="205" t="s">
        <v>718</v>
      </c>
      <c r="J22" s="18">
        <f ca="1">ROUND(J14*M22,0)</f>
        <v>0</v>
      </c>
      <c r="K22" s="974" t="s">
        <v>719</v>
      </c>
      <c r="L22" s="205" t="s">
        <v>692</v>
      </c>
      <c r="M22" s="230">
        <f ca="1">INDIRECT("'数据-取费表'!Ak"&amp;$G$1)</f>
        <v>0</v>
      </c>
    </row>
    <row r="23" spans="1:37" s="1022" customFormat="1" ht="18" customHeight="1">
      <c r="A23" s="711" t="s">
        <v>391</v>
      </c>
      <c r="B23" s="205" t="s">
        <v>720</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721</v>
      </c>
      <c r="F23" s="227">
        <f>'数据-取费表'!B20</f>
        <v>2</v>
      </c>
      <c r="G23" s="1021"/>
      <c r="H23" s="711" t="s">
        <v>431</v>
      </c>
      <c r="I23" s="205" t="s">
        <v>722</v>
      </c>
      <c r="J23" s="18">
        <f ca="1">ROUND(J13*M23,0)</f>
        <v>0</v>
      </c>
      <c r="K23" s="974" t="s">
        <v>723</v>
      </c>
      <c r="L23" s="205" t="s">
        <v>724</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725</v>
      </c>
      <c r="B24" s="205" t="s">
        <v>726</v>
      </c>
      <c r="C24" s="18">
        <f ca="1">ROUND(IF('数据-取费表'!B22&lt;=1,F21*F24*F23/2,F21*(POWER((1+F24),F23/2)-1)),4)</f>
        <v>5.9999999999999995E-4</v>
      </c>
      <c r="D24" s="72" t="str">
        <f>IF(F23&lt;=1,"销售费用×利率×(建设周期÷2)","销售费用×((1+利率)^(建设周期÷2)-1)")</f>
        <v>销售费用×((1+利率)^(建设周期÷2)-1)</v>
      </c>
      <c r="E24" s="205" t="s">
        <v>727</v>
      </c>
      <c r="F24" s="232">
        <f ca="1">'数据-取费表'!B41</f>
        <v>3.1300000000000001E-2</v>
      </c>
      <c r="G24" s="1021"/>
      <c r="H24" s="789" t="s">
        <v>664</v>
      </c>
      <c r="I24" s="790" t="s">
        <v>708</v>
      </c>
      <c r="J24" s="791">
        <f ca="1">ROUND(J5*M24,0)</f>
        <v>0</v>
      </c>
      <c r="K24" s="792" t="s">
        <v>728</v>
      </c>
      <c r="L24" s="790" t="s">
        <v>724</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729</v>
      </c>
      <c r="B25" s="205" t="s">
        <v>730</v>
      </c>
      <c r="C25" s="18"/>
      <c r="D25" s="64" t="s">
        <v>731</v>
      </c>
      <c r="E25" s="988"/>
      <c r="F25" s="20"/>
      <c r="G25" s="1011"/>
      <c r="H25" s="779" t="s">
        <v>388</v>
      </c>
      <c r="I25" s="794" t="s">
        <v>732</v>
      </c>
      <c r="J25" s="213">
        <f ca="1">J5-J16</f>
        <v>0</v>
      </c>
      <c r="K25" s="795" t="s">
        <v>733</v>
      </c>
      <c r="L25" s="796"/>
      <c r="M25" s="797"/>
    </row>
    <row r="26" spans="1:37" ht="18" customHeight="1">
      <c r="A26" s="711" t="s">
        <v>391</v>
      </c>
      <c r="B26" s="205" t="s">
        <v>734</v>
      </c>
      <c r="C26" s="18">
        <f ca="1">ROUND((C19+C20)*F26,0)</f>
        <v>0</v>
      </c>
      <c r="D26" s="225" t="s">
        <v>735</v>
      </c>
      <c r="E26" s="216" t="s">
        <v>736</v>
      </c>
      <c r="F26" s="215">
        <f ca="1">INDIRECT("'数据-取费表'!q"&amp;$G$1)</f>
        <v>0</v>
      </c>
      <c r="G26" s="1011"/>
      <c r="H26" s="202" t="s">
        <v>389</v>
      </c>
      <c r="I26" s="203" t="s">
        <v>737</v>
      </c>
      <c r="J26" s="204">
        <f ca="1">IF(J5&lt;&gt;0,ROUND(J25*(1-((1+M28)/(1+M26))^M27)/(M26-M28),0),0)</f>
        <v>0</v>
      </c>
      <c r="K26" s="226" t="s">
        <v>738</v>
      </c>
      <c r="L26" s="205" t="s">
        <v>739</v>
      </c>
      <c r="M26" s="215">
        <f ca="1">INDIRECT("'数据-取费表'!I"&amp;$G$1)</f>
        <v>0</v>
      </c>
    </row>
    <row r="27" spans="1:37" ht="18" customHeight="1">
      <c r="A27" s="711" t="s">
        <v>393</v>
      </c>
      <c r="B27" s="205" t="s">
        <v>740</v>
      </c>
      <c r="C27" s="18">
        <f ca="1">ROUND(F21*F26,4)</f>
        <v>0</v>
      </c>
      <c r="D27" s="225" t="s">
        <v>741</v>
      </c>
      <c r="E27" s="222"/>
      <c r="F27" s="223"/>
      <c r="G27" s="1011"/>
      <c r="H27" s="207"/>
      <c r="I27" s="208"/>
      <c r="J27" s="209"/>
      <c r="K27" s="233" t="s">
        <v>742</v>
      </c>
      <c r="L27" s="205" t="s">
        <v>743</v>
      </c>
      <c r="M27" s="234">
        <f ca="1">INDIRECT("'数据-取费表'!ag"&amp;$G$1)</f>
        <v>0</v>
      </c>
    </row>
    <row r="28" spans="1:37" s="1022" customFormat="1" ht="18" customHeight="1">
      <c r="A28" s="711" t="s">
        <v>394</v>
      </c>
      <c r="B28" s="205" t="s">
        <v>744</v>
      </c>
      <c r="C28" s="18">
        <f>ROUND(F28/(1+'数据-取费表'!C43),4)</f>
        <v>0</v>
      </c>
      <c r="D28" s="225" t="s">
        <v>745</v>
      </c>
      <c r="E28" s="205" t="s">
        <v>692</v>
      </c>
      <c r="F28" s="224">
        <f>'数据-取费表'!B42</f>
        <v>0</v>
      </c>
      <c r="G28" s="1021"/>
      <c r="H28" s="211"/>
      <c r="I28" s="212"/>
      <c r="J28" s="213"/>
      <c r="K28" s="229"/>
      <c r="L28" s="205" t="s">
        <v>746</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747</v>
      </c>
      <c r="C29" s="791">
        <f ca="1">ROUND((C19+C20+C23+C26)/(1-F21-C24-C27-C28),0)</f>
        <v>0</v>
      </c>
      <c r="D29" s="792"/>
      <c r="E29" s="790"/>
      <c r="F29" s="793"/>
      <c r="G29" s="1021"/>
      <c r="H29" s="235" t="s">
        <v>390</v>
      </c>
      <c r="I29" s="236" t="s">
        <v>748</v>
      </c>
      <c r="J29" s="237">
        <f ca="1">ROUND(J26/(1+F40)^F41,0)</f>
        <v>0</v>
      </c>
      <c r="K29" s="238" t="s">
        <v>749</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694</v>
      </c>
      <c r="C30" s="213">
        <f ca="1">ROUND(C31+C36+C37+C38,0)</f>
        <v>0</v>
      </c>
      <c r="D30" s="787" t="s">
        <v>695</v>
      </c>
      <c r="E30" s="788"/>
      <c r="F30" s="773"/>
      <c r="G30" s="1011"/>
      <c r="H30" s="2067"/>
      <c r="I30" s="1023"/>
      <c r="J30" s="1024"/>
      <c r="K30" s="62"/>
      <c r="L30" s="2068"/>
      <c r="M30" s="2069"/>
    </row>
    <row r="31" spans="1:37" ht="18" customHeight="1">
      <c r="A31" s="711" t="s">
        <v>392</v>
      </c>
      <c r="B31" s="205" t="s">
        <v>699</v>
      </c>
      <c r="C31" s="1786">
        <f ca="1">ROUND(IF(AND(项目基本情况!B11="自然人",项目基本情况!B10="北京市"),C6*F31/(1+'数据-取费表'!C43),C32+C33+C34),0)</f>
        <v>0</v>
      </c>
      <c r="D31" s="975" t="s">
        <v>700</v>
      </c>
      <c r="E31" s="974" t="s">
        <v>750</v>
      </c>
      <c r="F31" s="1785">
        <f ca="1">IF(项目基本情况!B11="企业","——",IF(M47="住宅",IF(F6*F7*F8/12/(1+'数据-取费表'!F30)&gt;100000,4%,2.5%),IF(F6*F7*F8/12/(1+'数据-取费表'!F30)&gt;100000,12%,7%)))</f>
        <v>7.0000000000000007E-2</v>
      </c>
      <c r="G31" s="1011"/>
      <c r="H31" s="2163" t="s">
        <v>2213</v>
      </c>
      <c r="I31" s="1023"/>
      <c r="J31" s="1024"/>
      <c r="K31" s="62"/>
      <c r="L31" s="2068"/>
      <c r="M31" s="2069"/>
    </row>
    <row r="32" spans="1:37" ht="18" customHeight="1">
      <c r="A32" s="711" t="s">
        <v>391</v>
      </c>
      <c r="B32" s="205" t="s">
        <v>703</v>
      </c>
      <c r="C32" s="18">
        <f ca="1">IF(项目基本情况!B11="自然人","——",ROUND(C6*F32/(1+'数据-取费表'!C43),0))</f>
        <v>0</v>
      </c>
      <c r="D32" s="974" t="s">
        <v>704</v>
      </c>
      <c r="E32" s="205" t="s">
        <v>692</v>
      </c>
      <c r="F32" s="232">
        <f>'数据-取费表'!B42</f>
        <v>0</v>
      </c>
      <c r="G32" s="1011"/>
      <c r="H32" s="2067"/>
      <c r="I32" s="1023"/>
      <c r="J32" s="1024"/>
      <c r="K32" s="62"/>
      <c r="L32" s="2068"/>
      <c r="M32" s="2069"/>
    </row>
    <row r="33" spans="1:18" ht="18" customHeight="1">
      <c r="A33" s="711" t="s">
        <v>393</v>
      </c>
      <c r="B33" s="205" t="s">
        <v>707</v>
      </c>
      <c r="C33" s="18">
        <f ca="1">IF(项目基本情况!B11="自然人","——",IF(D33="按租金收入计税",ROUND(C6*F33/(1+'数据-取费表'!C43),0),IF(D33="按房产原值计税",ROUND(C29*F33*0.7,0),INDIRECT("'数据-取费表'!Aj"&amp;$G$1))))</f>
        <v>0</v>
      </c>
      <c r="D33" s="997" t="s">
        <v>3240</v>
      </c>
      <c r="E33" s="205" t="s">
        <v>692</v>
      </c>
      <c r="F33" s="224">
        <f>IF(D33="按票据","——",IF(D33="按租金收入计税",'数据-取费表'!B52,'数据-取费表'!B51))</f>
        <v>0.12</v>
      </c>
      <c r="G33" s="1011"/>
      <c r="H33" s="2070"/>
      <c r="I33" s="1023"/>
      <c r="J33" s="1024"/>
      <c r="K33" s="2071"/>
      <c r="L33" s="2070"/>
      <c r="M33" s="2070"/>
    </row>
    <row r="34" spans="1:18" ht="18" customHeight="1">
      <c r="A34" s="770" t="s">
        <v>660</v>
      </c>
      <c r="B34" s="74" t="s">
        <v>710</v>
      </c>
      <c r="C34" s="19">
        <f ca="1">IF(项目基本情况!B11="自然人","——",ROUND(F34*F35,0))</f>
        <v>0</v>
      </c>
      <c r="D34" s="226" t="s">
        <v>711</v>
      </c>
      <c r="E34" s="205" t="s">
        <v>712</v>
      </c>
      <c r="F34" s="227">
        <f>'数据-取费表'!B53</f>
        <v>1.5</v>
      </c>
      <c r="G34" s="1011"/>
      <c r="H34" s="2067"/>
      <c r="I34" s="1023"/>
      <c r="J34" s="1024"/>
      <c r="K34" s="2072"/>
      <c r="L34" s="2073"/>
      <c r="M34" s="2073"/>
    </row>
    <row r="35" spans="1:18" ht="18" customHeight="1">
      <c r="A35" s="803"/>
      <c r="B35" s="801"/>
      <c r="C35" s="23"/>
      <c r="D35" s="229"/>
      <c r="E35" s="205" t="s">
        <v>716</v>
      </c>
      <c r="F35" s="206">
        <f ca="1">INDIRECT("'数据-取费表'!r"&amp;$G$1)</f>
        <v>0</v>
      </c>
      <c r="G35" s="1011"/>
      <c r="H35" s="2067"/>
      <c r="I35" s="1023"/>
      <c r="J35" s="1024"/>
      <c r="K35" s="2071"/>
      <c r="L35" s="2070"/>
      <c r="M35" s="2070"/>
    </row>
    <row r="36" spans="1:18" ht="18" customHeight="1">
      <c r="A36" s="802" t="s">
        <v>396</v>
      </c>
      <c r="B36" s="205" t="s">
        <v>718</v>
      </c>
      <c r="C36" s="18">
        <f ca="1">ROUND(C29*F36,0)</f>
        <v>0</v>
      </c>
      <c r="D36" s="974" t="s">
        <v>751</v>
      </c>
      <c r="E36" s="205" t="s">
        <v>692</v>
      </c>
      <c r="F36" s="230">
        <f ca="1">INDIRECT("'数据-取费表'!Ak"&amp;$G$1)</f>
        <v>0</v>
      </c>
      <c r="G36" s="1011"/>
      <c r="H36" s="2070"/>
      <c r="I36" s="1023"/>
      <c r="J36" s="1024"/>
      <c r="K36" s="1961"/>
      <c r="L36" s="2070"/>
      <c r="M36" s="2070"/>
    </row>
    <row r="37" spans="1:18" ht="18" customHeight="1">
      <c r="A37" s="711" t="s">
        <v>431</v>
      </c>
      <c r="B37" s="205" t="s">
        <v>722</v>
      </c>
      <c r="C37" s="18">
        <f ca="1">ROUND(C13*F37,0)</f>
        <v>0</v>
      </c>
      <c r="D37" s="974" t="s">
        <v>723</v>
      </c>
      <c r="E37" s="205" t="s">
        <v>724</v>
      </c>
      <c r="F37" s="231">
        <f ca="1">INDIRECT("'数据-取费表'!Al"&amp;$G$1)</f>
        <v>0</v>
      </c>
      <c r="G37" s="1011"/>
      <c r="H37" s="2070"/>
      <c r="I37" s="1023"/>
      <c r="J37" s="1024"/>
      <c r="K37" s="1961"/>
      <c r="L37" s="2070"/>
      <c r="M37" s="2070"/>
    </row>
    <row r="38" spans="1:18" ht="18" customHeight="1" thickBot="1">
      <c r="A38" s="789" t="s">
        <v>664</v>
      </c>
      <c r="B38" s="790" t="s">
        <v>708</v>
      </c>
      <c r="C38" s="791">
        <f ca="1">ROUND(C5*F38,0)</f>
        <v>0</v>
      </c>
      <c r="D38" s="792" t="s">
        <v>728</v>
      </c>
      <c r="E38" s="790" t="s">
        <v>724</v>
      </c>
      <c r="F38" s="786">
        <f ca="1">INDIRECT("'数据-取费表'!Am"&amp;$G$1)</f>
        <v>0</v>
      </c>
      <c r="G38" s="1011"/>
      <c r="H38" s="2070"/>
      <c r="I38" s="1023"/>
      <c r="J38" s="1024"/>
      <c r="K38" s="2068"/>
      <c r="L38" s="2070"/>
      <c r="M38" s="2070"/>
    </row>
    <row r="39" spans="1:18" ht="24.6" customHeight="1" thickTop="1">
      <c r="A39" s="779" t="s">
        <v>388</v>
      </c>
      <c r="B39" s="794" t="s">
        <v>752</v>
      </c>
      <c r="C39" s="213">
        <f ca="1">C5-C30</f>
        <v>0</v>
      </c>
      <c r="D39" s="795" t="s">
        <v>753</v>
      </c>
      <c r="E39" s="796"/>
      <c r="F39" s="797"/>
      <c r="G39" s="1011"/>
      <c r="H39" s="2070"/>
      <c r="I39" s="1023"/>
      <c r="J39" s="1024"/>
      <c r="K39" s="2068"/>
      <c r="L39" s="2070"/>
      <c r="M39" s="2070"/>
    </row>
    <row r="40" spans="1:18" ht="18" customHeight="1">
      <c r="A40" s="202" t="s">
        <v>389</v>
      </c>
      <c r="B40" s="203" t="s">
        <v>754</v>
      </c>
      <c r="C40" s="204" t="e">
        <f ca="1">ROUND(C39*(1-((1+F42)/(1+F40))^F41)/(F40-F42),0)</f>
        <v>#DIV/0!</v>
      </c>
      <c r="D40" s="226" t="s">
        <v>738</v>
      </c>
      <c r="E40" s="205" t="s">
        <v>739</v>
      </c>
      <c r="F40" s="215">
        <f ca="1">INDIRECT("'数据-取费表'!I"&amp;$G$1)</f>
        <v>0</v>
      </c>
      <c r="G40" s="1011"/>
      <c r="H40" s="1084"/>
      <c r="I40" s="1023"/>
      <c r="J40" s="1024"/>
      <c r="K40" s="2068"/>
      <c r="L40" s="1084"/>
      <c r="M40" s="1084"/>
    </row>
    <row r="41" spans="1:18" ht="18" customHeight="1">
      <c r="A41" s="207"/>
      <c r="B41" s="208"/>
      <c r="C41" s="209"/>
      <c r="D41" s="233" t="s">
        <v>755</v>
      </c>
      <c r="E41" s="205" t="s">
        <v>743</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746</v>
      </c>
      <c r="F42" s="215">
        <f ca="1">INDIRECT("'数据-取费表'!v"&amp;$G$1)</f>
        <v>0</v>
      </c>
      <c r="G42" s="1011"/>
      <c r="H42" s="62"/>
      <c r="I42" s="1023"/>
      <c r="J42" s="1024"/>
      <c r="K42" s="1961"/>
      <c r="L42" s="62"/>
      <c r="M42" s="62"/>
    </row>
    <row r="43" spans="1:18" ht="18" customHeight="1" thickBot="1">
      <c r="A43" s="235" t="s">
        <v>390</v>
      </c>
      <c r="B43" s="236" t="s">
        <v>756</v>
      </c>
      <c r="C43" s="237" t="e">
        <f ca="1">ROUND(C40/F43,0)</f>
        <v>#DIV/0!</v>
      </c>
      <c r="D43" s="238" t="s">
        <v>757</v>
      </c>
      <c r="E43" s="239" t="s">
        <v>758</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3256</v>
      </c>
      <c r="B45" s="1025"/>
      <c r="C45" s="1095" t="e">
        <f ca="1">ROUND((C68-C40)/10000,4)</f>
        <v>#DIV/0!</v>
      </c>
      <c r="D45" s="2628" t="s">
        <v>3257</v>
      </c>
      <c r="E45" s="1025"/>
      <c r="F45" s="1025"/>
      <c r="O45" s="1028" t="s">
        <v>788</v>
      </c>
      <c r="P45" s="1084"/>
      <c r="Q45" s="1084"/>
      <c r="R45" s="1084"/>
    </row>
    <row r="46" spans="1:18" s="1011" customFormat="1" ht="13.5" thickBot="1">
      <c r="A46" s="1029" t="s">
        <v>789</v>
      </c>
      <c r="C46" s="1030" t="e">
        <f ca="1">ROUND(C45,0)</f>
        <v>#DIV/0!</v>
      </c>
      <c r="D46" s="1031" t="str">
        <f>C2</f>
        <v>万元</v>
      </c>
      <c r="I46" s="1032" t="s">
        <v>790</v>
      </c>
      <c r="J46" s="1033"/>
      <c r="K46" s="1034"/>
      <c r="L46" s="1035" t="e">
        <f ca="1">IF(M47="住宅",0,IF(L48&gt;J51,L60,J60))</f>
        <v>#DIV/0!</v>
      </c>
      <c r="O46" s="1036" t="s">
        <v>791</v>
      </c>
      <c r="P46" s="1037" t="s">
        <v>792</v>
      </c>
      <c r="Q46" s="1038" t="s">
        <v>793</v>
      </c>
      <c r="R46" s="1038" t="s">
        <v>794</v>
      </c>
    </row>
    <row r="47" spans="1:18" s="1011" customFormat="1" ht="13.5" thickBot="1">
      <c r="A47" s="675" t="s">
        <v>667</v>
      </c>
      <c r="B47" s="707" t="s">
        <v>668</v>
      </c>
      <c r="C47" s="707" t="s">
        <v>669</v>
      </c>
      <c r="D47" s="707" t="s">
        <v>670</v>
      </c>
      <c r="E47" s="759" t="s">
        <v>671</v>
      </c>
      <c r="F47" s="760"/>
      <c r="G47" s="524"/>
      <c r="I47" s="1039" t="s">
        <v>795</v>
      </c>
      <c r="J47" s="1040"/>
      <c r="K47" s="1041" t="s">
        <v>796</v>
      </c>
      <c r="L47" s="1042">
        <f ca="1">INDIRECT("'数据-取费表'!d"&amp;$G$1)</f>
        <v>0</v>
      </c>
      <c r="M47" s="1007" t="str">
        <f>IF(ISNUMBER(FIND("住宅",C1)),"住宅","非住宅")</f>
        <v>非住宅</v>
      </c>
      <c r="O47" s="1043" t="s">
        <v>397</v>
      </c>
      <c r="P47" s="1044" t="s">
        <v>797</v>
      </c>
      <c r="Q47" s="1045" t="e">
        <f ca="1">C40+J29</f>
        <v>#DIV/0!</v>
      </c>
      <c r="R47" s="1045" t="s">
        <v>798</v>
      </c>
    </row>
    <row r="48" spans="1:18" s="1011" customFormat="1" ht="28.5" thickBot="1">
      <c r="A48" s="807" t="s">
        <v>432</v>
      </c>
      <c r="B48" s="203" t="s">
        <v>672</v>
      </c>
      <c r="C48" s="987">
        <f ca="1">C49+C53+C55</f>
        <v>0</v>
      </c>
      <c r="D48" s="809"/>
      <c r="E48" s="810"/>
      <c r="F48" s="691"/>
      <c r="G48" s="524"/>
      <c r="H48" s="525"/>
      <c r="I48" s="1046" t="s">
        <v>799</v>
      </c>
      <c r="J48" s="1047"/>
      <c r="K48" s="1048" t="s">
        <v>800</v>
      </c>
      <c r="L48" s="1049">
        <f ca="1">INDIRECT("'数据-取费表'!f"&amp;$G$1)</f>
        <v>0</v>
      </c>
      <c r="O48" s="1043" t="s">
        <v>398</v>
      </c>
      <c r="P48" s="1044" t="s">
        <v>801</v>
      </c>
      <c r="Q48" s="1045" t="e">
        <f ca="1">J60</f>
        <v>#DIV/0!</v>
      </c>
      <c r="R48" s="1045" t="s">
        <v>802</v>
      </c>
    </row>
    <row r="49" spans="1:18" s="1011" customFormat="1" ht="13.5" thickBot="1">
      <c r="A49" s="704" t="s">
        <v>433</v>
      </c>
      <c r="B49" s="998" t="s">
        <v>759</v>
      </c>
      <c r="C49" s="811">
        <f ca="1">ROUND(F49*F51*F50*(1-F52),0)</f>
        <v>0</v>
      </c>
      <c r="D49" s="756" t="s">
        <v>675</v>
      </c>
      <c r="E49" s="999" t="s">
        <v>760</v>
      </c>
      <c r="F49" s="761"/>
      <c r="H49" s="525"/>
      <c r="I49" s="1046" t="s">
        <v>803</v>
      </c>
      <c r="J49" s="1050"/>
      <c r="K49" s="1048" t="s">
        <v>804</v>
      </c>
      <c r="L49" s="1051"/>
      <c r="O49" s="1052" t="s">
        <v>399</v>
      </c>
      <c r="P49" s="1044" t="s">
        <v>805</v>
      </c>
      <c r="Q49" s="1045">
        <f ca="1">C29</f>
        <v>0</v>
      </c>
      <c r="R49" s="1045" t="s">
        <v>798</v>
      </c>
    </row>
    <row r="50" spans="1:18" s="1011" customFormat="1" ht="13.5" thickBot="1">
      <c r="A50" s="705"/>
      <c r="B50" s="708"/>
      <c r="C50" s="709"/>
      <c r="D50" s="682"/>
      <c r="E50" s="757" t="s">
        <v>677</v>
      </c>
      <c r="F50" s="758">
        <f ca="1">F7</f>
        <v>0</v>
      </c>
      <c r="H50" s="525"/>
      <c r="I50" s="1046" t="s">
        <v>806</v>
      </c>
      <c r="J50" s="1053">
        <f>SUMPRODUCT((I63:I65=J47)*(J62:L62=J48)*(J63:L65))</f>
        <v>0</v>
      </c>
      <c r="K50" s="1048" t="s">
        <v>807</v>
      </c>
      <c r="L50" s="1051"/>
      <c r="M50" s="1054"/>
      <c r="O50" s="1052" t="s">
        <v>400</v>
      </c>
      <c r="P50" s="1044" t="s">
        <v>808</v>
      </c>
      <c r="Q50" s="1055" t="e">
        <f ca="1">J58</f>
        <v>#DIV/0!</v>
      </c>
      <c r="R50" s="1045"/>
    </row>
    <row r="51" spans="1:18" s="1011" customFormat="1" ht="13.5" thickBot="1">
      <c r="A51" s="706"/>
      <c r="B51" s="708"/>
      <c r="C51" s="709"/>
      <c r="D51" s="682"/>
      <c r="E51" s="710" t="s">
        <v>678</v>
      </c>
      <c r="F51" s="206">
        <f ca="1">F8</f>
        <v>0</v>
      </c>
      <c r="I51" s="1056" t="s">
        <v>809</v>
      </c>
      <c r="J51" s="1049">
        <f>IF(J49="",J50,J49+J50-YEAR('数据-取费表'!B2))</f>
        <v>0</v>
      </c>
      <c r="K51" s="1057" t="s">
        <v>810</v>
      </c>
      <c r="L51" s="1058">
        <f ca="1">ROUND(-PV(INDIRECT("'数据-取费表'!h"&amp;$G$1),J51,(C39-C13*C76),0),0)</f>
        <v>0</v>
      </c>
      <c r="M51" s="1059"/>
      <c r="O51" s="1052" t="s">
        <v>401</v>
      </c>
      <c r="P51" s="1044" t="s">
        <v>811</v>
      </c>
      <c r="Q51" s="1055">
        <f>J52</f>
        <v>0</v>
      </c>
      <c r="R51" s="1045"/>
    </row>
    <row r="52" spans="1:18" s="1011" customFormat="1" ht="13.5" thickBot="1">
      <c r="A52" s="706"/>
      <c r="B52" s="708"/>
      <c r="C52" s="709"/>
      <c r="D52" s="682"/>
      <c r="E52" s="710" t="s">
        <v>679</v>
      </c>
      <c r="F52" s="755"/>
      <c r="I52" s="1060" t="s">
        <v>812</v>
      </c>
      <c r="J52" s="1061"/>
      <c r="K52" s="1060" t="s">
        <v>813</v>
      </c>
      <c r="L52" s="1061"/>
      <c r="O52" s="1052" t="s">
        <v>402</v>
      </c>
      <c r="P52" s="1044" t="s">
        <v>814</v>
      </c>
      <c r="Q52" s="1045">
        <f ca="1">J53</f>
        <v>0</v>
      </c>
      <c r="R52" s="1045" t="s">
        <v>815</v>
      </c>
    </row>
    <row r="53" spans="1:18" s="1011" customFormat="1" ht="30.75" customHeight="1" thickBot="1">
      <c r="A53" s="808" t="s">
        <v>434</v>
      </c>
      <c r="B53" s="225" t="s">
        <v>680</v>
      </c>
      <c r="C53" s="219">
        <f ca="1">ROUND(IF(F53="押一",C49/12*F11,IF(F53="押二",C49/12*2*F11,IF(F53="押三",C49/12*3*F11,C54*F11))),0)</f>
        <v>0</v>
      </c>
      <c r="D53" s="77" t="s">
        <v>2035</v>
      </c>
      <c r="E53" s="216" t="s">
        <v>681</v>
      </c>
      <c r="F53" s="812"/>
      <c r="I53" s="1062" t="s">
        <v>816</v>
      </c>
      <c r="J53" s="1683">
        <f ca="1">IF(M47="住宅",IF(D1="——",MAX(J51,L48),MAX(J51,L48-'数据-取费表'!B24)),IF(D1="——",MIN(J51,L48),MIN(J51,L48-'数据-取费表'!B24)))</f>
        <v>0</v>
      </c>
      <c r="K53" s="4374" t="s">
        <v>817</v>
      </c>
      <c r="L53" s="4375"/>
      <c r="O53" s="1043" t="s">
        <v>403</v>
      </c>
      <c r="P53" s="1044" t="s">
        <v>818</v>
      </c>
      <c r="Q53" s="1045" t="e">
        <f ca="1">Q47+Q48</f>
        <v>#DIV/0!</v>
      </c>
      <c r="R53" s="1045" t="s">
        <v>404</v>
      </c>
    </row>
    <row r="54" spans="1:18" s="1011" customFormat="1" ht="13.5" thickBot="1">
      <c r="A54" s="704"/>
      <c r="B54" s="1096" t="s">
        <v>871</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819</v>
      </c>
      <c r="P54" s="1008"/>
      <c r="Q54" s="1008"/>
      <c r="R54" s="1008"/>
    </row>
    <row r="55" spans="1:18" s="1011" customFormat="1" ht="13.5" thickBot="1">
      <c r="A55" s="783" t="s">
        <v>431</v>
      </c>
      <c r="B55" s="996" t="s">
        <v>683</v>
      </c>
      <c r="C55" s="784"/>
      <c r="D55" s="77"/>
      <c r="E55" s="1001"/>
      <c r="F55" s="1063"/>
      <c r="I55" s="1066" t="s">
        <v>820</v>
      </c>
      <c r="J55" s="1067" t="e">
        <f ca="1">ROUND(IF(J47="钢混",J57/J50,1-(1-2%)*(J50-J57)/J50),3)</f>
        <v>#DIV/0!</v>
      </c>
      <c r="K55" s="1068" t="s">
        <v>821</v>
      </c>
      <c r="L55" s="1069"/>
      <c r="O55" s="1036" t="s">
        <v>791</v>
      </c>
      <c r="P55" s="1037" t="s">
        <v>792</v>
      </c>
      <c r="Q55" s="1038" t="s">
        <v>793</v>
      </c>
      <c r="R55" s="1038" t="s">
        <v>794</v>
      </c>
    </row>
    <row r="56" spans="1:18" s="1011" customFormat="1" ht="36" customHeight="1" thickTop="1" thickBot="1">
      <c r="A56" s="686">
        <v>2</v>
      </c>
      <c r="B56" s="687" t="s">
        <v>684</v>
      </c>
      <c r="C56" s="146">
        <f ca="1">C13</f>
        <v>0</v>
      </c>
      <c r="D56" s="1070"/>
      <c r="E56" s="1071"/>
      <c r="F56" s="1063"/>
      <c r="I56" s="1072" t="s">
        <v>822</v>
      </c>
      <c r="J56" s="1073"/>
      <c r="K56" s="1046" t="s">
        <v>823</v>
      </c>
      <c r="L56" s="1049">
        <f ca="1">IF(L48&lt;J51,"——",L48-J51)</f>
        <v>0</v>
      </c>
      <c r="O56" s="1043" t="s">
        <v>397</v>
      </c>
      <c r="P56" s="1044" t="s">
        <v>797</v>
      </c>
      <c r="Q56" s="1045" t="e">
        <f ca="1">C40+J29</f>
        <v>#DIV/0!</v>
      </c>
      <c r="R56" s="1045" t="s">
        <v>798</v>
      </c>
    </row>
    <row r="57" spans="1:18" s="1011" customFormat="1" ht="24.75" thickBot="1">
      <c r="A57" s="1074"/>
      <c r="B57" s="679" t="s">
        <v>747</v>
      </c>
      <c r="C57" s="152">
        <f ca="1">C29</f>
        <v>0</v>
      </c>
      <c r="D57" s="1075"/>
      <c r="E57" s="1076"/>
      <c r="F57" s="1077"/>
      <c r="I57" s="1078" t="s">
        <v>824</v>
      </c>
      <c r="J57" s="1079">
        <f ca="1">IF(OR(M47="住宅",J51&lt;L48,J56="是"),"——",J51-L48)</f>
        <v>0</v>
      </c>
      <c r="K57" s="1046" t="s">
        <v>872</v>
      </c>
      <c r="L57" s="1049">
        <f ca="1">IF(L48&lt;J51,"——",IF(L55="比较法",L49,IF(L55="基准地价",L50,L51)))</f>
        <v>0</v>
      </c>
      <c r="O57" s="1043" t="s">
        <v>398</v>
      </c>
      <c r="P57" s="1044" t="s">
        <v>873</v>
      </c>
      <c r="Q57" s="1045" t="e">
        <f ca="1">L60</f>
        <v>#DIV/0!</v>
      </c>
      <c r="R57" s="1045" t="s">
        <v>874</v>
      </c>
    </row>
    <row r="58" spans="1:18" s="1011" customFormat="1" ht="24.75" thickBot="1">
      <c r="A58" s="218" t="s">
        <v>387</v>
      </c>
      <c r="B58" s="687" t="s">
        <v>694</v>
      </c>
      <c r="C58" s="219">
        <f ca="1">ROUND(C59+C64+C65+C66,0)</f>
        <v>0</v>
      </c>
      <c r="D58" s="689" t="s">
        <v>695</v>
      </c>
      <c r="E58" s="690"/>
      <c r="F58" s="691"/>
      <c r="I58" s="1078" t="s">
        <v>828</v>
      </c>
      <c r="J58" s="1080" t="e">
        <f ca="1">IF(J55&lt;0.4,0.4,J55)</f>
        <v>#DIV/0!</v>
      </c>
      <c r="K58" s="1057" t="s">
        <v>875</v>
      </c>
      <c r="L58" s="1049" t="e">
        <f ca="1">ROUND(POWER(1+L52,L47-L48)*(POWER(1+L52,L48)-1)/(POWER(1+L52,L47)-1),4)</f>
        <v>#DIV/0!</v>
      </c>
      <c r="O58" s="1052" t="s">
        <v>399</v>
      </c>
      <c r="P58" s="1044" t="s">
        <v>830</v>
      </c>
      <c r="Q58" s="1045">
        <f>IF(L55="比较法",L49,IF(L55="基准地价",L50,0))</f>
        <v>0</v>
      </c>
      <c r="R58" s="1045" t="s">
        <v>798</v>
      </c>
    </row>
    <row r="59" spans="1:18" s="1011" customFormat="1" ht="24.75" thickBot="1">
      <c r="A59" s="711" t="s">
        <v>392</v>
      </c>
      <c r="B59" s="679" t="s">
        <v>699</v>
      </c>
      <c r="C59" s="1786">
        <f ca="1">ROUND(IF(AND(项目基本情况!B11="自然人",项目基本情况!B10="北京市"),C49*F59/(1+'数据-取费表'!C43),C60+C61+C62),0)</f>
        <v>0</v>
      </c>
      <c r="D59" s="692" t="s">
        <v>700</v>
      </c>
      <c r="E59" s="693" t="s">
        <v>701</v>
      </c>
      <c r="F59" s="1785">
        <f ca="1">IF(项目基本情况!B11="企业","——",IF('数据-取费表'!B10="住宅",IF(F49*F50*F51/12/(1+'数据-取费表'!F30)&gt;100000,4%,2.5%),IF(F49*F50*F51/12/(1+'数据-取费表'!F30)&gt;100000,12%,7%)))</f>
        <v>7.0000000000000007E-2</v>
      </c>
      <c r="I59" s="1078" t="s">
        <v>831</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832</v>
      </c>
      <c r="Q59" s="1055">
        <f>L52</f>
        <v>0</v>
      </c>
      <c r="R59" s="1045"/>
    </row>
    <row r="60" spans="1:18" s="1011" customFormat="1" ht="16.5" thickBot="1">
      <c r="A60" s="711" t="s">
        <v>391</v>
      </c>
      <c r="B60" s="679" t="s">
        <v>703</v>
      </c>
      <c r="C60" s="18">
        <f ca="1">IF(项目基本情况!B11="自然人","——",ROUND(C48*F60/(1+'数据-取费表'!C43),0))</f>
        <v>0</v>
      </c>
      <c r="D60" s="693" t="s">
        <v>704</v>
      </c>
      <c r="E60" s="679" t="s">
        <v>692</v>
      </c>
      <c r="F60" s="232">
        <f t="shared" ref="F60:F66" si="0">F32</f>
        <v>0</v>
      </c>
      <c r="I60" s="1081" t="s">
        <v>833</v>
      </c>
      <c r="J60" s="1082" t="e">
        <f ca="1">IF(OR(M47="住宅",J51&lt;L48,J56="是"),"0",ROUND(J59/(1+J52)^J53,0))</f>
        <v>#DIV/0!</v>
      </c>
      <c r="K60" s="1083" t="s">
        <v>834</v>
      </c>
      <c r="L60" s="1082" t="e">
        <f ca="1">IF(OR(M47="住宅",L48&lt;J51),0,ROUND(L57*(L58/L59-1),0))</f>
        <v>#DIV/0!</v>
      </c>
      <c r="O60" s="1052" t="s">
        <v>401</v>
      </c>
      <c r="P60" s="1044" t="s">
        <v>835</v>
      </c>
      <c r="Q60" s="1045" t="e">
        <f ca="1">L58</f>
        <v>#DIV/0!</v>
      </c>
      <c r="R60" s="1045" t="s">
        <v>836</v>
      </c>
    </row>
    <row r="61" spans="1:18" s="1011" customFormat="1" ht="13.5" thickBot="1">
      <c r="A61" s="711" t="s">
        <v>761</v>
      </c>
      <c r="B61" s="679" t="s">
        <v>762</v>
      </c>
      <c r="C61" s="18">
        <f ca="1">IF(项目基本情况!B11="自然人","——",IF(D61="按租金收入计税",ROUND(C49*F61/(1+'数据-取费表'!C43),0),IF(D61="按房产原值计税",ROUND(C57*F61*0.7,0),INDIRECT("'数据-取费表'!Aj"&amp;$G$1))))</f>
        <v>0</v>
      </c>
      <c r="D61" s="997" t="s">
        <v>3240</v>
      </c>
      <c r="E61" s="679" t="s">
        <v>763</v>
      </c>
      <c r="F61" s="224">
        <f t="shared" si="0"/>
        <v>0.12</v>
      </c>
      <c r="I61" s="1084"/>
      <c r="J61" s="1084"/>
      <c r="K61" s="1084"/>
      <c r="L61" s="1084"/>
      <c r="O61" s="1052" t="s">
        <v>402</v>
      </c>
      <c r="P61" s="1044" t="str">
        <f>K59</f>
        <v>建筑物剩余耐用年限下的土地年期修正系数Kn</v>
      </c>
      <c r="Q61" s="1045" t="e">
        <f ca="1">L59</f>
        <v>#DIV/0!</v>
      </c>
      <c r="R61" s="1045" t="s">
        <v>837</v>
      </c>
    </row>
    <row r="62" spans="1:18" s="1011" customFormat="1" ht="13.5" thickBot="1">
      <c r="A62" s="711" t="s">
        <v>764</v>
      </c>
      <c r="B62" s="678" t="s">
        <v>765</v>
      </c>
      <c r="C62" s="19">
        <f ca="1">IF(项目基本情况!B11="自然人","——",ROUND(F62*F63,0))</f>
        <v>0</v>
      </c>
      <c r="D62" s="694" t="s">
        <v>766</v>
      </c>
      <c r="E62" s="679" t="s">
        <v>767</v>
      </c>
      <c r="F62" s="227">
        <f t="shared" si="0"/>
        <v>1.5</v>
      </c>
      <c r="I62" s="1085" t="s">
        <v>838</v>
      </c>
      <c r="J62" s="1086" t="s">
        <v>839</v>
      </c>
      <c r="K62" s="1086" t="s">
        <v>840</v>
      </c>
      <c r="L62" s="1086" t="s">
        <v>841</v>
      </c>
      <c r="M62" s="1087" t="s">
        <v>842</v>
      </c>
      <c r="O62" s="1043" t="s">
        <v>403</v>
      </c>
      <c r="P62" s="1044" t="s">
        <v>843</v>
      </c>
      <c r="Q62" s="1045" t="e">
        <f ca="1">Q56+Q57</f>
        <v>#DIV/0!</v>
      </c>
      <c r="R62" s="1045" t="s">
        <v>404</v>
      </c>
    </row>
    <row r="63" spans="1:18" s="1011" customFormat="1" ht="13.5" thickBot="1">
      <c r="A63" s="228"/>
      <c r="B63" s="685"/>
      <c r="C63" s="23"/>
      <c r="D63" s="695"/>
      <c r="E63" s="679" t="s">
        <v>768</v>
      </c>
      <c r="F63" s="206">
        <f t="shared" ca="1" si="0"/>
        <v>0</v>
      </c>
      <c r="I63" s="1085" t="s">
        <v>844</v>
      </c>
      <c r="J63" s="1086">
        <v>70</v>
      </c>
      <c r="K63" s="1086">
        <v>50</v>
      </c>
      <c r="L63" s="1086">
        <v>80</v>
      </c>
      <c r="M63" s="1088">
        <v>0.02</v>
      </c>
      <c r="O63" s="1028" t="s">
        <v>845</v>
      </c>
      <c r="P63" s="1008"/>
      <c r="Q63" s="1008"/>
      <c r="R63" s="1008"/>
    </row>
    <row r="64" spans="1:18" s="1011" customFormat="1" ht="13.5" thickBot="1">
      <c r="A64" s="711" t="s">
        <v>769</v>
      </c>
      <c r="B64" s="679" t="s">
        <v>770</v>
      </c>
      <c r="C64" s="18">
        <f ca="1">ROUND(C57*F64,0)</f>
        <v>0</v>
      </c>
      <c r="D64" s="693" t="s">
        <v>771</v>
      </c>
      <c r="E64" s="679" t="s">
        <v>763</v>
      </c>
      <c r="F64" s="230">
        <f t="shared" ca="1" si="0"/>
        <v>0</v>
      </c>
      <c r="I64" s="1085" t="s">
        <v>846</v>
      </c>
      <c r="J64" s="1086">
        <v>50</v>
      </c>
      <c r="K64" s="1086">
        <v>35</v>
      </c>
      <c r="L64" s="1086">
        <v>60</v>
      </c>
      <c r="M64" s="1087">
        <v>0</v>
      </c>
      <c r="O64" s="1036" t="s">
        <v>791</v>
      </c>
      <c r="P64" s="1037" t="s">
        <v>792</v>
      </c>
      <c r="Q64" s="1038" t="s">
        <v>793</v>
      </c>
      <c r="R64" s="1038" t="s">
        <v>794</v>
      </c>
    </row>
    <row r="65" spans="1:18" s="1011" customFormat="1" ht="13.5" thickBot="1">
      <c r="A65" s="711" t="s">
        <v>772</v>
      </c>
      <c r="B65" s="679" t="s">
        <v>722</v>
      </c>
      <c r="C65" s="18">
        <f ca="1">ROUND(C56*F65,0)</f>
        <v>0</v>
      </c>
      <c r="D65" s="693" t="s">
        <v>723</v>
      </c>
      <c r="E65" s="679" t="s">
        <v>724</v>
      </c>
      <c r="F65" s="231">
        <f t="shared" ca="1" si="0"/>
        <v>0</v>
      </c>
      <c r="I65" s="1085" t="s">
        <v>847</v>
      </c>
      <c r="J65" s="1086">
        <v>40</v>
      </c>
      <c r="K65" s="1086">
        <v>30</v>
      </c>
      <c r="L65" s="1086">
        <v>50</v>
      </c>
      <c r="M65" s="1088">
        <v>0.02</v>
      </c>
      <c r="O65" s="1043" t="s">
        <v>397</v>
      </c>
      <c r="P65" s="1044" t="s">
        <v>848</v>
      </c>
      <c r="Q65" s="1045" t="e">
        <f ca="1">C40+J29</f>
        <v>#DIV/0!</v>
      </c>
      <c r="R65" s="1045" t="s">
        <v>798</v>
      </c>
    </row>
    <row r="66" spans="1:18" s="1011" customFormat="1" ht="16.5" thickBot="1">
      <c r="A66" s="711" t="s">
        <v>773</v>
      </c>
      <c r="B66" s="679" t="s">
        <v>708</v>
      </c>
      <c r="C66" s="18">
        <f ca="1">ROUND(C48*F66,0)</f>
        <v>0</v>
      </c>
      <c r="D66" s="693" t="s">
        <v>774</v>
      </c>
      <c r="E66" s="679" t="s">
        <v>692</v>
      </c>
      <c r="F66" s="215">
        <f t="shared" ca="1" si="0"/>
        <v>0</v>
      </c>
      <c r="O66" s="1043" t="s">
        <v>398</v>
      </c>
      <c r="P66" s="1044" t="s">
        <v>826</v>
      </c>
      <c r="Q66" s="1045" t="e">
        <f ca="1">L60</f>
        <v>#DIV/0!</v>
      </c>
      <c r="R66" s="1045" t="s">
        <v>849</v>
      </c>
    </row>
    <row r="67" spans="1:18" s="1011" customFormat="1" ht="16.5" thickBot="1">
      <c r="A67" s="686" t="s">
        <v>388</v>
      </c>
      <c r="B67" s="696" t="s">
        <v>732</v>
      </c>
      <c r="C67" s="219">
        <f ca="1">C48-C58</f>
        <v>0</v>
      </c>
      <c r="D67" s="692" t="s">
        <v>733</v>
      </c>
      <c r="E67" s="697"/>
      <c r="F67" s="698"/>
      <c r="O67" s="1052" t="s">
        <v>399</v>
      </c>
      <c r="P67" s="1044" t="s">
        <v>830</v>
      </c>
      <c r="Q67" s="1089">
        <f ca="1">L51</f>
        <v>0</v>
      </c>
      <c r="R67" s="1045" t="s">
        <v>850</v>
      </c>
    </row>
    <row r="68" spans="1:18" s="1011" customFormat="1" ht="16.5" thickBot="1">
      <c r="A68" s="676" t="s">
        <v>389</v>
      </c>
      <c r="B68" s="677" t="s">
        <v>754</v>
      </c>
      <c r="C68" s="204" t="e">
        <f ca="1">ROUND(C67*(1-((1+F70)/(1+F68))^F69)/(F68-F70),0)</f>
        <v>#DIV/0!</v>
      </c>
      <c r="D68" s="694" t="s">
        <v>738</v>
      </c>
      <c r="E68" s="679" t="s">
        <v>739</v>
      </c>
      <c r="F68" s="215">
        <f ca="1">F40</f>
        <v>0</v>
      </c>
      <c r="O68" s="1052" t="s">
        <v>400</v>
      </c>
      <c r="P68" s="1090" t="s">
        <v>851</v>
      </c>
      <c r="Q68" s="1045">
        <f ca="1">ROUND(Q69-Q70*Q71,0)</f>
        <v>0</v>
      </c>
      <c r="R68" s="1045" t="s">
        <v>408</v>
      </c>
    </row>
    <row r="69" spans="1:18" s="1011" customFormat="1" ht="13.5" thickBot="1">
      <c r="A69" s="680"/>
      <c r="B69" s="681"/>
      <c r="C69" s="209"/>
      <c r="D69" s="699" t="s">
        <v>742</v>
      </c>
      <c r="E69" s="679" t="s">
        <v>743</v>
      </c>
      <c r="F69" s="234">
        <f ca="1">F41</f>
        <v>0</v>
      </c>
      <c r="O69" s="1052" t="s">
        <v>405</v>
      </c>
      <c r="P69" s="1090" t="s">
        <v>852</v>
      </c>
      <c r="Q69" s="1045">
        <f ca="1">C39</f>
        <v>0</v>
      </c>
      <c r="R69" s="1045" t="s">
        <v>798</v>
      </c>
    </row>
    <row r="70" spans="1:18" s="1011" customFormat="1" ht="13.5" thickBot="1">
      <c r="A70" s="683"/>
      <c r="B70" s="684"/>
      <c r="C70" s="213"/>
      <c r="D70" s="695"/>
      <c r="E70" s="679" t="s">
        <v>746</v>
      </c>
      <c r="F70" s="755"/>
      <c r="O70" s="1052" t="s">
        <v>406</v>
      </c>
      <c r="P70" s="1090" t="s">
        <v>853</v>
      </c>
      <c r="Q70" s="1045">
        <f ca="1">C13</f>
        <v>0</v>
      </c>
      <c r="R70" s="1045" t="s">
        <v>798</v>
      </c>
    </row>
    <row r="71" spans="1:18" s="1011" customFormat="1" ht="13.5" thickBot="1">
      <c r="A71" s="700" t="s">
        <v>390</v>
      </c>
      <c r="B71" s="701" t="s">
        <v>756</v>
      </c>
      <c r="C71" s="237" t="e">
        <f ca="1">ROUND(C68/F71,0)</f>
        <v>#DIV/0!</v>
      </c>
      <c r="D71" s="702" t="s">
        <v>757</v>
      </c>
      <c r="E71" s="703" t="s">
        <v>758</v>
      </c>
      <c r="F71" s="240">
        <f ca="1">F43</f>
        <v>0</v>
      </c>
      <c r="O71" s="1052" t="s">
        <v>407</v>
      </c>
      <c r="P71" s="1090" t="s">
        <v>854</v>
      </c>
      <c r="Q71" s="1055">
        <f ca="1">C76</f>
        <v>0</v>
      </c>
      <c r="R71" s="1045"/>
    </row>
    <row r="72" spans="1:18" s="1011" customFormat="1" ht="13.5" thickBot="1">
      <c r="B72" s="528"/>
      <c r="C72" s="528"/>
      <c r="O72" s="1052" t="s">
        <v>401</v>
      </c>
      <c r="P72" s="1044" t="s">
        <v>832</v>
      </c>
      <c r="Q72" s="1055">
        <f>L52</f>
        <v>0</v>
      </c>
      <c r="R72" s="1045"/>
    </row>
    <row r="73" spans="1:18" ht="16.5" thickBot="1">
      <c r="A73" s="1011"/>
      <c r="B73" s="528"/>
      <c r="C73" s="528"/>
      <c r="D73" s="1011"/>
      <c r="E73" s="1011"/>
      <c r="F73" s="1011"/>
      <c r="O73" s="1052" t="s">
        <v>402</v>
      </c>
      <c r="P73" s="1044" t="s">
        <v>835</v>
      </c>
      <c r="Q73" s="1045" t="e">
        <f ca="1">L58</f>
        <v>#DIV/0!</v>
      </c>
      <c r="R73" s="1045" t="s">
        <v>836</v>
      </c>
    </row>
    <row r="74" spans="1:18" ht="13.5" thickBot="1">
      <c r="A74" s="1011"/>
      <c r="B74" s="187" t="s">
        <v>855</v>
      </c>
      <c r="C74" s="1092"/>
      <c r="D74" s="1011"/>
      <c r="E74" s="1011"/>
      <c r="F74" s="1011"/>
      <c r="O74" s="1052" t="s">
        <v>409</v>
      </c>
      <c r="P74" s="1044" t="str">
        <f>K59</f>
        <v>建筑物剩余耐用年限下的土地年期修正系数Kn</v>
      </c>
      <c r="Q74" s="1045" t="e">
        <f ca="1">L59</f>
        <v>#DIV/0!</v>
      </c>
      <c r="R74" s="1045" t="s">
        <v>837</v>
      </c>
    </row>
    <row r="75" spans="1:18" ht="13.5" thickBot="1">
      <c r="A75" s="1011"/>
      <c r="B75" s="241" t="s">
        <v>775</v>
      </c>
      <c r="C75" s="242">
        <f ca="1">ROUND(C13*C76,0)</f>
        <v>0</v>
      </c>
      <c r="D75" s="1011"/>
      <c r="E75" s="1011"/>
      <c r="F75" s="1011"/>
      <c r="K75" s="1027"/>
      <c r="L75" s="1011"/>
      <c r="O75" s="1043" t="s">
        <v>403</v>
      </c>
      <c r="P75" s="1044" t="s">
        <v>818</v>
      </c>
      <c r="Q75" s="1045" t="e">
        <f ca="1">Q65+Q66</f>
        <v>#DIV/0!</v>
      </c>
      <c r="R75" s="1045" t="s">
        <v>404</v>
      </c>
    </row>
    <row r="76" spans="1:18">
      <c r="B76" s="243" t="s">
        <v>776</v>
      </c>
      <c r="C76" s="244">
        <f ca="1">INDIRECT("'数据-取费表'!j"&amp;$G$1)</f>
        <v>0</v>
      </c>
      <c r="I76" s="1011"/>
      <c r="J76" s="1011"/>
      <c r="K76" s="1027"/>
      <c r="L76" s="1011"/>
    </row>
    <row r="77" spans="1:18">
      <c r="B77" s="245" t="s">
        <v>777</v>
      </c>
      <c r="C77" s="246"/>
      <c r="I77" s="1011"/>
      <c r="J77" s="1011"/>
      <c r="K77" s="1027"/>
      <c r="L77" s="1011"/>
    </row>
    <row r="78" spans="1:18">
      <c r="B78" s="184" t="s">
        <v>778</v>
      </c>
      <c r="C78" s="247"/>
    </row>
    <row r="79" spans="1:18">
      <c r="B79" s="241" t="s">
        <v>779</v>
      </c>
      <c r="C79" s="188" t="e">
        <f ca="1">1-C80</f>
        <v>#DIV/0!</v>
      </c>
    </row>
    <row r="80" spans="1:18">
      <c r="B80" s="241" t="s">
        <v>780</v>
      </c>
      <c r="C80" s="188" t="e">
        <f ca="1">ROUND(C75/C39,3)</f>
        <v>#DIV/0!</v>
      </c>
    </row>
    <row r="81" spans="2:3">
      <c r="B81" s="184" t="s">
        <v>781</v>
      </c>
      <c r="C81" s="152"/>
    </row>
    <row r="82" spans="2:3">
      <c r="B82" s="187" t="s">
        <v>782</v>
      </c>
      <c r="C82" s="189" t="e">
        <f ca="1">1-C83</f>
        <v>#DIV/0!</v>
      </c>
    </row>
    <row r="83" spans="2:3">
      <c r="B83" s="187" t="s">
        <v>783</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2342</v>
      </c>
      <c r="B1" s="2173"/>
      <c r="C1" s="2184"/>
      <c r="D1" s="2184"/>
      <c r="E1" s="2174"/>
      <c r="F1" s="2175"/>
      <c r="G1" s="2176"/>
      <c r="J1" s="2179" t="s">
        <v>2221</v>
      </c>
      <c r="K1" s="2180"/>
      <c r="L1" s="2180"/>
      <c r="M1" s="2180"/>
      <c r="N1" s="2180"/>
      <c r="O1" s="2180"/>
      <c r="P1" s="2180"/>
      <c r="Q1" s="2180"/>
      <c r="R1" s="2181"/>
      <c r="S1" s="2182"/>
      <c r="T1" s="2182"/>
      <c r="U1" s="2182"/>
    </row>
    <row r="2" spans="1:22" s="2193" customFormat="1" ht="13.15" customHeight="1">
      <c r="A2" s="1012" t="s">
        <v>2222</v>
      </c>
      <c r="B2" s="4008" t="e">
        <f>IF(D2="——",C40,C40+E2)</f>
        <v>#DIV/0!</v>
      </c>
      <c r="C2" s="2184" t="s">
        <v>2223</v>
      </c>
      <c r="D2" s="2635" t="s">
        <v>3263</v>
      </c>
      <c r="E2" s="2636"/>
      <c r="F2" s="2186"/>
      <c r="G2" s="2187"/>
      <c r="H2" s="2188"/>
      <c r="I2" s="2189"/>
      <c r="J2" s="4483" t="s">
        <v>2224</v>
      </c>
      <c r="K2" s="4484"/>
      <c r="L2" s="2190" t="s">
        <v>2225</v>
      </c>
      <c r="M2" s="2190" t="s">
        <v>2226</v>
      </c>
      <c r="N2" s="2190" t="s">
        <v>2227</v>
      </c>
      <c r="O2" s="2190" t="s">
        <v>2228</v>
      </c>
      <c r="P2" s="2190" t="s">
        <v>2229</v>
      </c>
      <c r="Q2" s="2191" t="s">
        <v>2230</v>
      </c>
      <c r="R2" s="2192" t="s">
        <v>2231</v>
      </c>
      <c r="S2" s="2182"/>
      <c r="T2" s="2182"/>
      <c r="U2" s="2182"/>
      <c r="V2" s="2189"/>
    </row>
    <row r="3" spans="1:22" s="2193" customFormat="1" ht="13.15" customHeight="1">
      <c r="A3" s="2194" t="s">
        <v>2232</v>
      </c>
      <c r="B3" s="4009" t="e">
        <f>ROUND(B2*10000/B4,0)</f>
        <v>#DIV/0!</v>
      </c>
      <c r="C3" s="2184" t="s">
        <v>2233</v>
      </c>
      <c r="D3" s="2184"/>
      <c r="E3" s="2185"/>
      <c r="F3" s="2186"/>
      <c r="G3" s="2187"/>
      <c r="H3" s="2188"/>
      <c r="I3" s="2189"/>
      <c r="J3" s="4485" t="s">
        <v>2234</v>
      </c>
      <c r="K3" s="4486"/>
      <c r="L3" s="2195"/>
      <c r="M3" s="2195"/>
      <c r="N3" s="2195"/>
      <c r="O3" s="2195"/>
      <c r="P3" s="2195"/>
      <c r="Q3" s="2196"/>
      <c r="R3" s="2197">
        <f>SUM(L3:Q3)</f>
        <v>0</v>
      </c>
      <c r="S3" s="2182"/>
      <c r="T3" s="2182"/>
      <c r="U3" s="2182"/>
      <c r="V3" s="2189"/>
    </row>
    <row r="4" spans="1:22" s="2193" customFormat="1" ht="13.15" customHeight="1">
      <c r="A4" s="2198" t="s">
        <v>2235</v>
      </c>
      <c r="B4" s="2232"/>
      <c r="C4" s="2184"/>
      <c r="D4" s="2184"/>
      <c r="E4" s="2185"/>
      <c r="F4" s="2186"/>
      <c r="G4" s="2187"/>
      <c r="H4" s="2188"/>
      <c r="I4" s="2189"/>
      <c r="J4" s="4485" t="s">
        <v>2236</v>
      </c>
      <c r="K4" s="4486"/>
      <c r="L4" s="2200"/>
      <c r="M4" s="2200"/>
      <c r="N4" s="2200"/>
      <c r="O4" s="2200"/>
      <c r="P4" s="2200"/>
      <c r="Q4" s="2201"/>
      <c r="R4" s="2202">
        <f>SUM(L4:Q4)</f>
        <v>0</v>
      </c>
      <c r="S4" s="2182"/>
      <c r="T4" s="2182"/>
      <c r="U4" s="2182"/>
      <c r="V4" s="2189"/>
    </row>
    <row r="5" spans="1:22" s="2193" customFormat="1" ht="13.15" customHeight="1" thickBot="1">
      <c r="A5" s="2203" t="s">
        <v>2237</v>
      </c>
      <c r="B5" s="4010"/>
      <c r="C5" s="2184"/>
      <c r="D5" s="2204"/>
      <c r="E5" s="2186"/>
      <c r="F5" s="2186"/>
      <c r="G5" s="2187"/>
      <c r="H5" s="2188"/>
      <c r="I5" s="2189"/>
      <c r="J5" s="2205" t="s">
        <v>2238</v>
      </c>
      <c r="K5" s="2206"/>
      <c r="L5" s="2206"/>
      <c r="M5" s="2207"/>
      <c r="N5" s="2207"/>
      <c r="O5" s="2207"/>
      <c r="P5" s="2207"/>
      <c r="Q5" s="2207"/>
      <c r="R5" s="2192">
        <f>SUM(R14,R19,R24,R25,R27,R28)</f>
        <v>0</v>
      </c>
      <c r="S5" s="2182"/>
      <c r="T5" s="2182" t="s">
        <v>2239</v>
      </c>
      <c r="U5" s="2182" t="e">
        <f>ROUND(R5*10000/365/R3,1)</f>
        <v>#DIV/0!</v>
      </c>
      <c r="V5" s="2189"/>
    </row>
    <row r="6" spans="1:22" s="2193" customFormat="1" ht="13.15" customHeight="1" thickBot="1">
      <c r="A6" s="4491" t="s">
        <v>2240</v>
      </c>
      <c r="B6" s="4492"/>
      <c r="C6" s="4493"/>
      <c r="D6" s="4011"/>
      <c r="E6" s="2208"/>
      <c r="F6" s="2209"/>
      <c r="G6" s="2210"/>
      <c r="H6" s="2188"/>
      <c r="I6" s="2189"/>
      <c r="J6" s="4477">
        <v>1</v>
      </c>
      <c r="K6" s="4478" t="s">
        <v>2241</v>
      </c>
      <c r="L6" s="2211" t="s">
        <v>2242</v>
      </c>
      <c r="M6" s="2212" t="s">
        <v>2243</v>
      </c>
      <c r="N6" s="2212" t="s">
        <v>2244</v>
      </c>
      <c r="O6" s="2212" t="s">
        <v>2245</v>
      </c>
      <c r="P6" s="2212" t="s">
        <v>2246</v>
      </c>
      <c r="Q6" s="2212" t="s">
        <v>2247</v>
      </c>
      <c r="R6" s="2197" t="s">
        <v>2248</v>
      </c>
      <c r="S6" s="2182"/>
      <c r="T6" s="2182" t="s">
        <v>2249</v>
      </c>
      <c r="U6" s="2182"/>
      <c r="V6" s="2189"/>
    </row>
    <row r="7" spans="1:22" s="2193" customFormat="1" ht="13.15" customHeight="1">
      <c r="A7" s="2213" t="s">
        <v>2250</v>
      </c>
      <c r="B7" s="2214"/>
      <c r="C7" s="2215"/>
      <c r="D7" s="4012">
        <f>SUM(D9,D10,D11,D17,0)</f>
        <v>0</v>
      </c>
      <c r="E7" s="2216" t="e">
        <f>E9+E10+E11+E17</f>
        <v>#DIV/0!</v>
      </c>
      <c r="F7" s="2217"/>
      <c r="G7" s="2218"/>
      <c r="H7" s="2188"/>
      <c r="I7" s="2189"/>
      <c r="J7" s="4477"/>
      <c r="K7" s="4479"/>
      <c r="L7" s="2219" t="s">
        <v>2251</v>
      </c>
      <c r="M7" s="4042"/>
      <c r="N7" s="2232"/>
      <c r="O7" s="2232"/>
      <c r="P7" s="2232"/>
      <c r="Q7" s="2232">
        <v>365</v>
      </c>
      <c r="R7" s="4043">
        <f>ROUND(M7*N7*O7*P7*Q7/10000,0)</f>
        <v>0</v>
      </c>
      <c r="S7" s="2182"/>
      <c r="T7" s="2182" t="s">
        <v>2252</v>
      </c>
      <c r="U7" s="2182"/>
      <c r="V7" s="2189"/>
    </row>
    <row r="8" spans="1:22" s="2193" customFormat="1" ht="13.15" customHeight="1">
      <c r="A8" s="2223" t="s">
        <v>2253</v>
      </c>
      <c r="B8" s="4494" t="s">
        <v>2254</v>
      </c>
      <c r="C8" s="4495"/>
      <c r="D8" s="2224" t="s">
        <v>2255</v>
      </c>
      <c r="E8" s="2225" t="s">
        <v>2256</v>
      </c>
      <c r="F8" s="2226" t="s">
        <v>2257</v>
      </c>
      <c r="G8" s="2227"/>
      <c r="H8" s="2188"/>
      <c r="I8" s="2189"/>
      <c r="J8" s="4477"/>
      <c r="K8" s="4479"/>
      <c r="L8" s="2219" t="s">
        <v>2258</v>
      </c>
      <c r="M8" s="4042"/>
      <c r="N8" s="2232"/>
      <c r="O8" s="2232"/>
      <c r="P8" s="2232"/>
      <c r="Q8" s="2232">
        <v>365</v>
      </c>
      <c r="R8" s="4043">
        <f t="shared" ref="R8:R13" si="0">ROUND(M8*N8*O8*P8*Q8/10000,0)</f>
        <v>0</v>
      </c>
      <c r="S8" s="2182"/>
      <c r="T8" s="2182" t="s">
        <v>2259</v>
      </c>
      <c r="U8" s="2182"/>
      <c r="V8" s="2189"/>
    </row>
    <row r="9" spans="1:22" s="2193" customFormat="1" ht="13.15" customHeight="1">
      <c r="A9" s="2223">
        <v>1</v>
      </c>
      <c r="B9" s="4494" t="s">
        <v>2260</v>
      </c>
      <c r="C9" s="4495"/>
      <c r="D9" s="4013">
        <f>ROUND(D6*E9,0)</f>
        <v>0</v>
      </c>
      <c r="E9" s="4014"/>
      <c r="F9" s="2228" t="s">
        <v>2261</v>
      </c>
      <c r="G9" s="2210"/>
      <c r="H9" s="2188"/>
      <c r="I9" s="2189"/>
      <c r="J9" s="4477"/>
      <c r="K9" s="4479"/>
      <c r="L9" s="2219" t="s">
        <v>2262</v>
      </c>
      <c r="M9" s="4042"/>
      <c r="N9" s="2232"/>
      <c r="O9" s="2232"/>
      <c r="P9" s="2232"/>
      <c r="Q9" s="2232">
        <v>365</v>
      </c>
      <c r="R9" s="4043">
        <f t="shared" si="0"/>
        <v>0</v>
      </c>
      <c r="S9" s="2182"/>
      <c r="T9" s="2182"/>
      <c r="U9" s="2182"/>
      <c r="V9" s="2189"/>
    </row>
    <row r="10" spans="1:22" s="2193" customFormat="1" ht="13.15" customHeight="1">
      <c r="A10" s="2223">
        <v>2</v>
      </c>
      <c r="B10" s="4494" t="s">
        <v>2263</v>
      </c>
      <c r="C10" s="4495"/>
      <c r="D10" s="4013">
        <f>ROUND(D6*E10,0)</f>
        <v>0</v>
      </c>
      <c r="E10" s="4014"/>
      <c r="F10" s="2228" t="s">
        <v>2264</v>
      </c>
      <c r="G10" s="2210"/>
      <c r="H10" s="2188"/>
      <c r="I10" s="2189"/>
      <c r="J10" s="4477"/>
      <c r="K10" s="4479"/>
      <c r="L10" s="2219" t="s">
        <v>2265</v>
      </c>
      <c r="M10" s="4042"/>
      <c r="N10" s="2232"/>
      <c r="O10" s="2232"/>
      <c r="P10" s="2232"/>
      <c r="Q10" s="2232">
        <v>365</v>
      </c>
      <c r="R10" s="4043">
        <f t="shared" si="0"/>
        <v>0</v>
      </c>
      <c r="S10" s="2182"/>
      <c r="T10" s="2182"/>
      <c r="U10" s="2182"/>
      <c r="V10" s="2189"/>
    </row>
    <row r="11" spans="1:22" s="2193" customFormat="1" ht="13.15" customHeight="1">
      <c r="A11" s="2223">
        <v>3</v>
      </c>
      <c r="B11" s="4494" t="s">
        <v>2266</v>
      </c>
      <c r="C11" s="4495"/>
      <c r="D11" s="4013">
        <f>D12+D14+D15+D16</f>
        <v>0</v>
      </c>
      <c r="E11" s="4015" t="e">
        <f>D11/D6</f>
        <v>#DIV/0!</v>
      </c>
      <c r="F11" s="2226"/>
      <c r="G11" s="2227"/>
      <c r="H11" s="2188"/>
      <c r="I11" s="2189"/>
      <c r="J11" s="4477"/>
      <c r="K11" s="4479"/>
      <c r="L11" s="2219" t="s">
        <v>2267</v>
      </c>
      <c r="M11" s="4042"/>
      <c r="N11" s="2232"/>
      <c r="O11" s="2232"/>
      <c r="P11" s="2232"/>
      <c r="Q11" s="2232">
        <v>365</v>
      </c>
      <c r="R11" s="4043">
        <f t="shared" si="0"/>
        <v>0</v>
      </c>
      <c r="S11" s="2182"/>
      <c r="T11" s="2182"/>
      <c r="U11" s="2182"/>
      <c r="V11" s="2189"/>
    </row>
    <row r="12" spans="1:22" s="2193" customFormat="1" ht="13.15" customHeight="1">
      <c r="A12" s="2229" t="s">
        <v>2268</v>
      </c>
      <c r="B12" s="4487" t="s">
        <v>2269</v>
      </c>
      <c r="C12" s="4488"/>
      <c r="D12" s="4016">
        <f>ROUND(D13*1.2%*(1-30%),0)</f>
        <v>0</v>
      </c>
      <c r="E12" s="4017">
        <v>1.2E-2</v>
      </c>
      <c r="F12" s="2226" t="s">
        <v>2270</v>
      </c>
      <c r="G12" s="2227"/>
      <c r="H12" s="2188"/>
      <c r="I12" s="2189"/>
      <c r="J12" s="4477"/>
      <c r="K12" s="4479"/>
      <c r="L12" s="2219" t="s">
        <v>2271</v>
      </c>
      <c r="M12" s="4042"/>
      <c r="N12" s="2232"/>
      <c r="O12" s="2232"/>
      <c r="P12" s="2232"/>
      <c r="Q12" s="2232">
        <v>365</v>
      </c>
      <c r="R12" s="4043">
        <f t="shared" si="0"/>
        <v>0</v>
      </c>
      <c r="S12" s="2182"/>
      <c r="T12" s="2182"/>
      <c r="U12" s="2182"/>
      <c r="V12" s="2189"/>
    </row>
    <row r="13" spans="1:22" s="2193" customFormat="1" ht="13.15" customHeight="1">
      <c r="A13" s="2229"/>
      <c r="B13" s="2230"/>
      <c r="C13" s="2231" t="s">
        <v>2272</v>
      </c>
      <c r="D13" s="4018"/>
      <c r="E13" s="2233"/>
      <c r="F13" s="2226"/>
      <c r="G13" s="2227"/>
      <c r="H13" s="2188"/>
      <c r="I13" s="2189"/>
      <c r="J13" s="4477"/>
      <c r="K13" s="4479"/>
      <c r="L13" s="2219" t="s">
        <v>2273</v>
      </c>
      <c r="M13" s="4042"/>
      <c r="N13" s="2232"/>
      <c r="O13" s="2232"/>
      <c r="P13" s="2232"/>
      <c r="Q13" s="2232">
        <v>365</v>
      </c>
      <c r="R13" s="4043">
        <f t="shared" si="0"/>
        <v>0</v>
      </c>
      <c r="S13" s="2182"/>
      <c r="T13" s="2182"/>
      <c r="U13" s="2182"/>
      <c r="V13" s="2189"/>
    </row>
    <row r="14" spans="1:22" s="2193" customFormat="1" ht="13.15" customHeight="1">
      <c r="A14" s="2229" t="s">
        <v>2274</v>
      </c>
      <c r="B14" s="4487" t="s">
        <v>2275</v>
      </c>
      <c r="C14" s="4488"/>
      <c r="D14" s="4016">
        <f>ROUND(E14*B5/10000,0)</f>
        <v>0</v>
      </c>
      <c r="E14" s="4019"/>
      <c r="F14" s="2226" t="s">
        <v>2276</v>
      </c>
      <c r="G14" s="2227"/>
      <c r="H14" s="2188"/>
      <c r="I14" s="2189"/>
      <c r="J14" s="4477"/>
      <c r="K14" s="4480"/>
      <c r="L14" s="2234" t="s">
        <v>2277</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2278</v>
      </c>
      <c r="B15" s="4487" t="s">
        <v>2279</v>
      </c>
      <c r="C15" s="4488"/>
      <c r="D15" s="4016">
        <f>ROUND(D6*E15,0)</f>
        <v>0</v>
      </c>
      <c r="E15" s="4017">
        <v>5.5E-2</v>
      </c>
      <c r="F15" s="2226" t="s">
        <v>2280</v>
      </c>
      <c r="G15" s="2210"/>
      <c r="H15" s="2188"/>
      <c r="I15" s="2189"/>
      <c r="J15" s="4477">
        <v>2</v>
      </c>
      <c r="K15" s="4478" t="s">
        <v>2281</v>
      </c>
      <c r="L15" s="2219" t="s">
        <v>2282</v>
      </c>
      <c r="M15" s="2220" t="s">
        <v>2283</v>
      </c>
      <c r="N15" s="2220" t="s">
        <v>2284</v>
      </c>
      <c r="O15" s="2221" t="s">
        <v>2285</v>
      </c>
      <c r="P15" s="2221" t="s">
        <v>2247</v>
      </c>
      <c r="Q15" s="2199" t="s">
        <v>2286</v>
      </c>
      <c r="R15" s="2238" t="s">
        <v>2248</v>
      </c>
      <c r="S15" s="2182"/>
      <c r="T15" s="2182"/>
      <c r="U15" s="2182"/>
      <c r="V15" s="2189"/>
    </row>
    <row r="16" spans="1:22" s="2193" customFormat="1" ht="13.15" customHeight="1">
      <c r="A16" s="2229" t="s">
        <v>2287</v>
      </c>
      <c r="B16" s="4487" t="s">
        <v>2288</v>
      </c>
      <c r="C16" s="4488"/>
      <c r="D16" s="4020">
        <f>D6*E16</f>
        <v>0</v>
      </c>
      <c r="E16" s="4021"/>
      <c r="F16" s="2228" t="s">
        <v>2289</v>
      </c>
      <c r="G16" s="2210"/>
      <c r="H16" s="2188"/>
      <c r="I16" s="2189"/>
      <c r="J16" s="4477"/>
      <c r="K16" s="4479"/>
      <c r="L16" s="2219" t="s">
        <v>2290</v>
      </c>
      <c r="M16" s="4042"/>
      <c r="N16" s="4042"/>
      <c r="O16" s="2232"/>
      <c r="P16" s="2232">
        <v>365</v>
      </c>
      <c r="Q16" s="2232"/>
      <c r="R16" s="4043">
        <f>ROUND(M16*N16*O16*P16/10000,0)</f>
        <v>0</v>
      </c>
      <c r="S16" s="2182"/>
      <c r="T16" s="2182"/>
      <c r="U16" s="2182"/>
      <c r="V16" s="2189"/>
    </row>
    <row r="17" spans="1:22" s="2193" customFormat="1" ht="13.15" customHeight="1" thickBot="1">
      <c r="A17" s="2239">
        <v>4</v>
      </c>
      <c r="B17" s="4489" t="s">
        <v>2291</v>
      </c>
      <c r="C17" s="4490"/>
      <c r="D17" s="4022">
        <f>ROUND(D6*E17,0)</f>
        <v>0</v>
      </c>
      <c r="E17" s="4023"/>
      <c r="F17" s="2240" t="s">
        <v>2292</v>
      </c>
      <c r="G17" s="2210"/>
      <c r="H17" s="2188"/>
      <c r="I17" s="2189"/>
      <c r="J17" s="4477"/>
      <c r="K17" s="4479"/>
      <c r="L17" s="2219" t="s">
        <v>2293</v>
      </c>
      <c r="M17" s="4042"/>
      <c r="N17" s="4042"/>
      <c r="O17" s="2232"/>
      <c r="P17" s="2232">
        <v>365</v>
      </c>
      <c r="Q17" s="2232"/>
      <c r="R17" s="4043">
        <f>ROUND(M17*N17*O17*P17/10000,0)</f>
        <v>0</v>
      </c>
      <c r="S17" s="2182"/>
      <c r="T17" s="2182"/>
      <c r="U17" s="2182"/>
      <c r="V17" s="2189"/>
    </row>
    <row r="18" spans="1:22" s="2193" customFormat="1" ht="13.15" customHeight="1" thickBot="1">
      <c r="A18" s="2213" t="s">
        <v>2294</v>
      </c>
      <c r="B18" s="2214"/>
      <c r="C18" s="2214"/>
      <c r="D18" s="4024">
        <f>ROUND(D6*E18,0)</f>
        <v>0</v>
      </c>
      <c r="E18" s="4025"/>
      <c r="F18" s="2241" t="s">
        <v>2295</v>
      </c>
      <c r="G18" s="2210"/>
      <c r="H18" s="2188"/>
      <c r="I18" s="2189"/>
      <c r="J18" s="4477"/>
      <c r="K18" s="4479"/>
      <c r="L18" s="2219" t="s">
        <v>2296</v>
      </c>
      <c r="M18" s="4042"/>
      <c r="N18" s="4042"/>
      <c r="O18" s="2232"/>
      <c r="P18" s="2232">
        <v>365</v>
      </c>
      <c r="Q18" s="2232"/>
      <c r="R18" s="4043">
        <f>ROUND(M18*N18*O18*P18/10000,0)</f>
        <v>0</v>
      </c>
      <c r="S18" s="2182"/>
      <c r="T18" s="2182"/>
      <c r="U18" s="2182"/>
      <c r="V18" s="2189"/>
    </row>
    <row r="19" spans="1:22" s="2193" customFormat="1" ht="13.15" customHeight="1" thickBot="1">
      <c r="A19" s="2242" t="s">
        <v>2297</v>
      </c>
      <c r="B19" s="2208"/>
      <c r="C19" s="2208"/>
      <c r="D19" s="2208"/>
      <c r="E19" s="2208"/>
      <c r="F19" s="2209"/>
      <c r="G19" s="2227"/>
      <c r="H19" s="2188"/>
      <c r="I19" s="2189"/>
      <c r="J19" s="4477"/>
      <c r="K19" s="4480"/>
      <c r="L19" s="2234" t="s">
        <v>2277</v>
      </c>
      <c r="M19" s="2235"/>
      <c r="N19" s="2235">
        <f>SUM(N16:N18)</f>
        <v>0</v>
      </c>
      <c r="O19" s="2236"/>
      <c r="P19" s="2243" t="s">
        <v>2341</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77">
        <v>3</v>
      </c>
      <c r="K20" s="4478" t="s">
        <v>2298</v>
      </c>
      <c r="L20" s="2219" t="s">
        <v>2299</v>
      </c>
      <c r="M20" s="2220" t="s">
        <v>2300</v>
      </c>
      <c r="N20" s="2245" t="s">
        <v>2301</v>
      </c>
      <c r="O20" s="2221" t="s">
        <v>2302</v>
      </c>
      <c r="P20" s="2222" t="s">
        <v>2303</v>
      </c>
      <c r="Q20" s="2199" t="s">
        <v>2304</v>
      </c>
      <c r="R20" s="2238" t="s">
        <v>2305</v>
      </c>
      <c r="S20" s="2182"/>
      <c r="T20" s="2182"/>
      <c r="U20" s="2182"/>
      <c r="V20" s="2189"/>
    </row>
    <row r="21" spans="1:22" s="2193" customFormat="1" ht="13.15" customHeight="1">
      <c r="A21" s="2213"/>
      <c r="B21" s="2214"/>
      <c r="C21" s="2246" t="s">
        <v>2306</v>
      </c>
      <c r="D21" s="2247" t="s">
        <v>2307</v>
      </c>
      <c r="E21" s="2248" t="s">
        <v>2308</v>
      </c>
      <c r="F21" s="2244"/>
      <c r="G21" s="2227"/>
      <c r="H21" s="2188"/>
      <c r="I21" s="2189"/>
      <c r="J21" s="4477"/>
      <c r="K21" s="4479"/>
      <c r="L21" s="2219" t="s">
        <v>2309</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2310</v>
      </c>
      <c r="D22" s="2250" t="s">
        <v>2311</v>
      </c>
      <c r="E22" s="2251" t="s">
        <v>2312</v>
      </c>
      <c r="F22" s="2244"/>
      <c r="G22" s="2182"/>
      <c r="H22" s="2188"/>
      <c r="I22" s="2189"/>
      <c r="J22" s="4477"/>
      <c r="K22" s="4479"/>
      <c r="L22" s="2219" t="s">
        <v>2313</v>
      </c>
      <c r="M22" s="4042"/>
      <c r="N22" s="4042"/>
      <c r="O22" s="2232"/>
      <c r="P22" s="2232">
        <v>365</v>
      </c>
      <c r="Q22" s="2232"/>
      <c r="R22" s="4044">
        <f>ROUND(M22*N22*O22*P22/10000,0)</f>
        <v>0</v>
      </c>
      <c r="S22" s="2182"/>
      <c r="T22" s="2182"/>
      <c r="U22" s="2182"/>
      <c r="V22" s="2189"/>
    </row>
    <row r="23" spans="1:22" s="2193" customFormat="1" ht="13.15" customHeight="1">
      <c r="A23" s="2252">
        <v>1</v>
      </c>
      <c r="B23" s="2253" t="s">
        <v>2314</v>
      </c>
      <c r="C23" s="2258">
        <f>D6</f>
        <v>0</v>
      </c>
      <c r="D23" s="4040">
        <f>C23*(1+D24)</f>
        <v>0</v>
      </c>
      <c r="E23" s="4041">
        <f>D23*(1+E24)</f>
        <v>0</v>
      </c>
      <c r="F23" s="2254"/>
      <c r="G23" s="2255"/>
      <c r="H23" s="2188"/>
      <c r="I23" s="2189"/>
      <c r="J23" s="4477"/>
      <c r="K23" s="4479"/>
      <c r="L23" s="2219" t="s">
        <v>2315</v>
      </c>
      <c r="M23" s="4042"/>
      <c r="N23" s="4042"/>
      <c r="O23" s="2232"/>
      <c r="P23" s="2232">
        <v>365</v>
      </c>
      <c r="Q23" s="2232"/>
      <c r="R23" s="4044">
        <f>ROUND(M23*N23*O23*P23/10000,0)</f>
        <v>0</v>
      </c>
      <c r="S23" s="2182"/>
      <c r="T23" s="2182"/>
      <c r="U23" s="2182"/>
      <c r="V23" s="2189"/>
    </row>
    <row r="24" spans="1:22" s="2193" customFormat="1" ht="13.15" customHeight="1">
      <c r="A24" s="2256"/>
      <c r="B24" s="2257" t="s">
        <v>2316</v>
      </c>
      <c r="C24" s="2258"/>
      <c r="D24" s="2259"/>
      <c r="E24" s="2260"/>
      <c r="F24" s="2261"/>
      <c r="G24" s="2255"/>
      <c r="H24" s="2188"/>
      <c r="I24" s="2189"/>
      <c r="J24" s="4477"/>
      <c r="K24" s="4480"/>
      <c r="L24" s="2234" t="s">
        <v>2277</v>
      </c>
      <c r="M24" s="2235">
        <f>SUM(M21:M23)</f>
        <v>0</v>
      </c>
      <c r="N24" s="2235"/>
      <c r="O24" s="2236"/>
      <c r="P24" s="2243" t="s">
        <v>2341</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2317</v>
      </c>
      <c r="L25" s="2264"/>
      <c r="M25" s="2264"/>
      <c r="N25" s="2264"/>
      <c r="O25" s="2264"/>
      <c r="P25" s="2265"/>
      <c r="Q25" s="2266">
        <v>0</v>
      </c>
      <c r="R25" s="4045">
        <f>ROUND(R14*Q25,0)</f>
        <v>0</v>
      </c>
      <c r="S25" s="2182"/>
      <c r="T25" s="2182"/>
      <c r="U25" s="2182"/>
      <c r="V25" s="2267"/>
    </row>
    <row r="26" spans="1:22" s="2268" customFormat="1" ht="13.15" customHeight="1">
      <c r="A26" s="2252">
        <v>2</v>
      </c>
      <c r="B26" s="2253" t="s">
        <v>2318</v>
      </c>
      <c r="C26" s="2258">
        <f>D7</f>
        <v>0</v>
      </c>
      <c r="D26" s="4026">
        <f>D23*D27</f>
        <v>0</v>
      </c>
      <c r="E26" s="4027">
        <f>E23*E27</f>
        <v>0</v>
      </c>
      <c r="F26" s="2254"/>
      <c r="G26" s="2255"/>
      <c r="H26" s="2188"/>
      <c r="I26" s="2189"/>
      <c r="J26" s="4481">
        <v>5</v>
      </c>
      <c r="K26" s="2269" t="s">
        <v>2319</v>
      </c>
      <c r="L26" s="2270"/>
      <c r="M26" s="2271"/>
      <c r="N26" s="2272" t="s">
        <v>2320</v>
      </c>
      <c r="O26" s="2272" t="s">
        <v>2321</v>
      </c>
      <c r="P26" s="2273" t="s">
        <v>2322</v>
      </c>
      <c r="Q26" s="2273" t="s">
        <v>2323</v>
      </c>
      <c r="R26" s="2197" t="s">
        <v>2248</v>
      </c>
      <c r="S26" s="2227"/>
      <c r="T26" s="2227"/>
      <c r="U26" s="2227"/>
      <c r="V26" s="2267"/>
    </row>
    <row r="27" spans="1:22" s="2193" customFormat="1" ht="13.15" customHeight="1">
      <c r="A27" s="2256"/>
      <c r="B27" s="2257" t="s">
        <v>2324</v>
      </c>
      <c r="C27" s="2274" t="e">
        <f>E7</f>
        <v>#DIV/0!</v>
      </c>
      <c r="D27" s="2259"/>
      <c r="E27" s="2260"/>
      <c r="F27" s="2261"/>
      <c r="G27" s="2255"/>
      <c r="H27" s="2275"/>
      <c r="I27" s="2267"/>
      <c r="J27" s="4482"/>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2325</v>
      </c>
      <c r="F28" s="2261"/>
      <c r="G28" s="2182"/>
      <c r="H28" s="2275"/>
      <c r="I28" s="2267"/>
      <c r="J28" s="2279">
        <v>6</v>
      </c>
      <c r="K28" s="2280" t="s">
        <v>2326</v>
      </c>
      <c r="L28" s="2281" t="s">
        <v>2327</v>
      </c>
      <c r="M28" s="4048"/>
      <c r="N28" s="2281" t="s">
        <v>2328</v>
      </c>
      <c r="O28" s="2283"/>
      <c r="P28" s="2281" t="s">
        <v>2329</v>
      </c>
      <c r="Q28" s="2284">
        <v>1.4999999999999999E-2</v>
      </c>
      <c r="R28" s="4047"/>
      <c r="S28" s="2182"/>
      <c r="T28" s="2182"/>
      <c r="U28" s="2182"/>
      <c r="V28" s="2267"/>
    </row>
    <row r="29" spans="1:22" s="2268" customFormat="1" ht="13.15" customHeight="1">
      <c r="A29" s="2252">
        <v>3</v>
      </c>
      <c r="B29" s="2253" t="s">
        <v>2330</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2324</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2331</v>
      </c>
      <c r="K31" s="2180"/>
      <c r="L31" s="2180"/>
      <c r="M31" s="2180"/>
      <c r="N31" s="2180"/>
      <c r="O31" s="2180"/>
      <c r="P31" s="2180"/>
      <c r="Q31" s="2180"/>
      <c r="R31" s="2181"/>
      <c r="S31" s="2182"/>
      <c r="T31" s="2182"/>
      <c r="U31" s="2182"/>
      <c r="V31" s="2267"/>
    </row>
    <row r="32" spans="1:22" s="2268" customFormat="1" ht="13.15" customHeight="1">
      <c r="A32" s="2252">
        <v>4</v>
      </c>
      <c r="B32" s="2253" t="s">
        <v>2332</v>
      </c>
      <c r="C32" s="2258">
        <f>C23-C26-C29</f>
        <v>0</v>
      </c>
      <c r="D32" s="4026">
        <f>D23-D26-D29</f>
        <v>0</v>
      </c>
      <c r="E32" s="4027">
        <f>E23-E26-E29</f>
        <v>0</v>
      </c>
      <c r="F32" s="2254"/>
      <c r="G32" s="2182"/>
      <c r="H32" s="2188"/>
      <c r="I32" s="2189"/>
      <c r="J32" s="4483" t="s">
        <v>2224</v>
      </c>
      <c r="K32" s="4484"/>
      <c r="L32" s="2190" t="s">
        <v>2225</v>
      </c>
      <c r="M32" s="2190" t="s">
        <v>2226</v>
      </c>
      <c r="N32" s="2190" t="s">
        <v>2227</v>
      </c>
      <c r="O32" s="2190" t="s">
        <v>2228</v>
      </c>
      <c r="P32" s="2190" t="s">
        <v>2229</v>
      </c>
      <c r="Q32" s="2191" t="s">
        <v>2230</v>
      </c>
      <c r="R32" s="2287" t="s">
        <v>2231</v>
      </c>
      <c r="S32" s="2182"/>
      <c r="T32" s="2182"/>
      <c r="U32" s="2182"/>
      <c r="V32" s="2267"/>
    </row>
    <row r="33" spans="1:23" s="2193" customFormat="1" ht="13.15" customHeight="1">
      <c r="A33" s="2252"/>
      <c r="B33" s="2253"/>
      <c r="C33" s="2258"/>
      <c r="D33" s="4028"/>
      <c r="E33" s="4029"/>
      <c r="F33" s="2254"/>
      <c r="G33" s="2182"/>
      <c r="H33" s="2275"/>
      <c r="I33" s="2267"/>
      <c r="J33" s="4485" t="s">
        <v>2234</v>
      </c>
      <c r="K33" s="4486"/>
      <c r="L33" s="4049"/>
      <c r="M33" s="4049"/>
      <c r="N33" s="4049"/>
      <c r="O33" s="4049"/>
      <c r="P33" s="4049"/>
      <c r="Q33" s="4050"/>
      <c r="R33" s="4051">
        <f>SUM(L33:Q33)</f>
        <v>0</v>
      </c>
      <c r="S33" s="2182"/>
      <c r="T33" s="2182"/>
      <c r="U33" s="2182"/>
      <c r="V33" s="2189"/>
    </row>
    <row r="34" spans="1:23" s="2193" customFormat="1" ht="13.15" customHeight="1">
      <c r="A34" s="2252">
        <v>5</v>
      </c>
      <c r="B34" s="2253" t="s">
        <v>2333</v>
      </c>
      <c r="C34" s="4030"/>
      <c r="D34" s="4031"/>
      <c r="E34" s="4032"/>
      <c r="F34" s="2254"/>
      <c r="G34" s="2182"/>
      <c r="H34" s="2275"/>
      <c r="I34" s="2267"/>
      <c r="J34" s="4485" t="s">
        <v>2236</v>
      </c>
      <c r="K34" s="4486"/>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2334</v>
      </c>
      <c r="C35" s="2286"/>
      <c r="D35" s="2259"/>
      <c r="E35" s="2260"/>
      <c r="F35" s="2254"/>
      <c r="G35" s="2288"/>
      <c r="H35" s="2188"/>
      <c r="I35" s="2267"/>
      <c r="J35" s="2205" t="s">
        <v>2238</v>
      </c>
      <c r="K35" s="2206"/>
      <c r="L35" s="2206"/>
      <c r="M35" s="2207"/>
      <c r="N35" s="2207"/>
      <c r="O35" s="2207"/>
      <c r="P35" s="2207"/>
      <c r="Q35" s="2207"/>
      <c r="R35" s="2289">
        <f>R40+R41+R43</f>
        <v>0</v>
      </c>
      <c r="S35" s="2182"/>
      <c r="T35" s="2182" t="s">
        <v>2239</v>
      </c>
      <c r="U35" s="2182"/>
      <c r="V35" s="2189"/>
    </row>
    <row r="36" spans="1:23" s="2193" customFormat="1" ht="13.15" customHeight="1" thickBot="1">
      <c r="A36" s="2252">
        <v>7</v>
      </c>
      <c r="B36" s="2290" t="s">
        <v>2335</v>
      </c>
      <c r="C36" s="4033"/>
      <c r="D36" s="4034"/>
      <c r="E36" s="4035"/>
      <c r="F36" s="2291">
        <f>C36+D36+E36</f>
        <v>0</v>
      </c>
      <c r="G36" s="2182"/>
      <c r="H36" s="2188"/>
      <c r="I36" s="2189"/>
      <c r="J36" s="4477">
        <v>1</v>
      </c>
      <c r="K36" s="4478" t="s">
        <v>2336</v>
      </c>
      <c r="L36" s="2211"/>
      <c r="M36" s="2212"/>
      <c r="N36" s="2212"/>
      <c r="O36" s="2212"/>
      <c r="P36" s="2212"/>
      <c r="Q36" s="2212"/>
      <c r="R36" s="2197" t="s">
        <v>2248</v>
      </c>
      <c r="S36" s="2182"/>
      <c r="T36" s="2182" t="s">
        <v>2249</v>
      </c>
      <c r="U36" s="2182"/>
      <c r="V36" s="2189"/>
    </row>
    <row r="37" spans="1:23" s="2193" customFormat="1" ht="13.15" customHeight="1">
      <c r="A37" s="2252"/>
      <c r="B37" s="2253"/>
      <c r="C37" s="2257"/>
      <c r="D37" s="2257"/>
      <c r="E37" s="2257"/>
      <c r="F37" s="2254"/>
      <c r="G37" s="2182"/>
      <c r="H37" s="2188"/>
      <c r="I37" s="2189"/>
      <c r="J37" s="4477"/>
      <c r="K37" s="4479"/>
      <c r="L37" s="4055"/>
      <c r="M37" s="4042"/>
      <c r="N37" s="2232"/>
      <c r="O37" s="2232"/>
      <c r="P37" s="2232"/>
      <c r="Q37" s="2232"/>
      <c r="R37" s="4043"/>
      <c r="S37" s="2182"/>
      <c r="T37" s="2182" t="s">
        <v>2252</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77"/>
      <c r="K38" s="4479"/>
      <c r="L38" s="4055"/>
      <c r="M38" s="4042"/>
      <c r="N38" s="2232"/>
      <c r="O38" s="2232"/>
      <c r="P38" s="2232"/>
      <c r="Q38" s="2232"/>
      <c r="R38" s="4043"/>
      <c r="S38" s="2182"/>
      <c r="T38" s="2182" t="s">
        <v>2259</v>
      </c>
      <c r="U38" s="2182"/>
      <c r="V38" s="2189"/>
    </row>
    <row r="39" spans="1:23" s="2193" customFormat="1" ht="13.15" customHeight="1">
      <c r="A39" s="2252">
        <v>9</v>
      </c>
      <c r="B39" s="2253" t="s">
        <v>2337</v>
      </c>
      <c r="C39" s="4016" t="e">
        <f>C38</f>
        <v>#DIV/0!</v>
      </c>
      <c r="D39" s="4016">
        <f>IF(D23=0,0,D38/(1+D34)^C36)</f>
        <v>0</v>
      </c>
      <c r="E39" s="4016">
        <f>IF(E23=0,0,E38/(1+E34)^(C36+D36))</f>
        <v>0</v>
      </c>
      <c r="F39" s="2254"/>
      <c r="G39" s="2189"/>
      <c r="H39" s="2188"/>
      <c r="I39" s="2189"/>
      <c r="J39" s="4477"/>
      <c r="K39" s="4479"/>
      <c r="L39" s="4055"/>
      <c r="M39" s="4042"/>
      <c r="N39" s="2232"/>
      <c r="O39" s="2232"/>
      <c r="P39" s="2232"/>
      <c r="Q39" s="2232"/>
      <c r="R39" s="4043"/>
      <c r="S39" s="2182"/>
      <c r="T39" s="2182"/>
      <c r="U39" s="2182"/>
      <c r="V39" s="2189"/>
    </row>
    <row r="40" spans="1:23" s="2193" customFormat="1" ht="13.15" customHeight="1">
      <c r="A40" s="2292">
        <v>10</v>
      </c>
      <c r="B40" s="2253" t="s">
        <v>2338</v>
      </c>
      <c r="C40" s="4036" t="e">
        <f>C39+D39+E39</f>
        <v>#DIV/0!</v>
      </c>
      <c r="D40" s="4037"/>
      <c r="E40" s="4037"/>
      <c r="F40" s="2293"/>
      <c r="G40" s="2182"/>
      <c r="H40" s="2188"/>
      <c r="I40" s="2189"/>
      <c r="J40" s="4477"/>
      <c r="K40" s="4480"/>
      <c r="L40" s="2234" t="s">
        <v>2277</v>
      </c>
      <c r="M40" s="2235"/>
      <c r="N40" s="2235"/>
      <c r="O40" s="2236"/>
      <c r="P40" s="2236"/>
      <c r="Q40" s="4056"/>
      <c r="R40" s="4057">
        <f>SUM(R37:R39)</f>
        <v>0</v>
      </c>
      <c r="S40" s="2182"/>
      <c r="T40" s="2182"/>
      <c r="U40" s="2182"/>
      <c r="V40" s="2189"/>
    </row>
    <row r="41" spans="1:23" s="2193" customFormat="1" ht="13.15" customHeight="1" thickBot="1">
      <c r="A41" s="2294">
        <v>11</v>
      </c>
      <c r="B41" s="2295" t="s">
        <v>2339</v>
      </c>
      <c r="C41" s="4038" t="e">
        <f>ROUND(C40*10000/B4,0)</f>
        <v>#DIV/0!</v>
      </c>
      <c r="D41" s="4039"/>
      <c r="E41" s="4039"/>
      <c r="F41" s="2296"/>
      <c r="G41" s="2188"/>
      <c r="H41" s="2188"/>
      <c r="I41" s="2189"/>
      <c r="J41" s="2262">
        <v>2</v>
      </c>
      <c r="K41" s="2263" t="s">
        <v>2317</v>
      </c>
      <c r="L41" s="2264"/>
      <c r="M41" s="2264"/>
      <c r="N41" s="2264"/>
      <c r="O41" s="2264"/>
      <c r="P41" s="2265"/>
      <c r="Q41" s="4042"/>
      <c r="R41" s="4045">
        <f>ROUND(R40*Q41,0)</f>
        <v>0</v>
      </c>
      <c r="S41" s="2182"/>
      <c r="T41" s="2182"/>
      <c r="U41" s="2227"/>
      <c r="V41" s="2189"/>
    </row>
    <row r="42" spans="1:23" s="2193" customFormat="1" ht="13.15" customHeight="1">
      <c r="G42" s="2188"/>
      <c r="H42" s="2188"/>
      <c r="I42" s="2189"/>
      <c r="J42" s="4481">
        <v>3</v>
      </c>
      <c r="K42" s="2269" t="s">
        <v>2319</v>
      </c>
      <c r="L42" s="2270"/>
      <c r="M42" s="2271"/>
      <c r="N42" s="2272" t="s">
        <v>2320</v>
      </c>
      <c r="O42" s="2272" t="s">
        <v>2321</v>
      </c>
      <c r="P42" s="2273" t="s">
        <v>2322</v>
      </c>
      <c r="Q42" s="2273" t="s">
        <v>2323</v>
      </c>
      <c r="R42" s="2197" t="s">
        <v>2248</v>
      </c>
      <c r="S42" s="2227"/>
      <c r="T42" s="2227"/>
      <c r="U42" s="2182"/>
      <c r="V42" s="2189"/>
    </row>
    <row r="43" spans="1:23" ht="13.15" customHeight="1">
      <c r="A43" s="2193"/>
      <c r="B43" s="2193"/>
      <c r="C43" s="2193"/>
      <c r="D43" s="2193"/>
      <c r="E43" s="2193"/>
      <c r="F43" s="2193"/>
      <c r="I43" s="2177"/>
      <c r="J43" s="4482"/>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2326</v>
      </c>
      <c r="L44" s="2299" t="s">
        <v>2327</v>
      </c>
      <c r="M44" s="4048"/>
      <c r="N44" s="2299" t="s">
        <v>2328</v>
      </c>
      <c r="O44" s="2282"/>
      <c r="P44" s="2299" t="s">
        <v>2329</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878</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879</v>
      </c>
    </row>
    <row r="6" spans="1:1" ht="18.75">
      <c r="A6" s="1103" t="s">
        <v>880</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104" t="s">
        <v>881</v>
      </c>
    </row>
    <row r="9" spans="1:1" ht="18.75">
      <c r="A9" s="1103" t="s">
        <v>882</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104" t="s">
        <v>883</v>
      </c>
    </row>
    <row r="12" spans="1:1" ht="18.75">
      <c r="A12" s="1102" t="s">
        <v>884</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885</v>
      </c>
    </row>
    <row r="15" spans="1:1" ht="18">
      <c r="A15" s="1105" t="str">
        <f>TEXT(项目基本情况!D3,"yyyy年m月d日;;")&amp;IF(项目基本情况!D3=项目基本情况!B3,"（评估专业人员实地查勘之日）","")</f>
        <v>2026年1月9日（评估专业人员实地查勘之日）</v>
      </c>
    </row>
    <row r="16" spans="1:1" ht="18.75">
      <c r="A16" s="1100" t="s">
        <v>886</v>
      </c>
    </row>
    <row r="17" spans="1:1" ht="75">
      <c r="A17" s="1101" t="s">
        <v>887</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876</v>
      </c>
    </row>
    <row r="24" spans="1:1" ht="18">
      <c r="A24" s="1106" t="str">
        <f>"本次评估采用的主估价方法为"&amp;结果表!K4&amp;"和"&amp;结果表!L4&amp;"。"</f>
        <v>本次评估采用的主估价方法为比较法和收益法。</v>
      </c>
    </row>
    <row r="25" spans="1:1" ht="18">
      <c r="A25" s="1106"/>
    </row>
    <row r="26" spans="1:1" ht="18.75">
      <c r="A26" s="1107" t="s">
        <v>877</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1578</v>
      </c>
      <c r="B1" s="1429"/>
      <c r="C1" s="1429"/>
      <c r="D1" s="1429"/>
      <c r="E1" s="1430"/>
      <c r="F1" s="2076"/>
      <c r="G1" s="1108"/>
      <c r="H1" s="1108"/>
      <c r="I1" s="1108"/>
      <c r="J1" s="1108"/>
      <c r="K1" s="1108"/>
      <c r="L1" s="1108"/>
      <c r="M1" s="1108"/>
      <c r="N1" s="1108"/>
      <c r="O1" s="1108"/>
      <c r="P1" s="1108"/>
      <c r="Q1" s="1108"/>
      <c r="R1" s="1108"/>
      <c r="S1" s="1108"/>
    </row>
    <row r="2" spans="1:22" ht="15.75">
      <c r="A2" s="1431" t="s">
        <v>1439</v>
      </c>
      <c r="B2" s="3170">
        <f ca="1">SUMIF(B6:B13,"&lt;&gt;#ref!",B6:B13)</f>
        <v>225.4248</v>
      </c>
      <c r="C2" s="1432" t="s">
        <v>1571</v>
      </c>
      <c r="D2" s="1433" t="s">
        <v>1572</v>
      </c>
      <c r="E2" s="3172">
        <f>SUM(E6:E13)</f>
        <v>145.47</v>
      </c>
      <c r="F2" s="2076"/>
      <c r="G2" s="1108"/>
      <c r="H2" s="1108"/>
      <c r="I2" s="1108"/>
      <c r="J2" s="1108"/>
      <c r="K2" s="1108"/>
      <c r="L2" s="1108"/>
      <c r="M2" s="1108"/>
      <c r="N2" s="1108"/>
      <c r="O2" s="1108"/>
      <c r="P2" s="1108"/>
      <c r="Q2" s="1108"/>
      <c r="R2" s="1108"/>
      <c r="S2" s="1108"/>
    </row>
    <row r="3" spans="1:22" ht="15.75">
      <c r="A3" s="1431" t="s">
        <v>666</v>
      </c>
      <c r="B3" s="3171">
        <f ca="1">ROUND(B2*10000/E2,0)</f>
        <v>15496</v>
      </c>
      <c r="C3" s="1432" t="s">
        <v>1579</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1573</v>
      </c>
      <c r="B5" s="4496" t="s">
        <v>1574</v>
      </c>
      <c r="C5" s="4497"/>
      <c r="D5" s="2077"/>
      <c r="E5" s="1434" t="s">
        <v>1575</v>
      </c>
      <c r="F5" s="67" t="s">
        <v>1576</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225.4248</v>
      </c>
      <c r="C6" s="1432" t="s">
        <v>1571</v>
      </c>
      <c r="D6" s="2076"/>
      <c r="E6" s="3173">
        <f>IF(OR(A6=0,F6="否"),0,'数据-取费表'!K6+'数据-取费表'!S6)</f>
        <v>145.47</v>
      </c>
      <c r="F6" s="1435" t="s">
        <v>1577</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1571</v>
      </c>
      <c r="D7" s="2076"/>
      <c r="E7" s="3173">
        <f>IF(OR(A7=0,F7="否"),0,'数据-取费表'!K7+'数据-取费表'!S7)</f>
        <v>0</v>
      </c>
      <c r="F7" s="1435" t="s">
        <v>1577</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1571</v>
      </c>
      <c r="D8" s="2076"/>
      <c r="E8" s="3173">
        <f>IF(OR(A8=0,F8="否"),0,'数据-取费表'!K8+'数据-取费表'!S8)</f>
        <v>0</v>
      </c>
      <c r="F8" s="1435" t="s">
        <v>1577</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1571</v>
      </c>
      <c r="D9" s="2076"/>
      <c r="E9" s="3173">
        <f>IF(OR(A9=0,F9="否"),0,'数据-取费表'!K9+'数据-取费表'!S9)</f>
        <v>0</v>
      </c>
      <c r="F9" s="1435" t="s">
        <v>1577</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1571</v>
      </c>
      <c r="D10" s="2076"/>
      <c r="E10" s="3173">
        <f>IF(OR(A10=0,F10="否"),0,'数据-取费表'!K10+'数据-取费表'!S10)</f>
        <v>0</v>
      </c>
      <c r="F10" s="1435" t="s">
        <v>1577</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1571</v>
      </c>
      <c r="D11" s="2076"/>
      <c r="E11" s="3173">
        <f>IF(OR(A11=0,F11="否"),0,'数据-取费表'!K11+'数据-取费表'!S11)</f>
        <v>0</v>
      </c>
      <c r="F11" s="1435" t="s">
        <v>1577</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1571</v>
      </c>
      <c r="D12" s="2076"/>
      <c r="E12" s="3173">
        <f>IF(OR(A12=0,F12="否"),0,'数据-取费表'!K12+'数据-取费表'!S12)</f>
        <v>0</v>
      </c>
      <c r="F12" s="1435" t="s">
        <v>1577</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1571</v>
      </c>
      <c r="D13" s="2078"/>
      <c r="E13" s="3173">
        <f>IF(OR(A13=0,F13="否"),0,'数据-取费表'!K13+'数据-取费表'!S13)</f>
        <v>0</v>
      </c>
      <c r="F13" s="1435" t="s">
        <v>1577</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 sqref="V2"/>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7.375" style="21" bestFit="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2003</v>
      </c>
      <c r="C1" s="4501" t="s">
        <v>2004</v>
      </c>
      <c r="D1" s="4502"/>
      <c r="E1" s="4502"/>
      <c r="F1" s="4502"/>
      <c r="G1" s="4502"/>
      <c r="H1" s="4502"/>
      <c r="I1" s="4502"/>
      <c r="J1" s="4502"/>
      <c r="K1" s="4502"/>
      <c r="L1" s="4502"/>
      <c r="M1" s="4502"/>
      <c r="N1" s="4502"/>
      <c r="O1" s="4502"/>
      <c r="P1" s="4502"/>
      <c r="Q1" s="4502"/>
      <c r="R1" s="4502"/>
      <c r="S1" s="4503"/>
      <c r="T1" s="712" t="s">
        <v>2005</v>
      </c>
    </row>
    <row r="2" spans="1:45" s="485" customFormat="1" ht="38.25">
      <c r="A2" s="713"/>
      <c r="B2" s="482" t="s">
        <v>2006</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800(含)-900</v>
      </c>
      <c r="K2" s="483" t="str">
        <f t="shared" si="0"/>
        <v>900(含)-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f>'比较法-办公'!K104</f>
        <v>900</v>
      </c>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f>'比较法-办公'!K105</f>
        <v>92</v>
      </c>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4" t="s">
        <v>3848</v>
      </c>
      <c r="C5" s="4125" t="s">
        <v>3849</v>
      </c>
      <c r="D5" s="4126" t="s">
        <v>3850</v>
      </c>
      <c r="E5" s="4126" t="s">
        <v>3851</v>
      </c>
      <c r="F5" s="4127" t="s">
        <v>3852</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hidden="1">
      <c r="A7" s="708"/>
      <c r="B7" s="968" t="s">
        <v>2007</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hidden="1"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hidden="1">
      <c r="A9" s="708"/>
      <c r="B9" s="968" t="s">
        <v>2008</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hidden="1"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2009</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2010</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2011</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2012</v>
      </c>
      <c r="B17" s="1665" t="s">
        <v>2013</v>
      </c>
      <c r="C17" s="4115" t="s">
        <v>3810</v>
      </c>
      <c r="D17" s="4116" t="s">
        <v>3811</v>
      </c>
      <c r="E17" s="4116" t="s">
        <v>3812</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2014</v>
      </c>
      <c r="E19" s="971"/>
      <c r="F19" s="971"/>
      <c r="G19" s="971"/>
      <c r="H19" s="760"/>
      <c r="I19" s="78"/>
      <c r="J19" s="78"/>
      <c r="K19" s="78"/>
      <c r="L19" s="78"/>
      <c r="M19" s="78"/>
      <c r="N19" s="78"/>
      <c r="O19" s="78"/>
      <c r="P19" s="78"/>
      <c r="Q19" s="78"/>
      <c r="R19" s="78"/>
      <c r="S19" s="62"/>
    </row>
    <row r="20" spans="1:45" ht="16.5" thickBot="1">
      <c r="A20" s="489" t="s">
        <v>2015</v>
      </c>
      <c r="B20" s="3607">
        <f ca="1">IF(D20="——",S22,S22-F20)</f>
        <v>2066</v>
      </c>
      <c r="C20" s="78"/>
      <c r="D20" s="1667" t="s">
        <v>41</v>
      </c>
      <c r="E20" s="972"/>
      <c r="F20" s="3606" t="e">
        <f ca="1">SUMIF(INDIRECT("'"&amp;H20&amp;"'"&amp;"!A:A"),"承租人权益价值",INDIRECT("'"&amp;H20&amp;"'"&amp;"!c:c"))</f>
        <v>#REF!</v>
      </c>
      <c r="G20" s="712" t="s">
        <v>2016</v>
      </c>
      <c r="H20" s="1668"/>
      <c r="I20" s="78"/>
      <c r="J20" s="78"/>
      <c r="K20" s="78"/>
      <c r="L20" s="78"/>
      <c r="M20" s="78"/>
      <c r="N20" s="78"/>
      <c r="O20" s="78"/>
      <c r="P20" s="78"/>
      <c r="Q20" s="78"/>
      <c r="R20" s="78"/>
      <c r="S20" s="62"/>
    </row>
    <row r="21" spans="1:45" ht="15.75">
      <c r="A21" s="489" t="s">
        <v>2017</v>
      </c>
      <c r="B21" s="3607">
        <f ca="1">ROUND(B20*10000/B22,0)</f>
        <v>18905</v>
      </c>
      <c r="C21" s="78"/>
      <c r="D21" s="78"/>
      <c r="E21" s="78"/>
      <c r="F21" s="78"/>
      <c r="G21" s="78"/>
      <c r="H21" s="78"/>
      <c r="I21" s="78"/>
      <c r="J21" s="78"/>
      <c r="K21" s="78"/>
      <c r="L21" s="78"/>
      <c r="M21" s="78"/>
      <c r="N21" s="78"/>
      <c r="O21" s="78"/>
      <c r="P21" s="78"/>
      <c r="Q21" s="78"/>
      <c r="R21" s="78"/>
      <c r="S21" s="62"/>
      <c r="T21" s="4143" t="s">
        <v>3869</v>
      </c>
      <c r="U21" s="4143" t="s">
        <v>3870</v>
      </c>
    </row>
    <row r="22" spans="1:45">
      <c r="A22" s="219" t="s">
        <v>2018</v>
      </c>
      <c r="B22" s="18">
        <f>SUM(B24:B10000)</f>
        <v>1092.8399999999999</v>
      </c>
      <c r="C22" s="4498" t="s">
        <v>25</v>
      </c>
      <c r="D22" s="4499"/>
      <c r="E22" s="4499"/>
      <c r="F22" s="4499"/>
      <c r="G22" s="4499"/>
      <c r="H22" s="4499"/>
      <c r="I22" s="4499"/>
      <c r="J22" s="4499"/>
      <c r="K22" s="4499"/>
      <c r="L22" s="4499"/>
      <c r="M22" s="4499"/>
      <c r="N22" s="4499"/>
      <c r="O22" s="4499"/>
      <c r="P22" s="4499"/>
      <c r="Q22" s="4500"/>
      <c r="R22" s="2961">
        <f ca="1">ROUND(S22*10000/B22,0)</f>
        <v>18905</v>
      </c>
      <c r="S22" s="2961">
        <f ca="1">SUM(S24:S10000)</f>
        <v>2066</v>
      </c>
      <c r="T22" s="530">
        <f ca="1">SUM(T24:T30)</f>
        <v>20656850</v>
      </c>
      <c r="U22" s="530">
        <f ca="1">ROUND(T22/B22,0)</f>
        <v>18902</v>
      </c>
    </row>
    <row r="23" spans="1:45" s="8" customFormat="1" ht="24">
      <c r="A23" s="7" t="s">
        <v>2019</v>
      </c>
      <c r="B23" s="3601" t="s">
        <v>2020</v>
      </c>
      <c r="C23" s="7" t="s">
        <v>2021</v>
      </c>
      <c r="D23" s="974" t="str">
        <f>B5</f>
        <v>装修</v>
      </c>
      <c r="E23" s="7" t="s">
        <v>2021</v>
      </c>
      <c r="F23" s="974" t="str">
        <f>B7</f>
        <v>修正项3</v>
      </c>
      <c r="G23" s="7" t="s">
        <v>2021</v>
      </c>
      <c r="H23" s="974" t="str">
        <f>B9</f>
        <v>修正项4</v>
      </c>
      <c r="I23" s="7" t="s">
        <v>2021</v>
      </c>
      <c r="J23" s="974" t="str">
        <f>B11</f>
        <v>修正项5</v>
      </c>
      <c r="K23" s="7" t="s">
        <v>2021</v>
      </c>
      <c r="L23" s="974" t="str">
        <f>B13</f>
        <v>修正项6</v>
      </c>
      <c r="M23" s="7" t="s">
        <v>2021</v>
      </c>
      <c r="N23" s="974" t="str">
        <f>B15</f>
        <v>修正项7</v>
      </c>
      <c r="O23" s="7" t="s">
        <v>2021</v>
      </c>
      <c r="P23" s="974" t="str">
        <f>B17</f>
        <v>楼层</v>
      </c>
      <c r="Q23" s="7" t="s">
        <v>2021</v>
      </c>
      <c r="R23" s="7" t="s">
        <v>2022</v>
      </c>
      <c r="S23" s="7" t="s">
        <v>2023</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Sheet1!A2</f>
        <v>503</v>
      </c>
      <c r="B24" s="3602">
        <f>Sheet1!C2</f>
        <v>145.47</v>
      </c>
      <c r="C24" s="3240">
        <v>1</v>
      </c>
      <c r="D24" s="3604" t="s">
        <v>3860</v>
      </c>
      <c r="E24" s="3240">
        <v>1</v>
      </c>
      <c r="F24" s="3604"/>
      <c r="G24" s="3240">
        <v>1</v>
      </c>
      <c r="H24" s="3604"/>
      <c r="I24" s="3240">
        <v>1</v>
      </c>
      <c r="J24" s="3604"/>
      <c r="K24" s="3240">
        <v>1</v>
      </c>
      <c r="L24" s="3604"/>
      <c r="M24" s="3240">
        <v>1</v>
      </c>
      <c r="N24" s="3604"/>
      <c r="O24" s="3240">
        <v>1</v>
      </c>
      <c r="P24" s="3604" t="s">
        <v>3861</v>
      </c>
      <c r="Q24" s="3240">
        <v>1</v>
      </c>
      <c r="R24" s="3599">
        <f ca="1">结果表!G20</f>
        <v>18973</v>
      </c>
      <c r="S24" s="3600">
        <f t="shared" ref="S24:S54" ca="1" si="11">ROUND(R24*B24/10000,0)</f>
        <v>276</v>
      </c>
      <c r="T24" s="4144">
        <f ca="1">ROUND(B24*R24,0)</f>
        <v>2760002</v>
      </c>
      <c r="U24" s="4144"/>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Sheet1!A3</f>
        <v>504</v>
      </c>
      <c r="B25" s="3602">
        <f>Sheet1!C3</f>
        <v>164.45</v>
      </c>
      <c r="C25" s="3241">
        <f>IF(B25="",1,(LOOKUP(B25,$3:$3,$4:$4)-LOOKUP($B$24,$3:$3,$4:$4)+100)/100)</f>
        <v>1</v>
      </c>
      <c r="D25" s="3604" t="s">
        <v>3860</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3861</v>
      </c>
      <c r="Q25" s="3241">
        <f>(SUMIF($17:$17,P25,$18:$18)-SUMIF($17:$17,$P$24,$18:$18)+100)/100</f>
        <v>1</v>
      </c>
      <c r="R25" s="2961">
        <f ca="1">IF(B25="",0,ROUND($R$24*C25*E25*G25*I25*K25*M25*O25*Q25,0))</f>
        <v>18973</v>
      </c>
      <c r="S25" s="3015">
        <f t="shared" ca="1" si="11"/>
        <v>312</v>
      </c>
      <c r="T25" s="4144">
        <f t="shared" ref="T25:T30" ca="1" si="12">ROUND(B25*R25,0)</f>
        <v>3120110</v>
      </c>
      <c r="U25" s="530"/>
    </row>
    <row r="26" spans="1:45">
      <c r="A26" s="4109">
        <f>Sheet1!A4</f>
        <v>505</v>
      </c>
      <c r="B26" s="3602">
        <f>Sheet1!C4</f>
        <v>82.39</v>
      </c>
      <c r="C26" s="3241">
        <f t="shared" ref="C26:C89" si="13">IF(B26="",1,(LOOKUP(B26,$3:$3,$4:$4)-LOOKUP($B$24,$3:$3,$4:$4)+100)/100)</f>
        <v>1</v>
      </c>
      <c r="D26" s="3604" t="s">
        <v>3860</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3861</v>
      </c>
      <c r="Q26" s="3241">
        <f t="shared" ref="Q26:Q89" si="20">(SUMIF($17:$17,P26,$18:$18)-SUMIF($17:$17,$P$24,$18:$18)+100)/100</f>
        <v>1</v>
      </c>
      <c r="R26" s="2961">
        <f t="shared" ref="R26:R89" ca="1" si="21">IF(B26="",0,ROUND($R$24*C26*E26*G26*I26*K26*M26*O26*Q26,0))</f>
        <v>18973</v>
      </c>
      <c r="S26" s="3015">
        <f t="shared" ca="1" si="11"/>
        <v>156</v>
      </c>
      <c r="T26" s="4144">
        <f t="shared" ca="1" si="12"/>
        <v>1563185</v>
      </c>
      <c r="U26" s="530"/>
    </row>
    <row r="27" spans="1:45">
      <c r="A27" s="4109">
        <f>Sheet1!A5</f>
        <v>506</v>
      </c>
      <c r="B27" s="3602">
        <f>Sheet1!C5</f>
        <v>204.26</v>
      </c>
      <c r="C27" s="3241">
        <f t="shared" si="13"/>
        <v>0.99</v>
      </c>
      <c r="D27" s="3604" t="s">
        <v>3860</v>
      </c>
      <c r="E27" s="3241">
        <f t="shared" si="14"/>
        <v>1</v>
      </c>
      <c r="F27" s="3605"/>
      <c r="G27" s="3241">
        <f t="shared" si="15"/>
        <v>1</v>
      </c>
      <c r="H27" s="3605"/>
      <c r="I27" s="3241">
        <f t="shared" si="16"/>
        <v>1</v>
      </c>
      <c r="J27" s="3605"/>
      <c r="K27" s="3241">
        <f t="shared" si="17"/>
        <v>1</v>
      </c>
      <c r="L27" s="3605"/>
      <c r="M27" s="3241">
        <f t="shared" si="18"/>
        <v>1</v>
      </c>
      <c r="N27" s="3605"/>
      <c r="O27" s="3241">
        <f t="shared" si="19"/>
        <v>1</v>
      </c>
      <c r="P27" s="3604" t="s">
        <v>3861</v>
      </c>
      <c r="Q27" s="3241">
        <f t="shared" si="20"/>
        <v>1</v>
      </c>
      <c r="R27" s="2961">
        <f t="shared" ca="1" si="21"/>
        <v>18783</v>
      </c>
      <c r="S27" s="3015">
        <f t="shared" ca="1" si="11"/>
        <v>384</v>
      </c>
      <c r="T27" s="4144">
        <f t="shared" ca="1" si="12"/>
        <v>3836616</v>
      </c>
      <c r="U27" s="530"/>
    </row>
    <row r="28" spans="1:45">
      <c r="A28" s="4109">
        <f>Sheet1!A6</f>
        <v>509</v>
      </c>
      <c r="B28" s="3602">
        <f>Sheet1!C6</f>
        <v>164.45</v>
      </c>
      <c r="C28" s="3241">
        <f t="shared" si="13"/>
        <v>1</v>
      </c>
      <c r="D28" s="3604" t="s">
        <v>3860</v>
      </c>
      <c r="E28" s="3241">
        <f t="shared" si="14"/>
        <v>1</v>
      </c>
      <c r="F28" s="3605"/>
      <c r="G28" s="3241">
        <f t="shared" si="15"/>
        <v>1</v>
      </c>
      <c r="H28" s="3605"/>
      <c r="I28" s="3241">
        <f t="shared" si="16"/>
        <v>1</v>
      </c>
      <c r="J28" s="3605"/>
      <c r="K28" s="3241">
        <f t="shared" si="17"/>
        <v>1</v>
      </c>
      <c r="L28" s="3605"/>
      <c r="M28" s="3241">
        <f t="shared" si="18"/>
        <v>1</v>
      </c>
      <c r="N28" s="3605"/>
      <c r="O28" s="3241">
        <f t="shared" si="19"/>
        <v>1</v>
      </c>
      <c r="P28" s="3604" t="s">
        <v>3861</v>
      </c>
      <c r="Q28" s="3241">
        <f t="shared" si="20"/>
        <v>1</v>
      </c>
      <c r="R28" s="2961">
        <f t="shared" ca="1" si="21"/>
        <v>18973</v>
      </c>
      <c r="S28" s="3015">
        <f t="shared" ca="1" si="11"/>
        <v>312</v>
      </c>
      <c r="T28" s="4144">
        <f t="shared" ca="1" si="12"/>
        <v>3120110</v>
      </c>
      <c r="U28" s="530"/>
    </row>
    <row r="29" spans="1:45">
      <c r="A29" s="4109">
        <f>Sheet1!A7</f>
        <v>510</v>
      </c>
      <c r="B29" s="3602">
        <f>Sheet1!C7</f>
        <v>127.64</v>
      </c>
      <c r="C29" s="3241">
        <f t="shared" si="13"/>
        <v>1</v>
      </c>
      <c r="D29" s="3604" t="s">
        <v>3860</v>
      </c>
      <c r="E29" s="3241">
        <f t="shared" si="14"/>
        <v>1</v>
      </c>
      <c r="F29" s="3605"/>
      <c r="G29" s="3241">
        <f t="shared" si="15"/>
        <v>1</v>
      </c>
      <c r="H29" s="3605"/>
      <c r="I29" s="3241">
        <f t="shared" si="16"/>
        <v>1</v>
      </c>
      <c r="J29" s="3605"/>
      <c r="K29" s="3241">
        <f t="shared" si="17"/>
        <v>1</v>
      </c>
      <c r="L29" s="3605"/>
      <c r="M29" s="3241">
        <f t="shared" si="18"/>
        <v>1</v>
      </c>
      <c r="N29" s="3605"/>
      <c r="O29" s="3241">
        <f t="shared" si="19"/>
        <v>1</v>
      </c>
      <c r="P29" s="3604" t="s">
        <v>3861</v>
      </c>
      <c r="Q29" s="3241">
        <f t="shared" si="20"/>
        <v>1</v>
      </c>
      <c r="R29" s="2961">
        <f t="shared" ca="1" si="21"/>
        <v>18973</v>
      </c>
      <c r="S29" s="3015">
        <f t="shared" ca="1" si="11"/>
        <v>242</v>
      </c>
      <c r="T29" s="4144">
        <f t="shared" ca="1" si="12"/>
        <v>2421714</v>
      </c>
      <c r="U29" s="530"/>
    </row>
    <row r="30" spans="1:45">
      <c r="A30" s="4109">
        <f>Sheet1!A9</f>
        <v>806</v>
      </c>
      <c r="B30" s="3602">
        <f>Sheet1!C9</f>
        <v>204.18</v>
      </c>
      <c r="C30" s="3241">
        <f t="shared" si="13"/>
        <v>0.99</v>
      </c>
      <c r="D30" s="3604" t="s">
        <v>3860</v>
      </c>
      <c r="E30" s="3241">
        <f t="shared" si="14"/>
        <v>1</v>
      </c>
      <c r="F30" s="3605"/>
      <c r="G30" s="3241">
        <f t="shared" si="15"/>
        <v>1</v>
      </c>
      <c r="H30" s="3605"/>
      <c r="I30" s="3241">
        <f t="shared" si="16"/>
        <v>1</v>
      </c>
      <c r="J30" s="3605"/>
      <c r="K30" s="3241">
        <f t="shared" si="17"/>
        <v>1</v>
      </c>
      <c r="L30" s="3605"/>
      <c r="M30" s="3241">
        <f t="shared" si="18"/>
        <v>1</v>
      </c>
      <c r="N30" s="3605"/>
      <c r="O30" s="3241">
        <f t="shared" si="19"/>
        <v>1</v>
      </c>
      <c r="P30" s="3604" t="s">
        <v>3861</v>
      </c>
      <c r="Q30" s="3241">
        <f t="shared" si="20"/>
        <v>1</v>
      </c>
      <c r="R30" s="2961">
        <f t="shared" ca="1" si="21"/>
        <v>18783</v>
      </c>
      <c r="S30" s="3015">
        <f t="shared" ca="1" si="11"/>
        <v>384</v>
      </c>
      <c r="T30" s="4144">
        <f t="shared" ca="1" si="12"/>
        <v>3835113</v>
      </c>
      <c r="U30" s="530"/>
    </row>
    <row r="31" spans="1:45">
      <c r="A31" s="4109"/>
      <c r="B31" s="3602"/>
      <c r="C31" s="3241">
        <f t="shared" si="13"/>
        <v>1</v>
      </c>
      <c r="D31" s="3604"/>
      <c r="E31" s="3241">
        <f t="shared" si="14"/>
        <v>0.03</v>
      </c>
      <c r="F31" s="3605"/>
      <c r="G31" s="3241">
        <f t="shared" si="15"/>
        <v>1</v>
      </c>
      <c r="H31" s="3605"/>
      <c r="I31" s="3241">
        <f t="shared" si="16"/>
        <v>1</v>
      </c>
      <c r="J31" s="3605"/>
      <c r="K31" s="3241">
        <f t="shared" si="17"/>
        <v>1</v>
      </c>
      <c r="L31" s="3605"/>
      <c r="M31" s="3241">
        <f t="shared" si="18"/>
        <v>1</v>
      </c>
      <c r="N31" s="3605"/>
      <c r="O31" s="3241">
        <f t="shared" si="19"/>
        <v>1</v>
      </c>
      <c r="P31" s="3604"/>
      <c r="Q31" s="3241">
        <f t="shared" si="20"/>
        <v>0.02</v>
      </c>
      <c r="R31" s="2961">
        <f t="shared" si="21"/>
        <v>0</v>
      </c>
      <c r="S31" s="3015">
        <f t="shared" si="11"/>
        <v>0</v>
      </c>
      <c r="T31" s="532"/>
    </row>
    <row r="32" spans="1:45">
      <c r="A32" s="3242"/>
      <c r="B32" s="3603"/>
      <c r="C32" s="3241">
        <f t="shared" si="13"/>
        <v>1</v>
      </c>
      <c r="D32" s="3605"/>
      <c r="E32" s="3241">
        <f t="shared" si="14"/>
        <v>0.03</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0.03</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0.03</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0.03</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0.03</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0.03</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0.03</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0.03</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0.03</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0.03</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0.03</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0.03</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0.03</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0.03</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0.03</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0.03</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0.03</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0.03</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0.03</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0.03</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0.03</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0.03</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0.03</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0.03</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0.03</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0.03</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0.03</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0.03</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0.03</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0.03</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0.03</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0.03</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0.03</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0.03</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0.03</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0.03</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0.03</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0.03</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0.03</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0.03</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0.03</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0.03</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0.03</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0.03</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0.03</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0.03</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0.03</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0.03</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0.03</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0.03</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0.03</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0.03</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0.03</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0.03</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0.03</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0.03</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0.03</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0.03</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0.03</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0.03</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0.03</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0.03</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0.03</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0.03</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0.03</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0.03</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0.03</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0.03</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0.03</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0.03</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0.03</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0.03</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0.03</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0.03</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0.03</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0.03</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0.03</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0.03</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0.03</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0.03</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0.03</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0.03</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0.03</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0.03</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0.03</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0.03</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0.03</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0.03</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0.03</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0.03</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0.03</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0.03</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0.03</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0.03</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0.03</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0.03</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0.03</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0.03</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0.03</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0.03</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0.03</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0.03</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0.03</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0.03</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0.03</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0.03</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0.03</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0.03</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0.03</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0.03</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0.03</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0.03</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0.03</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0.03</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0.03</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0.03</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0.03</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0.03</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0.03</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0.03</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0.03</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0.03</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0.03</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0.03</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0.03</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0.03</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0.03</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0.03</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0.03</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0.03</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0.03</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0.03</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0.03</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0.03</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0.03</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0.03</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0.03</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0.03</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0.03</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0.03</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0.03</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0.03</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0.03</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0.03</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0.03</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0.03</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0.03</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0.03</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0.03</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0.03</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0.03</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0.03</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0.03</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0.03</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0.03</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0.03</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0.03</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0.03</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0.03</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0.03</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0.03</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0.03</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0.03</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0.03</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0.03</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0.03</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0.03</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0.03</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0.03</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0.03</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0.03</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0.03</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0.03</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0.03</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0.03</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0.03</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0.03</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0.03</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0.03</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0.03</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0.03</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0.03</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0.03</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0.03</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0.03</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0.03</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0.03</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0.03</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0.03</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0.03</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0.03</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0.03</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0.03</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0.03</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0.03</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0.03</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0.03</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0.03</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0.03</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0.03</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0.03</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0.03</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0.03</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0.03</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0.03</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0.03</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0.03</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0.03</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0.03</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0.03</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0.03</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0.03</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0.03</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0.03</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0.03</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0.03</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0.03</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0.03</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0.03</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0.03</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0.03</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0.03</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0.03</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0.03</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0.03</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0.03</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0.03</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0.03</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0.03</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0.03</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0.03</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0.03</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0.03</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0.03</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0.03</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0.03</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0.03</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0.03</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0.03</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0.03</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0.03</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0.03</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0.03</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0.03</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0.03</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0.03</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0.03</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0.03</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0.03</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0.03</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0.03</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0.03</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0.03</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0.03</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0.03</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0.03</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0.03</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0.03</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0.03</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0.03</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0.03</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0.03</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0.03</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0.03</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0.03</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0.03</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0.03</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0.03</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0.03</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0.03</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0.03</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0.03</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0.03</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0.03</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0.03</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0.03</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0.03</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0.03</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0.03</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0.03</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0.03</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0.03</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0.03</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0.03</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0.03</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0.03</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0.03</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0.03</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0.03</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0.03</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0.03</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0.03</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0.03</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0.03</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0.03</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0.03</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0.03</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0.03</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0.03</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0.03</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0.03</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0.03</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0.03</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0.03</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0.03</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0.03</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0.03</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0.03</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0.03</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0.03</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0.03</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0.03</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0.03</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0.03</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0.03</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0.03</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0.03</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0.03</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0.03</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0.03</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0.03</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0.03</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0.03</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0.03</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0.03</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0.03</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0.03</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0.03</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0.03</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0.03</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0.03</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0.03</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0.03</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0.03</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0.03</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0.03</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0.03</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0.03</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0.03</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0.03</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0.03</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0.03</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0.03</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0.03</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0.03</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0.03</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0.03</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0.03</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0.03</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0.03</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0.03</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0.03</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0.03</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0.03</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0.03</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0.03</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0.03</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0.03</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0.03</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0.03</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0.03</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0.03</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0.03</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0.03</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0.03</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0.03</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0.03</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0.03</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0.03</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0.03</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0.03</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0.03</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0.03</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0.03</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0.03</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0.03</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0.03</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0.03</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0.03</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0.03</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0.03</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0.03</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0.03</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0.03</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0.03</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0.03</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0.03</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0.03</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0.03</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0.03</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0.03</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0.03</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0.03</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0.03</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0.03</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0.03</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0.03</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0.03</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0.03</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0.03</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0.03</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0.03</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0.03</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0.03</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0.03</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0.03</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0.03</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0.03</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0.03</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0.03</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0.03</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0.03</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0.03</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0.03</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0.03</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0.03</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0.03</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0.03</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0.03</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0.03</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0.03</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0.03</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0.03</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0.03</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0.03</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0.03</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0.03</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0.03</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0.03</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0.03</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0.03</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0.03</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0.03</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0.03</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0.03</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0.03</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0.03</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0.03</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0.03</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0.03</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0.03</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0.03</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0.03</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0.03</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0.03</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0.03</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0.03</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0.03</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0.03</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0.03</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0.03</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0.03</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0.03</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0.03</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0.03</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0.03</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0.03</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0.03</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0.03</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0.03</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0.03</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0.03</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0.03</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0.03</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0.03</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0.03</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0.03</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0.03</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0.03</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0.03</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0.03</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0.03</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0.03</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0.03</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0.03</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0.03</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0.03</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0.03</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0.03</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0.03</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0.03</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0.03</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0.03</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0.03</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0.03</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0.03</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0.03</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0.03</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0.03</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0.03</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0.03</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0.03</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0.03</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1580</v>
      </c>
      <c r="B1" s="3128" t="s">
        <v>1686</v>
      </c>
      <c r="C1" s="896" t="s">
        <v>1582</v>
      </c>
      <c r="D1" s="883"/>
      <c r="E1" s="2623"/>
      <c r="F1" s="1438"/>
      <c r="G1" s="893" t="s">
        <v>1687</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1439</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1440</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1441</v>
      </c>
      <c r="B3" s="3175">
        <f>IF(E2="——",C49,ROUND(B2*10000/D3,0))</f>
        <v>0</v>
      </c>
      <c r="C3" s="253" t="s">
        <v>1688</v>
      </c>
      <c r="D3" s="3175">
        <f>IF(D1="",'数据-汇总表'!E3,SUMIF('数据-汇总表'!$C19:$C33,D1,'数据-汇总表'!$E19:$E33))</f>
        <v>145.47</v>
      </c>
      <c r="E3" s="3083" t="s">
        <v>3526</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1689</v>
      </c>
      <c r="B4" s="255"/>
      <c r="C4" s="4407" t="s">
        <v>1690</v>
      </c>
      <c r="D4" s="4408"/>
      <c r="E4" s="4409" t="s">
        <v>1691</v>
      </c>
      <c r="F4" s="4410"/>
      <c r="G4" s="4407" t="s">
        <v>1692</v>
      </c>
      <c r="H4" s="4408"/>
      <c r="I4" s="4407" t="s">
        <v>1693</v>
      </c>
      <c r="J4" s="4408"/>
      <c r="K4" s="3157" t="s">
        <v>1694</v>
      </c>
      <c r="L4" s="2083"/>
      <c r="M4" s="2084"/>
      <c r="N4" s="2084"/>
      <c r="O4" s="2084"/>
      <c r="P4" s="4411" t="s">
        <v>1695</v>
      </c>
      <c r="Q4" s="4412"/>
      <c r="R4" s="4417" t="s">
        <v>1691</v>
      </c>
      <c r="S4" s="4418"/>
      <c r="T4" s="4417" t="s">
        <v>1692</v>
      </c>
      <c r="U4" s="4418"/>
      <c r="V4" s="4423" t="s">
        <v>1693</v>
      </c>
      <c r="W4" s="4423"/>
      <c r="X4" s="984"/>
      <c r="Y4" s="4432" t="s">
        <v>1695</v>
      </c>
      <c r="Z4" s="4433"/>
      <c r="AA4" s="4404" t="s">
        <v>1691</v>
      </c>
      <c r="AB4" s="4504" t="s">
        <v>1692</v>
      </c>
      <c r="AC4" s="4404" t="s">
        <v>1693</v>
      </c>
    </row>
    <row r="5" spans="1:29" ht="15">
      <c r="A5" s="257"/>
      <c r="B5" s="258"/>
      <c r="C5" s="4426" t="s">
        <v>1593</v>
      </c>
      <c r="D5" s="4427"/>
      <c r="E5" s="4441" t="s">
        <v>1594</v>
      </c>
      <c r="F5" s="4442"/>
      <c r="G5" s="4426" t="s">
        <v>1595</v>
      </c>
      <c r="H5" s="4427"/>
      <c r="I5" s="4426" t="s">
        <v>1596</v>
      </c>
      <c r="J5" s="4427"/>
      <c r="K5" s="3157"/>
      <c r="L5" s="2083"/>
      <c r="M5" s="2084"/>
      <c r="N5" s="2084"/>
      <c r="O5" s="2084"/>
      <c r="P5" s="4413"/>
      <c r="Q5" s="4414"/>
      <c r="R5" s="4419"/>
      <c r="S5" s="4420"/>
      <c r="T5" s="4419"/>
      <c r="U5" s="4420"/>
      <c r="V5" s="4423"/>
      <c r="W5" s="4423"/>
      <c r="X5" s="984"/>
      <c r="Y5" s="4434"/>
      <c r="Z5" s="4435"/>
      <c r="AA5" s="4405"/>
      <c r="AB5" s="4504"/>
      <c r="AC5" s="4405"/>
    </row>
    <row r="6" spans="1:29" ht="15.75" thickBot="1">
      <c r="A6" s="259"/>
      <c r="B6" s="260"/>
      <c r="C6" s="4424" t="s">
        <v>1597</v>
      </c>
      <c r="D6" s="4425"/>
      <c r="E6" s="4439" t="s">
        <v>1597</v>
      </c>
      <c r="F6" s="4440"/>
      <c r="G6" s="4424" t="s">
        <v>1597</v>
      </c>
      <c r="H6" s="4425"/>
      <c r="I6" s="4424" t="s">
        <v>1597</v>
      </c>
      <c r="J6" s="4425"/>
      <c r="K6" s="3157" t="s">
        <v>1598</v>
      </c>
      <c r="L6" s="2083"/>
      <c r="M6" s="2084"/>
      <c r="N6" s="2084"/>
      <c r="O6" s="2084"/>
      <c r="P6" s="4415"/>
      <c r="Q6" s="4416"/>
      <c r="R6" s="4419"/>
      <c r="S6" s="4420"/>
      <c r="T6" s="4421"/>
      <c r="U6" s="4422"/>
      <c r="V6" s="4423"/>
      <c r="W6" s="4423"/>
      <c r="X6" s="984"/>
      <c r="Y6" s="4436"/>
      <c r="Z6" s="4437"/>
      <c r="AA6" s="4406"/>
      <c r="AB6" s="4504"/>
      <c r="AC6" s="4406"/>
    </row>
    <row r="7" spans="1:29" s="61" customFormat="1" ht="15.75" thickBot="1">
      <c r="A7" s="261" t="s">
        <v>1599</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428" t="s">
        <v>1600</v>
      </c>
      <c r="Q7" s="4438"/>
      <c r="R7" s="3573" t="s">
        <v>13</v>
      </c>
      <c r="S7" s="3574">
        <f t="shared" ref="S7:S15" si="0">F7</f>
        <v>0</v>
      </c>
      <c r="T7" s="3573" t="s">
        <v>13</v>
      </c>
      <c r="U7" s="3574">
        <f t="shared" ref="U7:U15" si="1">H7</f>
        <v>0</v>
      </c>
      <c r="V7" s="3573" t="s">
        <v>13</v>
      </c>
      <c r="W7" s="3574">
        <f t="shared" ref="W7:W15" si="2">J7</f>
        <v>0</v>
      </c>
      <c r="X7" s="513"/>
      <c r="Y7" s="4430" t="s">
        <v>1600</v>
      </c>
      <c r="Z7" s="4431"/>
      <c r="AA7" s="41" t="e">
        <f>D7/F7</f>
        <v>#DIV/0!</v>
      </c>
      <c r="AB7" s="41" t="e">
        <f>D7/H7</f>
        <v>#DIV/0!</v>
      </c>
      <c r="AC7" s="41" t="e">
        <f>D7/J7</f>
        <v>#DIV/0!</v>
      </c>
    </row>
    <row r="8" spans="1:29" s="61" customFormat="1" ht="15.75" thickBot="1">
      <c r="A8" s="261" t="s">
        <v>1601</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428" t="s">
        <v>1603</v>
      </c>
      <c r="Q8" s="4429"/>
      <c r="R8" s="3573" t="s">
        <v>13</v>
      </c>
      <c r="S8" s="3574">
        <f t="shared" si="0"/>
        <v>100</v>
      </c>
      <c r="T8" s="3573" t="s">
        <v>13</v>
      </c>
      <c r="U8" s="3574">
        <f t="shared" si="1"/>
        <v>100</v>
      </c>
      <c r="V8" s="3573" t="s">
        <v>13</v>
      </c>
      <c r="W8" s="3574">
        <f t="shared" si="2"/>
        <v>100</v>
      </c>
      <c r="X8" s="513"/>
      <c r="Y8" s="4430" t="s">
        <v>1603</v>
      </c>
      <c r="Z8" s="4431"/>
      <c r="AA8" s="41">
        <f t="shared" ref="AA8:AA46" si="3">D8/F8</f>
        <v>1</v>
      </c>
      <c r="AB8" s="41">
        <f t="shared" ref="AB8:AB46" si="4">D8/H8</f>
        <v>1</v>
      </c>
      <c r="AC8" s="41">
        <f t="shared" ref="AC8:AC46" si="5">D8/J8</f>
        <v>1</v>
      </c>
    </row>
    <row r="9" spans="1:29" s="61" customFormat="1">
      <c r="A9" s="266" t="s">
        <v>1604</v>
      </c>
      <c r="B9" s="3085" t="s">
        <v>1605</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402" t="s">
        <v>1606</v>
      </c>
      <c r="Q9" s="1792" t="str">
        <f t="shared" ref="Q9:Q15" si="6">B9</f>
        <v>用途</v>
      </c>
      <c r="R9" s="3573" t="s">
        <v>13</v>
      </c>
      <c r="S9" s="3574">
        <f t="shared" si="0"/>
        <v>100</v>
      </c>
      <c r="T9" s="3573" t="s">
        <v>13</v>
      </c>
      <c r="U9" s="3574">
        <f t="shared" si="1"/>
        <v>100</v>
      </c>
      <c r="V9" s="3573" t="s">
        <v>13</v>
      </c>
      <c r="W9" s="3574">
        <f t="shared" si="2"/>
        <v>100</v>
      </c>
      <c r="X9" s="513"/>
      <c r="Y9" s="4403" t="s">
        <v>1607</v>
      </c>
      <c r="Z9" s="41" t="str">
        <f t="shared" ref="Z9:Z15" si="7">Q9</f>
        <v>用途</v>
      </c>
      <c r="AA9" s="41">
        <f t="shared" si="3"/>
        <v>1</v>
      </c>
      <c r="AB9" s="41">
        <f t="shared" si="4"/>
        <v>1</v>
      </c>
      <c r="AC9" s="41">
        <f t="shared" si="5"/>
        <v>1</v>
      </c>
    </row>
    <row r="10" spans="1:29" s="272" customFormat="1" ht="27">
      <c r="A10" s="270"/>
      <c r="B10" s="3080" t="s">
        <v>1608</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3080" t="s">
        <v>1609</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402"/>
      <c r="Q11" s="1792" t="str">
        <f t="shared" si="6"/>
        <v>容积率</v>
      </c>
      <c r="R11" s="3573" t="s">
        <v>13</v>
      </c>
      <c r="S11" s="3574" t="e">
        <f t="shared" si="0"/>
        <v>#N/A</v>
      </c>
      <c r="T11" s="3573" t="s">
        <v>13</v>
      </c>
      <c r="U11" s="3574" t="e">
        <f t="shared" si="1"/>
        <v>#N/A</v>
      </c>
      <c r="V11" s="3573" t="s">
        <v>13</v>
      </c>
      <c r="W11" s="3574" t="e">
        <f t="shared" si="2"/>
        <v>#N/A</v>
      </c>
      <c r="X11" s="513"/>
      <c r="Y11" s="4403"/>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402"/>
      <c r="Q12" s="1792">
        <f t="shared" si="6"/>
        <v>111</v>
      </c>
      <c r="R12" s="3573" t="s">
        <v>13</v>
      </c>
      <c r="S12" s="3574">
        <f t="shared" si="0"/>
        <v>100</v>
      </c>
      <c r="T12" s="3573" t="s">
        <v>13</v>
      </c>
      <c r="U12" s="3574">
        <f t="shared" si="1"/>
        <v>100</v>
      </c>
      <c r="V12" s="3573" t="s">
        <v>13</v>
      </c>
      <c r="W12" s="3574">
        <f t="shared" si="2"/>
        <v>100</v>
      </c>
      <c r="X12" s="513"/>
      <c r="Y12" s="4403"/>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402"/>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402"/>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41">
        <f t="shared" si="5"/>
        <v>1</v>
      </c>
    </row>
    <row r="15" spans="1:29" ht="15">
      <c r="A15" s="281" t="s">
        <v>1610</v>
      </c>
      <c r="B15" s="3088" t="s">
        <v>1697</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400" t="s">
        <v>1611</v>
      </c>
      <c r="Q15" s="1592" t="str">
        <f t="shared" si="6"/>
        <v>商业繁华度</v>
      </c>
      <c r="R15" s="3575" t="s">
        <v>13</v>
      </c>
      <c r="S15" s="3576">
        <f t="shared" si="0"/>
        <v>100</v>
      </c>
      <c r="T15" s="3575" t="s">
        <v>13</v>
      </c>
      <c r="U15" s="3576">
        <f t="shared" si="1"/>
        <v>100</v>
      </c>
      <c r="V15" s="3575" t="s">
        <v>13</v>
      </c>
      <c r="W15" s="3576">
        <f t="shared" si="2"/>
        <v>100</v>
      </c>
      <c r="X15" s="984"/>
      <c r="Y15" s="4393" t="s">
        <v>1611</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401"/>
      <c r="Q16" s="1592"/>
      <c r="R16" s="3575"/>
      <c r="S16" s="3576"/>
      <c r="T16" s="3575"/>
      <c r="U16" s="3576"/>
      <c r="V16" s="3575"/>
      <c r="W16" s="3576"/>
      <c r="X16" s="984"/>
      <c r="Y16" s="4394"/>
      <c r="Z16" s="982"/>
      <c r="AA16" s="982">
        <v>1</v>
      </c>
      <c r="AB16" s="982">
        <v>1</v>
      </c>
      <c r="AC16" s="982">
        <v>1</v>
      </c>
    </row>
    <row r="17" spans="1:29" ht="15">
      <c r="A17" s="273"/>
      <c r="B17" s="3090" t="s">
        <v>1236</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401"/>
      <c r="Q17" s="1592" t="str">
        <f>B17</f>
        <v>交通便捷度</v>
      </c>
      <c r="R17" s="3575" t="s">
        <v>13</v>
      </c>
      <c r="S17" s="3576">
        <f>F17</f>
        <v>100</v>
      </c>
      <c r="T17" s="3575" t="s">
        <v>13</v>
      </c>
      <c r="U17" s="3576">
        <f>H17</f>
        <v>100</v>
      </c>
      <c r="V17" s="3575" t="s">
        <v>13</v>
      </c>
      <c r="W17" s="3576">
        <f>J17</f>
        <v>100</v>
      </c>
      <c r="X17" s="984"/>
      <c r="Y17" s="4394"/>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401"/>
      <c r="Q18" s="1592"/>
      <c r="R18" s="3575"/>
      <c r="S18" s="3576"/>
      <c r="T18" s="3575"/>
      <c r="U18" s="3576"/>
      <c r="V18" s="3575"/>
      <c r="W18" s="3576"/>
      <c r="X18" s="984"/>
      <c r="Y18" s="4394"/>
      <c r="Z18" s="982"/>
      <c r="AA18" s="982">
        <v>1</v>
      </c>
      <c r="AB18" s="982">
        <v>1</v>
      </c>
      <c r="AC18" s="982">
        <v>1</v>
      </c>
    </row>
    <row r="19" spans="1:29" ht="15">
      <c r="A19" s="273"/>
      <c r="B19" s="3090" t="s">
        <v>1698</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401"/>
      <c r="Q19" s="1592" t="str">
        <f>B19</f>
        <v>公共配套设施</v>
      </c>
      <c r="R19" s="3575" t="s">
        <v>13</v>
      </c>
      <c r="S19" s="3576">
        <f>F19</f>
        <v>100</v>
      </c>
      <c r="T19" s="3575" t="s">
        <v>13</v>
      </c>
      <c r="U19" s="3576">
        <f>H19</f>
        <v>100</v>
      </c>
      <c r="V19" s="3575" t="s">
        <v>13</v>
      </c>
      <c r="W19" s="3576">
        <f>J19</f>
        <v>100</v>
      </c>
      <c r="X19" s="984"/>
      <c r="Y19" s="4394"/>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401"/>
      <c r="Q20" s="1592"/>
      <c r="R20" s="3575"/>
      <c r="S20" s="3576"/>
      <c r="T20" s="3575"/>
      <c r="U20" s="3576"/>
      <c r="V20" s="3575"/>
      <c r="W20" s="3576"/>
      <c r="X20" s="984"/>
      <c r="Y20" s="4394"/>
      <c r="Z20" s="982"/>
      <c r="AA20" s="982">
        <v>1</v>
      </c>
      <c r="AB20" s="982">
        <v>1</v>
      </c>
      <c r="AC20" s="982">
        <v>1</v>
      </c>
    </row>
    <row r="21" spans="1:29" ht="15">
      <c r="A21" s="273"/>
      <c r="B21" s="3092" t="s">
        <v>1699</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401"/>
      <c r="Q21" s="1592" t="str">
        <f>B21</f>
        <v>基础设施水平</v>
      </c>
      <c r="R21" s="3575" t="s">
        <v>13</v>
      </c>
      <c r="S21" s="3576">
        <f>F21</f>
        <v>100</v>
      </c>
      <c r="T21" s="3575" t="s">
        <v>13</v>
      </c>
      <c r="U21" s="3576">
        <f>H21</f>
        <v>100</v>
      </c>
      <c r="V21" s="3575" t="s">
        <v>13</v>
      </c>
      <c r="W21" s="3576">
        <f>J21</f>
        <v>100</v>
      </c>
      <c r="X21" s="984"/>
      <c r="Y21" s="4394"/>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401"/>
      <c r="Q22" s="1592"/>
      <c r="R22" s="3575"/>
      <c r="S22" s="3576"/>
      <c r="T22" s="3575"/>
      <c r="U22" s="3576"/>
      <c r="V22" s="3575"/>
      <c r="W22" s="3576"/>
      <c r="X22" s="984"/>
      <c r="Y22" s="4394"/>
      <c r="Z22" s="982"/>
      <c r="AA22" s="982">
        <v>1</v>
      </c>
      <c r="AB22" s="982">
        <v>1</v>
      </c>
      <c r="AC22" s="982">
        <v>1</v>
      </c>
    </row>
    <row r="23" spans="1:29" ht="15">
      <c r="A23" s="273"/>
      <c r="B23" s="3090" t="s">
        <v>1238</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401"/>
      <c r="Q23" s="1592" t="str">
        <f>B23</f>
        <v>自然及人文环境</v>
      </c>
      <c r="R23" s="3575" t="s">
        <v>13</v>
      </c>
      <c r="S23" s="3576">
        <f>F23</f>
        <v>100</v>
      </c>
      <c r="T23" s="3575" t="s">
        <v>13</v>
      </c>
      <c r="U23" s="3576">
        <f>H23</f>
        <v>100</v>
      </c>
      <c r="V23" s="3575" t="s">
        <v>13</v>
      </c>
      <c r="W23" s="3576">
        <f>J23</f>
        <v>100</v>
      </c>
      <c r="X23" s="984"/>
      <c r="Y23" s="4394"/>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401"/>
      <c r="Q24" s="1592"/>
      <c r="R24" s="3575"/>
      <c r="S24" s="3576"/>
      <c r="T24" s="3575"/>
      <c r="U24" s="3576"/>
      <c r="V24" s="3575"/>
      <c r="W24" s="3576"/>
      <c r="X24" s="984"/>
      <c r="Y24" s="4394"/>
      <c r="Z24" s="982"/>
      <c r="AA24" s="982">
        <v>1</v>
      </c>
      <c r="AB24" s="982">
        <v>1</v>
      </c>
      <c r="AC24" s="982">
        <v>1</v>
      </c>
    </row>
    <row r="25" spans="1:29" ht="15">
      <c r="A25" s="273"/>
      <c r="B25" s="3080" t="s">
        <v>1700</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401"/>
      <c r="Q25" s="1592" t="str">
        <f t="shared" ref="Q25:Q46" si="11">B25</f>
        <v>临街状况</v>
      </c>
      <c r="R25" s="3575" t="s">
        <v>13</v>
      </c>
      <c r="S25" s="3576">
        <f>F25</f>
        <v>100</v>
      </c>
      <c r="T25" s="3575" t="s">
        <v>13</v>
      </c>
      <c r="U25" s="3576">
        <f>H25</f>
        <v>100</v>
      </c>
      <c r="V25" s="3575" t="s">
        <v>13</v>
      </c>
      <c r="W25" s="3576">
        <f>J25</f>
        <v>100</v>
      </c>
      <c r="X25" s="984"/>
      <c r="Y25" s="4394"/>
      <c r="Z25" s="982" t="str">
        <f>Q25</f>
        <v>临街状况</v>
      </c>
      <c r="AA25" s="982">
        <f t="shared" si="3"/>
        <v>1</v>
      </c>
      <c r="AB25" s="982">
        <f t="shared" si="4"/>
        <v>1</v>
      </c>
      <c r="AC25" s="982">
        <f t="shared" si="5"/>
        <v>1</v>
      </c>
    </row>
    <row r="26" spans="1:29" ht="15">
      <c r="A26" s="273"/>
      <c r="B26" s="3093" t="s">
        <v>1701</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401"/>
      <c r="Q26" s="1592" t="str">
        <f t="shared" si="11"/>
        <v>平面位置/可视性</v>
      </c>
      <c r="R26" s="3575" t="s">
        <v>13</v>
      </c>
      <c r="S26" s="3576">
        <f>F26</f>
        <v>100</v>
      </c>
      <c r="T26" s="3575" t="s">
        <v>13</v>
      </c>
      <c r="U26" s="3576">
        <f>H26</f>
        <v>100</v>
      </c>
      <c r="V26" s="3575" t="s">
        <v>13</v>
      </c>
      <c r="W26" s="3576">
        <f>J26</f>
        <v>100</v>
      </c>
      <c r="X26" s="984"/>
      <c r="Y26" s="4394"/>
      <c r="Z26" s="982" t="str">
        <f>Q26</f>
        <v>平面位置/可视性</v>
      </c>
      <c r="AA26" s="982">
        <f t="shared" si="3"/>
        <v>1</v>
      </c>
      <c r="AB26" s="982">
        <f t="shared" si="4"/>
        <v>1</v>
      </c>
      <c r="AC26" s="982">
        <f t="shared" si="5"/>
        <v>1</v>
      </c>
    </row>
    <row r="27" spans="1:29" s="61" customFormat="1" ht="15">
      <c r="A27" s="276"/>
      <c r="B27" s="3090" t="s">
        <v>1702</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401"/>
      <c r="Q27" s="1792" t="str">
        <f t="shared" si="11"/>
        <v>人流量</v>
      </c>
      <c r="R27" s="3573" t="s">
        <v>13</v>
      </c>
      <c r="S27" s="3574">
        <f>F27</f>
        <v>100</v>
      </c>
      <c r="T27" s="3573" t="s">
        <v>13</v>
      </c>
      <c r="U27" s="3574">
        <f>H27</f>
        <v>100</v>
      </c>
      <c r="V27" s="3573" t="s">
        <v>13</v>
      </c>
      <c r="W27" s="3574">
        <f>J27</f>
        <v>100</v>
      </c>
      <c r="X27" s="513"/>
      <c r="Y27" s="4394"/>
      <c r="Z27" s="41" t="str">
        <f>Q27</f>
        <v>人流量</v>
      </c>
      <c r="AA27" s="982">
        <f>D27/F27</f>
        <v>1</v>
      </c>
      <c r="AB27" s="982">
        <f>D27/H27</f>
        <v>1</v>
      </c>
      <c r="AC27" s="982">
        <f>D27/J27</f>
        <v>1</v>
      </c>
    </row>
    <row r="28" spans="1:29" ht="15">
      <c r="A28" s="273"/>
      <c r="B28" s="3080" t="s">
        <v>1703</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401"/>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94"/>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401"/>
      <c r="Q29" s="1592">
        <f t="shared" si="11"/>
        <v>111</v>
      </c>
      <c r="R29" s="3575" t="s">
        <v>13</v>
      </c>
      <c r="S29" s="3576">
        <f t="shared" si="12"/>
        <v>100</v>
      </c>
      <c r="T29" s="3575" t="s">
        <v>13</v>
      </c>
      <c r="U29" s="3576">
        <f t="shared" si="13"/>
        <v>100</v>
      </c>
      <c r="V29" s="3575" t="s">
        <v>13</v>
      </c>
      <c r="W29" s="3576">
        <f t="shared" si="14"/>
        <v>100</v>
      </c>
      <c r="X29" s="984"/>
      <c r="Y29" s="4394"/>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401"/>
      <c r="Q30" s="1592">
        <f t="shared" si="11"/>
        <v>111</v>
      </c>
      <c r="R30" s="3575" t="s">
        <v>13</v>
      </c>
      <c r="S30" s="3576">
        <f t="shared" si="12"/>
        <v>100</v>
      </c>
      <c r="T30" s="3575" t="s">
        <v>13</v>
      </c>
      <c r="U30" s="3576">
        <f t="shared" si="13"/>
        <v>100</v>
      </c>
      <c r="V30" s="3575" t="s">
        <v>13</v>
      </c>
      <c r="W30" s="3576">
        <f t="shared" si="14"/>
        <v>100</v>
      </c>
      <c r="X30" s="984"/>
      <c r="Y30" s="4394"/>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401"/>
      <c r="Q31" s="1592">
        <f t="shared" si="11"/>
        <v>111</v>
      </c>
      <c r="R31" s="3575" t="s">
        <v>13</v>
      </c>
      <c r="S31" s="3576">
        <f t="shared" si="12"/>
        <v>100</v>
      </c>
      <c r="T31" s="3575" t="s">
        <v>13</v>
      </c>
      <c r="U31" s="3576">
        <f t="shared" si="13"/>
        <v>100</v>
      </c>
      <c r="V31" s="3575" t="s">
        <v>13</v>
      </c>
      <c r="W31" s="3576">
        <f t="shared" si="14"/>
        <v>100</v>
      </c>
      <c r="X31" s="984"/>
      <c r="Y31" s="4394"/>
      <c r="Z31" s="982">
        <f t="shared" si="15"/>
        <v>111</v>
      </c>
      <c r="AA31" s="982">
        <f t="shared" si="3"/>
        <v>1</v>
      </c>
      <c r="AB31" s="982">
        <f t="shared" si="4"/>
        <v>1</v>
      </c>
      <c r="AC31" s="982">
        <f t="shared" si="5"/>
        <v>1</v>
      </c>
    </row>
    <row r="32" spans="1:29" ht="15">
      <c r="A32" s="281" t="s">
        <v>1614</v>
      </c>
      <c r="B32" s="3085" t="s">
        <v>1704</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395" t="s">
        <v>1616</v>
      </c>
      <c r="Q32" s="1592" t="str">
        <f t="shared" si="11"/>
        <v>商业类型</v>
      </c>
      <c r="R32" s="3575" t="s">
        <v>13</v>
      </c>
      <c r="S32" s="3576">
        <f t="shared" si="12"/>
        <v>100</v>
      </c>
      <c r="T32" s="3575" t="s">
        <v>13</v>
      </c>
      <c r="U32" s="3576">
        <f t="shared" si="13"/>
        <v>100</v>
      </c>
      <c r="V32" s="3575" t="s">
        <v>13</v>
      </c>
      <c r="W32" s="3576">
        <f t="shared" si="14"/>
        <v>100</v>
      </c>
      <c r="X32" s="984"/>
      <c r="Y32" s="4398" t="s">
        <v>1616</v>
      </c>
      <c r="Z32" s="982" t="str">
        <f t="shared" si="15"/>
        <v>商业类型</v>
      </c>
      <c r="AA32" s="982">
        <f t="shared" si="3"/>
        <v>1</v>
      </c>
      <c r="AB32" s="982">
        <f t="shared" si="4"/>
        <v>1</v>
      </c>
      <c r="AC32" s="982">
        <f t="shared" si="5"/>
        <v>1</v>
      </c>
    </row>
    <row r="33" spans="1:29" s="298" customFormat="1" ht="15">
      <c r="A33" s="296"/>
      <c r="B33" s="3080" t="s">
        <v>1617</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396"/>
      <c r="Q33" s="410" t="str">
        <f t="shared" si="11"/>
        <v>项目建筑规模</v>
      </c>
      <c r="R33" s="3577" t="s">
        <v>13</v>
      </c>
      <c r="S33" s="3578" t="e">
        <f t="shared" si="12"/>
        <v>#N/A</v>
      </c>
      <c r="T33" s="3577" t="s">
        <v>13</v>
      </c>
      <c r="U33" s="3578" t="e">
        <f t="shared" si="13"/>
        <v>#N/A</v>
      </c>
      <c r="V33" s="3577" t="s">
        <v>13</v>
      </c>
      <c r="W33" s="3578" t="e">
        <f t="shared" si="14"/>
        <v>#N/A</v>
      </c>
      <c r="X33" s="518"/>
      <c r="Y33" s="4398"/>
      <c r="Z33" s="519" t="str">
        <f t="shared" si="15"/>
        <v>项目建筑规模</v>
      </c>
      <c r="AA33" s="982" t="e">
        <f t="shared" si="3"/>
        <v>#N/A</v>
      </c>
      <c r="AB33" s="982" t="e">
        <f t="shared" si="4"/>
        <v>#N/A</v>
      </c>
      <c r="AC33" s="982" t="e">
        <f t="shared" si="5"/>
        <v>#N/A</v>
      </c>
    </row>
    <row r="34" spans="1:29" ht="15">
      <c r="A34" s="299"/>
      <c r="B34" s="3080" t="s">
        <v>1618</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396"/>
      <c r="Q34" s="1592" t="str">
        <f t="shared" si="11"/>
        <v>建筑结构</v>
      </c>
      <c r="R34" s="3575" t="s">
        <v>13</v>
      </c>
      <c r="S34" s="3576">
        <f t="shared" si="12"/>
        <v>100</v>
      </c>
      <c r="T34" s="3575" t="s">
        <v>13</v>
      </c>
      <c r="U34" s="3576">
        <f t="shared" si="13"/>
        <v>100</v>
      </c>
      <c r="V34" s="3575" t="s">
        <v>13</v>
      </c>
      <c r="W34" s="3576">
        <f t="shared" si="14"/>
        <v>100</v>
      </c>
      <c r="X34" s="984"/>
      <c r="Y34" s="4398"/>
      <c r="Z34" s="982" t="str">
        <f t="shared" si="15"/>
        <v>建筑结构</v>
      </c>
      <c r="AA34" s="982">
        <f t="shared" si="3"/>
        <v>1</v>
      </c>
      <c r="AB34" s="982">
        <f t="shared" si="4"/>
        <v>1</v>
      </c>
      <c r="AC34" s="982">
        <f t="shared" si="5"/>
        <v>1</v>
      </c>
    </row>
    <row r="35" spans="1:29" ht="15">
      <c r="A35" s="299"/>
      <c r="B35" s="3080" t="s">
        <v>1705</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396"/>
      <c r="Q35" s="1592" t="str">
        <f t="shared" si="11"/>
        <v>公共部分装修</v>
      </c>
      <c r="R35" s="3575" t="s">
        <v>13</v>
      </c>
      <c r="S35" s="3576">
        <f t="shared" si="12"/>
        <v>100</v>
      </c>
      <c r="T35" s="3575" t="s">
        <v>13</v>
      </c>
      <c r="U35" s="3576">
        <f t="shared" si="13"/>
        <v>100</v>
      </c>
      <c r="V35" s="3575" t="s">
        <v>13</v>
      </c>
      <c r="W35" s="3576">
        <f t="shared" si="14"/>
        <v>100</v>
      </c>
      <c r="X35" s="984"/>
      <c r="Y35" s="4398"/>
      <c r="Z35" s="982" t="str">
        <f t="shared" si="15"/>
        <v>公共部分装修</v>
      </c>
      <c r="AA35" s="982">
        <f t="shared" si="3"/>
        <v>1</v>
      </c>
      <c r="AB35" s="982">
        <f t="shared" si="4"/>
        <v>1</v>
      </c>
      <c r="AC35" s="982">
        <f t="shared" si="5"/>
        <v>1</v>
      </c>
    </row>
    <row r="36" spans="1:29" ht="15">
      <c r="A36" s="299"/>
      <c r="B36" s="3080" t="s">
        <v>1706</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396"/>
      <c r="Q36" s="1592" t="str">
        <f t="shared" si="11"/>
        <v>成新度</v>
      </c>
      <c r="R36" s="3575" t="s">
        <v>13</v>
      </c>
      <c r="S36" s="3576" t="e">
        <f t="shared" si="12"/>
        <v>#N/A</v>
      </c>
      <c r="T36" s="3575" t="s">
        <v>13</v>
      </c>
      <c r="U36" s="3576" t="e">
        <f t="shared" si="13"/>
        <v>#N/A</v>
      </c>
      <c r="V36" s="3575" t="s">
        <v>13</v>
      </c>
      <c r="W36" s="3576" t="e">
        <f t="shared" si="14"/>
        <v>#N/A</v>
      </c>
      <c r="X36" s="984"/>
      <c r="Y36" s="4398"/>
      <c r="Z36" s="982" t="str">
        <f t="shared" si="15"/>
        <v>成新度</v>
      </c>
      <c r="AA36" s="982" t="e">
        <f t="shared" si="3"/>
        <v>#N/A</v>
      </c>
      <c r="AB36" s="982" t="e">
        <f t="shared" si="4"/>
        <v>#N/A</v>
      </c>
      <c r="AC36" s="982" t="e">
        <f t="shared" si="5"/>
        <v>#N/A</v>
      </c>
    </row>
    <row r="37" spans="1:29" s="61" customFormat="1" ht="15">
      <c r="A37" s="300"/>
      <c r="B37" s="3080" t="s">
        <v>1707</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396"/>
      <c r="Q37" s="1792" t="str">
        <f t="shared" si="11"/>
        <v>市政基础设施</v>
      </c>
      <c r="R37" s="3573" t="s">
        <v>13</v>
      </c>
      <c r="S37" s="3574">
        <f t="shared" si="12"/>
        <v>100</v>
      </c>
      <c r="T37" s="3573" t="s">
        <v>13</v>
      </c>
      <c r="U37" s="3574">
        <f t="shared" si="13"/>
        <v>100</v>
      </c>
      <c r="V37" s="3573" t="s">
        <v>13</v>
      </c>
      <c r="W37" s="3574">
        <f t="shared" si="14"/>
        <v>100</v>
      </c>
      <c r="X37" s="513"/>
      <c r="Y37" s="4398"/>
      <c r="Z37" s="41" t="str">
        <f t="shared" si="15"/>
        <v>市政基础设施</v>
      </c>
      <c r="AA37" s="41">
        <f t="shared" si="3"/>
        <v>1</v>
      </c>
      <c r="AB37" s="41">
        <f t="shared" si="4"/>
        <v>1</v>
      </c>
      <c r="AC37" s="41">
        <f t="shared" si="5"/>
        <v>1</v>
      </c>
    </row>
    <row r="38" spans="1:29" ht="15">
      <c r="A38" s="299"/>
      <c r="B38" s="3080" t="s">
        <v>1708</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96" t="s">
        <v>1616</v>
      </c>
      <c r="Q38" s="1592" t="str">
        <f t="shared" si="11"/>
        <v>业态</v>
      </c>
      <c r="R38" s="3575" t="s">
        <v>13</v>
      </c>
      <c r="S38" s="3576">
        <f t="shared" si="12"/>
        <v>100</v>
      </c>
      <c r="T38" s="3575" t="s">
        <v>13</v>
      </c>
      <c r="U38" s="3576">
        <f t="shared" si="13"/>
        <v>100</v>
      </c>
      <c r="V38" s="3575" t="s">
        <v>13</v>
      </c>
      <c r="W38" s="3576">
        <f t="shared" si="14"/>
        <v>100</v>
      </c>
      <c r="X38" s="984"/>
      <c r="Y38" s="4398" t="s">
        <v>1616</v>
      </c>
      <c r="Z38" s="982" t="str">
        <f t="shared" si="15"/>
        <v>业态</v>
      </c>
      <c r="AA38" s="982">
        <f t="shared" si="3"/>
        <v>1</v>
      </c>
      <c r="AB38" s="982">
        <f t="shared" si="4"/>
        <v>1</v>
      </c>
      <c r="AC38" s="982">
        <f t="shared" si="5"/>
        <v>1</v>
      </c>
    </row>
    <row r="39" spans="1:29" ht="15">
      <c r="A39" s="299"/>
      <c r="B39" s="3080" t="s">
        <v>1709</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396"/>
      <c r="Q39" s="1592" t="str">
        <f t="shared" si="11"/>
        <v>层高</v>
      </c>
      <c r="R39" s="3575" t="s">
        <v>13</v>
      </c>
      <c r="S39" s="3576">
        <f t="shared" si="12"/>
        <v>100</v>
      </c>
      <c r="T39" s="3575" t="s">
        <v>13</v>
      </c>
      <c r="U39" s="3576">
        <f t="shared" si="13"/>
        <v>100</v>
      </c>
      <c r="V39" s="3575" t="s">
        <v>13</v>
      </c>
      <c r="W39" s="3576">
        <f t="shared" si="14"/>
        <v>100</v>
      </c>
      <c r="X39" s="984"/>
      <c r="Y39" s="4398"/>
      <c r="Z39" s="982" t="str">
        <f t="shared" si="15"/>
        <v>层高</v>
      </c>
      <c r="AA39" s="982">
        <f t="shared" si="3"/>
        <v>1</v>
      </c>
      <c r="AB39" s="982">
        <f t="shared" si="4"/>
        <v>1</v>
      </c>
      <c r="AC39" s="982">
        <f t="shared" si="5"/>
        <v>1</v>
      </c>
    </row>
    <row r="40" spans="1:29" ht="15">
      <c r="A40" s="299"/>
      <c r="B40" s="3080" t="s">
        <v>1710</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96"/>
      <c r="Q40" s="1592" t="str">
        <f t="shared" si="11"/>
        <v>单套建筑面积</v>
      </c>
      <c r="R40" s="3575" t="s">
        <v>13</v>
      </c>
      <c r="S40" s="3576">
        <f t="shared" si="12"/>
        <v>100</v>
      </c>
      <c r="T40" s="3575" t="s">
        <v>13</v>
      </c>
      <c r="U40" s="3576">
        <f t="shared" si="13"/>
        <v>100</v>
      </c>
      <c r="V40" s="3575" t="s">
        <v>13</v>
      </c>
      <c r="W40" s="3576">
        <f t="shared" si="14"/>
        <v>100</v>
      </c>
      <c r="X40" s="984"/>
      <c r="Y40" s="4398"/>
      <c r="Z40" s="982" t="str">
        <f t="shared" si="15"/>
        <v>单套建筑面积</v>
      </c>
      <c r="AA40" s="982">
        <f t="shared" si="3"/>
        <v>1</v>
      </c>
      <c r="AB40" s="982">
        <f t="shared" si="4"/>
        <v>1</v>
      </c>
      <c r="AC40" s="982">
        <f t="shared" si="5"/>
        <v>1</v>
      </c>
    </row>
    <row r="41" spans="1:29" s="298" customFormat="1" ht="15">
      <c r="A41" s="296"/>
      <c r="B41" s="3133" t="s">
        <v>1711</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396"/>
      <c r="Q41" s="410" t="str">
        <f t="shared" si="11"/>
        <v>进深比</v>
      </c>
      <c r="R41" s="3577" t="s">
        <v>13</v>
      </c>
      <c r="S41" s="3578">
        <f t="shared" si="12"/>
        <v>100</v>
      </c>
      <c r="T41" s="3577" t="s">
        <v>13</v>
      </c>
      <c r="U41" s="3578">
        <f t="shared" si="13"/>
        <v>100</v>
      </c>
      <c r="V41" s="3577" t="s">
        <v>13</v>
      </c>
      <c r="W41" s="3578">
        <f t="shared" si="14"/>
        <v>100</v>
      </c>
      <c r="X41" s="518"/>
      <c r="Y41" s="4398"/>
      <c r="Z41" s="519" t="str">
        <f t="shared" si="15"/>
        <v>进深比</v>
      </c>
      <c r="AA41" s="982">
        <f t="shared" si="3"/>
        <v>1</v>
      </c>
      <c r="AB41" s="982">
        <f t="shared" si="4"/>
        <v>1</v>
      </c>
      <c r="AC41" s="982">
        <f t="shared" si="5"/>
        <v>1</v>
      </c>
    </row>
    <row r="42" spans="1:29" ht="15">
      <c r="A42" s="299"/>
      <c r="B42" s="3080" t="s">
        <v>1712</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396"/>
      <c r="Q42" s="1592" t="str">
        <f t="shared" si="11"/>
        <v>内部装修</v>
      </c>
      <c r="R42" s="3575" t="s">
        <v>13</v>
      </c>
      <c r="S42" s="3576">
        <f t="shared" si="12"/>
        <v>100</v>
      </c>
      <c r="T42" s="3575" t="s">
        <v>13</v>
      </c>
      <c r="U42" s="3576">
        <f t="shared" si="13"/>
        <v>100</v>
      </c>
      <c r="V42" s="3575" t="s">
        <v>13</v>
      </c>
      <c r="W42" s="3576">
        <f t="shared" si="14"/>
        <v>100</v>
      </c>
      <c r="X42" s="984"/>
      <c r="Y42" s="4398"/>
      <c r="Z42" s="982" t="str">
        <f t="shared" si="15"/>
        <v>内部装修</v>
      </c>
      <c r="AA42" s="982">
        <f t="shared" si="3"/>
        <v>1</v>
      </c>
      <c r="AB42" s="982">
        <f t="shared" si="4"/>
        <v>1</v>
      </c>
      <c r="AC42" s="982">
        <f t="shared" si="5"/>
        <v>1</v>
      </c>
    </row>
    <row r="43" spans="1:29" ht="15">
      <c r="A43" s="299"/>
      <c r="B43" s="3080" t="s">
        <v>1627</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396"/>
      <c r="Q43" s="1592" t="str">
        <f t="shared" si="11"/>
        <v>内部装修维护情况</v>
      </c>
      <c r="R43" s="3575" t="s">
        <v>13</v>
      </c>
      <c r="S43" s="3576">
        <f t="shared" si="12"/>
        <v>100</v>
      </c>
      <c r="T43" s="3575" t="s">
        <v>13</v>
      </c>
      <c r="U43" s="3576">
        <f t="shared" si="13"/>
        <v>100</v>
      </c>
      <c r="V43" s="3575" t="s">
        <v>13</v>
      </c>
      <c r="W43" s="3576">
        <f t="shared" si="14"/>
        <v>100</v>
      </c>
      <c r="X43" s="984"/>
      <c r="Y43" s="4398"/>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96"/>
      <c r="Q44" s="1792">
        <f t="shared" si="11"/>
        <v>111</v>
      </c>
      <c r="R44" s="3573" t="s">
        <v>13</v>
      </c>
      <c r="S44" s="3574">
        <f t="shared" si="12"/>
        <v>100</v>
      </c>
      <c r="T44" s="3573" t="s">
        <v>13</v>
      </c>
      <c r="U44" s="3574">
        <f t="shared" si="13"/>
        <v>100</v>
      </c>
      <c r="V44" s="3573" t="s">
        <v>13</v>
      </c>
      <c r="W44" s="3574">
        <f t="shared" si="14"/>
        <v>100</v>
      </c>
      <c r="X44" s="513"/>
      <c r="Y44" s="4398"/>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96"/>
      <c r="Q45" s="1592">
        <f t="shared" si="11"/>
        <v>111</v>
      </c>
      <c r="R45" s="3575" t="s">
        <v>13</v>
      </c>
      <c r="S45" s="3576">
        <f t="shared" si="12"/>
        <v>100</v>
      </c>
      <c r="T45" s="3575" t="s">
        <v>13</v>
      </c>
      <c r="U45" s="3576">
        <f t="shared" si="13"/>
        <v>100</v>
      </c>
      <c r="V45" s="3575" t="s">
        <v>13</v>
      </c>
      <c r="W45" s="3576">
        <f t="shared" si="14"/>
        <v>100</v>
      </c>
      <c r="X45" s="984"/>
      <c r="Y45" s="4398"/>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97"/>
      <c r="Q46" s="1592">
        <f t="shared" si="11"/>
        <v>111</v>
      </c>
      <c r="R46" s="3575" t="s">
        <v>13</v>
      </c>
      <c r="S46" s="3576">
        <f t="shared" si="12"/>
        <v>100</v>
      </c>
      <c r="T46" s="3575" t="s">
        <v>13</v>
      </c>
      <c r="U46" s="3576">
        <f t="shared" si="13"/>
        <v>100</v>
      </c>
      <c r="V46" s="3575" t="s">
        <v>13</v>
      </c>
      <c r="W46" s="3576">
        <f t="shared" si="14"/>
        <v>100</v>
      </c>
      <c r="X46" s="984"/>
      <c r="Y46" s="4399"/>
      <c r="Z46" s="982">
        <f t="shared" si="15"/>
        <v>111</v>
      </c>
      <c r="AA46" s="982">
        <f t="shared" si="3"/>
        <v>1</v>
      </c>
      <c r="AB46" s="982">
        <f t="shared" si="4"/>
        <v>1</v>
      </c>
      <c r="AC46" s="982">
        <f t="shared" si="5"/>
        <v>1</v>
      </c>
    </row>
    <row r="47" spans="1:29" ht="15">
      <c r="A47" s="305" t="s">
        <v>1628</v>
      </c>
      <c r="B47" s="306"/>
      <c r="C47" s="830" t="s">
        <v>0</v>
      </c>
      <c r="D47" s="307"/>
      <c r="E47" s="3216"/>
      <c r="F47" s="3567"/>
      <c r="G47" s="3653"/>
      <c r="H47" s="3569"/>
      <c r="I47" s="3216"/>
      <c r="J47" s="3569"/>
      <c r="K47" s="3156"/>
      <c r="L47" s="2091"/>
      <c r="M47" s="2084"/>
      <c r="N47" s="2084"/>
      <c r="O47" s="2084"/>
      <c r="P47" s="4391" t="str">
        <f>A47</f>
        <v>成交单价（元/平方米）</v>
      </c>
      <c r="Q47" s="4391"/>
      <c r="R47" s="4392">
        <f>E47</f>
        <v>0</v>
      </c>
      <c r="S47" s="4392"/>
      <c r="T47" s="4392">
        <f>G47</f>
        <v>0</v>
      </c>
      <c r="U47" s="4392"/>
      <c r="V47" s="4392">
        <f>I47</f>
        <v>0</v>
      </c>
      <c r="W47" s="4392"/>
      <c r="X47" s="284"/>
      <c r="Y47" s="520"/>
      <c r="Z47" s="284"/>
      <c r="AA47" s="284"/>
      <c r="AB47" s="284"/>
      <c r="AC47" s="284"/>
    </row>
    <row r="48" spans="1:29" ht="15.75" thickBot="1">
      <c r="A48" s="308" t="s">
        <v>1713</v>
      </c>
      <c r="B48" s="309"/>
      <c r="C48" s="3199" t="e">
        <f>R49</f>
        <v>#DIV/0!</v>
      </c>
      <c r="D48" s="1787" t="s">
        <v>2054</v>
      </c>
      <c r="E48" s="3201" t="e">
        <f>R48</f>
        <v>#DIV/0!</v>
      </c>
      <c r="F48" s="3094"/>
      <c r="G48" s="3199" t="e">
        <f>T48</f>
        <v>#DIV/0!</v>
      </c>
      <c r="H48" s="3094"/>
      <c r="I48" s="3201" t="e">
        <f>V48</f>
        <v>#DIV/0!</v>
      </c>
      <c r="J48" s="3094"/>
      <c r="K48" s="3149">
        <f>F48+H48+J48</f>
        <v>0</v>
      </c>
      <c r="L48" s="2091"/>
      <c r="M48" s="2084"/>
      <c r="N48" s="2084"/>
      <c r="O48" s="2084"/>
      <c r="P48" s="4391" t="str">
        <f>A48</f>
        <v>比较价值（元/平方米）</v>
      </c>
      <c r="Q48" s="4391"/>
      <c r="R48" s="4392" t="e">
        <f>IF(F1="售价",ROUND(PRODUCT(R47,AA7:AA46),0),ROUND(PRODUCT(R47,AA7:AA46),1))</f>
        <v>#DIV/0!</v>
      </c>
      <c r="S48" s="4392"/>
      <c r="T48" s="4392" t="e">
        <f>IF(F1="售价",ROUND(PRODUCT(T47,AB7:AB46),0),ROUND(PRODUCT(T47,AB7:AB46),1))</f>
        <v>#DIV/0!</v>
      </c>
      <c r="U48" s="4392"/>
      <c r="V48" s="4392" t="e">
        <f>IF(F1="售价",ROUND(PRODUCT(V47,AC7:AC46),0),ROUND(PRODUCT(V47,AC7:AC46),1))</f>
        <v>#DIV/0!</v>
      </c>
      <c r="W48" s="4392"/>
      <c r="X48" s="284"/>
      <c r="Y48" s="284"/>
      <c r="Z48" s="284"/>
      <c r="AA48" s="284"/>
      <c r="AB48" s="284"/>
      <c r="AC48" s="284"/>
    </row>
    <row r="49" spans="1:29" ht="15.75" thickBot="1">
      <c r="A49" s="310" t="s">
        <v>1714</v>
      </c>
      <c r="B49" s="311"/>
      <c r="C49" s="3217" t="e">
        <f>R49</f>
        <v>#DIV/0!</v>
      </c>
      <c r="D49" s="260"/>
      <c r="E49" s="260"/>
      <c r="F49" s="260"/>
      <c r="G49" s="260"/>
      <c r="H49" s="260"/>
      <c r="I49" s="260"/>
      <c r="J49" s="260"/>
      <c r="K49" s="521"/>
      <c r="L49" s="2091"/>
      <c r="M49" s="2084"/>
      <c r="N49" s="2084"/>
      <c r="O49" s="2084"/>
      <c r="P49" s="4388" t="str">
        <f>A49</f>
        <v>估价对象XX用房的比较价值（楼面单价，元/平方米）</v>
      </c>
      <c r="Q49" s="4389"/>
      <c r="R49" s="4390" t="e">
        <f>IF(F1="售价",ROUND(IF(D48="简单平均",AVERAGE(R48:V48),R48*F48+T48*H48+V48*J48),0),ROUND(IF(D48="简单平均",AVERAGE(R48:V48),R48*F48+T48*H48+V48*J48),1))</f>
        <v>#DIV/0!</v>
      </c>
      <c r="S49" s="4390"/>
      <c r="T49" s="4390"/>
      <c r="U49" s="4390"/>
      <c r="V49" s="4390"/>
      <c r="W49" s="4390"/>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1715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1716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1717</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1718</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1599</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1636</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1601</v>
      </c>
      <c r="B61" s="326"/>
      <c r="C61" s="338" t="s">
        <v>1696</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1639</v>
      </c>
      <c r="B63" s="341" t="s">
        <v>1605</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1608</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1609</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1610</v>
      </c>
      <c r="B76" s="341" t="s">
        <v>1640</v>
      </c>
      <c r="C76" s="383" t="s">
        <v>1641</v>
      </c>
      <c r="D76" s="383" t="s">
        <v>1642</v>
      </c>
      <c r="E76" s="383" t="s">
        <v>1643</v>
      </c>
      <c r="F76" s="383" t="s">
        <v>1644</v>
      </c>
      <c r="G76" s="383" t="s">
        <v>1645</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1646</v>
      </c>
      <c r="C78" s="387" t="s">
        <v>1641</v>
      </c>
      <c r="D78" s="387" t="s">
        <v>1642</v>
      </c>
      <c r="E78" s="387" t="s">
        <v>1643</v>
      </c>
      <c r="F78" s="387" t="s">
        <v>1644</v>
      </c>
      <c r="G78" s="387" t="s">
        <v>1645</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1647</v>
      </c>
      <c r="C80" s="387" t="s">
        <v>1641</v>
      </c>
      <c r="D80" s="387" t="s">
        <v>1642</v>
      </c>
      <c r="E80" s="387" t="s">
        <v>1643</v>
      </c>
      <c r="F80" s="387" t="s">
        <v>1644</v>
      </c>
      <c r="G80" s="387" t="s">
        <v>1645</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1699</v>
      </c>
      <c r="C82" s="454" t="s">
        <v>1719</v>
      </c>
      <c r="D82" s="454" t="s">
        <v>1720</v>
      </c>
      <c r="E82" s="454" t="s">
        <v>1721</v>
      </c>
      <c r="F82" s="454" t="s">
        <v>1722</v>
      </c>
      <c r="G82" s="454" t="s">
        <v>1723</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1653</v>
      </c>
      <c r="C84" s="387" t="s">
        <v>1641</v>
      </c>
      <c r="D84" s="387" t="s">
        <v>1642</v>
      </c>
      <c r="E84" s="387" t="s">
        <v>1643</v>
      </c>
      <c r="F84" s="387" t="s">
        <v>1644</v>
      </c>
      <c r="G84" s="387" t="s">
        <v>1645</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1724</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1614</v>
      </c>
      <c r="B100" s="341" t="s">
        <v>1725</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1657</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1658</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1660</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1169</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1662</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1726</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1727</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1728</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1729</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1664</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1665</v>
      </c>
      <c r="C124" s="387" t="s">
        <v>1641</v>
      </c>
      <c r="D124" s="387" t="s">
        <v>1642</v>
      </c>
      <c r="E124" s="387" t="s">
        <v>1643</v>
      </c>
      <c r="F124" s="387" t="s">
        <v>1644</v>
      </c>
      <c r="G124" s="387" t="s">
        <v>1645</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1580</v>
      </c>
      <c r="B1" s="1497" t="s">
        <v>1746</v>
      </c>
      <c r="C1" s="882" t="s">
        <v>1582</v>
      </c>
      <c r="D1" s="883"/>
      <c r="E1" s="2629"/>
      <c r="F1" s="1438"/>
      <c r="G1" s="893" t="s">
        <v>1687</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1439</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1440</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1441</v>
      </c>
      <c r="B3" s="3175">
        <f>IF(E2="——",C43,ROUND(B2*10000/D3,0))</f>
        <v>0</v>
      </c>
      <c r="C3" s="253" t="s">
        <v>1688</v>
      </c>
      <c r="D3" s="3175">
        <f>IF(D1="",'数据-汇总表'!E3,SUMIF('数据-汇总表'!$C19:$C33,D1,'数据-汇总表'!$E19:$E33))</f>
        <v>145.47</v>
      </c>
      <c r="E3" s="3083" t="s">
        <v>3526</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1689</v>
      </c>
      <c r="B4" s="255"/>
      <c r="C4" s="4450" t="s">
        <v>1690</v>
      </c>
      <c r="D4" s="4451"/>
      <c r="E4" s="4452" t="s">
        <v>1691</v>
      </c>
      <c r="F4" s="4453"/>
      <c r="G4" s="4450" t="s">
        <v>1692</v>
      </c>
      <c r="H4" s="4451"/>
      <c r="I4" s="4450" t="s">
        <v>1693</v>
      </c>
      <c r="J4" s="4451"/>
      <c r="K4" s="415" t="s">
        <v>1694</v>
      </c>
      <c r="L4" s="645"/>
      <c r="M4" s="646"/>
      <c r="N4" s="646"/>
      <c r="O4" s="646"/>
      <c r="P4" s="4411" t="s">
        <v>1695</v>
      </c>
      <c r="Q4" s="4412"/>
      <c r="R4" s="4417" t="s">
        <v>1691</v>
      </c>
      <c r="S4" s="4418"/>
      <c r="T4" s="4417" t="s">
        <v>1692</v>
      </c>
      <c r="U4" s="4418"/>
      <c r="V4" s="4423" t="s">
        <v>1693</v>
      </c>
      <c r="W4" s="4423"/>
      <c r="X4" s="984"/>
      <c r="Y4" s="4432" t="s">
        <v>1695</v>
      </c>
      <c r="Z4" s="4433"/>
      <c r="AA4" s="4404" t="s">
        <v>1691</v>
      </c>
      <c r="AB4" s="4405" t="s">
        <v>1692</v>
      </c>
      <c r="AC4" s="4404" t="s">
        <v>1693</v>
      </c>
    </row>
    <row r="5" spans="1:29" ht="15">
      <c r="A5" s="257"/>
      <c r="B5" s="258"/>
      <c r="C5" s="4468" t="s">
        <v>1593</v>
      </c>
      <c r="D5" s="4464"/>
      <c r="E5" s="4510" t="s">
        <v>1594</v>
      </c>
      <c r="F5" s="4473"/>
      <c r="G5" s="4468" t="s">
        <v>1595</v>
      </c>
      <c r="H5" s="4464"/>
      <c r="I5" s="4468" t="s">
        <v>1596</v>
      </c>
      <c r="J5" s="4464"/>
      <c r="K5" s="415"/>
      <c r="L5" s="645"/>
      <c r="M5" s="646"/>
      <c r="N5" s="646"/>
      <c r="O5" s="646"/>
      <c r="P5" s="4413"/>
      <c r="Q5" s="4414"/>
      <c r="R5" s="4419"/>
      <c r="S5" s="4420"/>
      <c r="T5" s="4419"/>
      <c r="U5" s="4420"/>
      <c r="V5" s="4423"/>
      <c r="W5" s="4423"/>
      <c r="X5" s="984"/>
      <c r="Y5" s="4434"/>
      <c r="Z5" s="4435"/>
      <c r="AA5" s="4405"/>
      <c r="AB5" s="4405"/>
      <c r="AC5" s="4405"/>
    </row>
    <row r="6" spans="1:29" ht="15.75" thickBot="1">
      <c r="A6" s="259"/>
      <c r="B6" s="260"/>
      <c r="C6" s="4461" t="s">
        <v>1597</v>
      </c>
      <c r="D6" s="4462"/>
      <c r="E6" s="4469" t="s">
        <v>1597</v>
      </c>
      <c r="F6" s="4470"/>
      <c r="G6" s="4461" t="s">
        <v>1597</v>
      </c>
      <c r="H6" s="4462"/>
      <c r="I6" s="4461" t="s">
        <v>1597</v>
      </c>
      <c r="J6" s="4462"/>
      <c r="K6" s="415" t="s">
        <v>1598</v>
      </c>
      <c r="L6" s="645"/>
      <c r="M6" s="646"/>
      <c r="N6" s="646"/>
      <c r="O6" s="646"/>
      <c r="P6" s="4415"/>
      <c r="Q6" s="4416"/>
      <c r="R6" s="4419"/>
      <c r="S6" s="4420"/>
      <c r="T6" s="4421"/>
      <c r="U6" s="4422"/>
      <c r="V6" s="4423"/>
      <c r="W6" s="4423"/>
      <c r="X6" s="984"/>
      <c r="Y6" s="4436"/>
      <c r="Z6" s="4437"/>
      <c r="AA6" s="4406"/>
      <c r="AB6" s="4406"/>
      <c r="AC6" s="4406"/>
    </row>
    <row r="7" spans="1:29" s="61" customFormat="1" ht="15.75" thickBot="1">
      <c r="A7" s="261" t="s">
        <v>1599</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428" t="s">
        <v>1600</v>
      </c>
      <c r="Q7" s="4438"/>
      <c r="R7" s="3573" t="s">
        <v>13</v>
      </c>
      <c r="S7" s="3574">
        <f t="shared" ref="S7:S15" si="0">F7</f>
        <v>0</v>
      </c>
      <c r="T7" s="3573" t="s">
        <v>13</v>
      </c>
      <c r="U7" s="3574">
        <f t="shared" ref="U7:U15" si="1">H7</f>
        <v>0</v>
      </c>
      <c r="V7" s="3573" t="s">
        <v>13</v>
      </c>
      <c r="W7" s="3574">
        <f t="shared" ref="W7:W15" si="2">J7</f>
        <v>0</v>
      </c>
      <c r="X7" s="513"/>
      <c r="Y7" s="4430" t="s">
        <v>1600</v>
      </c>
      <c r="Z7" s="4431"/>
      <c r="AA7" s="41" t="e">
        <f>D7/F7</f>
        <v>#DIV/0!</v>
      </c>
      <c r="AB7" s="41" t="e">
        <f>D7/H7</f>
        <v>#DIV/0!</v>
      </c>
      <c r="AC7" s="41" t="e">
        <f>D7/J7</f>
        <v>#DIV/0!</v>
      </c>
    </row>
    <row r="8" spans="1:29" s="61" customFormat="1" ht="15.75" thickBot="1">
      <c r="A8" s="261" t="s">
        <v>1601</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428" t="s">
        <v>1603</v>
      </c>
      <c r="Q8" s="4429"/>
      <c r="R8" s="3573" t="s">
        <v>13</v>
      </c>
      <c r="S8" s="3574">
        <f t="shared" si="0"/>
        <v>100</v>
      </c>
      <c r="T8" s="3573" t="s">
        <v>13</v>
      </c>
      <c r="U8" s="3574">
        <f t="shared" si="1"/>
        <v>100</v>
      </c>
      <c r="V8" s="3573" t="s">
        <v>13</v>
      </c>
      <c r="W8" s="3574">
        <f t="shared" si="2"/>
        <v>100</v>
      </c>
      <c r="X8" s="513"/>
      <c r="Y8" s="4430" t="s">
        <v>1603</v>
      </c>
      <c r="Z8" s="4431"/>
      <c r="AA8" s="41">
        <f t="shared" ref="AA8:AA40" si="3">D8/F8</f>
        <v>1</v>
      </c>
      <c r="AB8" s="41">
        <f t="shared" ref="AB8:AB40" si="4">D8/H8</f>
        <v>1</v>
      </c>
      <c r="AC8" s="41">
        <f t="shared" ref="AC8:AC40" si="5">D8/J8</f>
        <v>1</v>
      </c>
    </row>
    <row r="9" spans="1:29" s="61" customFormat="1">
      <c r="A9" s="266" t="s">
        <v>1604</v>
      </c>
      <c r="B9" s="47" t="s">
        <v>1605</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91" t="s">
        <v>1606</v>
      </c>
      <c r="Q9" s="1792" t="str">
        <f t="shared" ref="Q9:Q15" si="6">B9</f>
        <v>用途</v>
      </c>
      <c r="R9" s="3573" t="s">
        <v>13</v>
      </c>
      <c r="S9" s="3574">
        <f t="shared" si="0"/>
        <v>100</v>
      </c>
      <c r="T9" s="3573" t="s">
        <v>13</v>
      </c>
      <c r="U9" s="3574">
        <f t="shared" si="1"/>
        <v>100</v>
      </c>
      <c r="V9" s="3573" t="s">
        <v>13</v>
      </c>
      <c r="W9" s="3574">
        <f t="shared" si="2"/>
        <v>100</v>
      </c>
      <c r="X9" s="513"/>
      <c r="Y9" s="4403" t="s">
        <v>1607</v>
      </c>
      <c r="Z9" s="41" t="str">
        <f t="shared" ref="Z9:Z15" si="7">Q9</f>
        <v>用途</v>
      </c>
      <c r="AA9" s="41">
        <f t="shared" si="3"/>
        <v>1</v>
      </c>
      <c r="AB9" s="41">
        <f t="shared" si="4"/>
        <v>1</v>
      </c>
      <c r="AC9" s="41">
        <f t="shared" si="5"/>
        <v>1</v>
      </c>
    </row>
    <row r="10" spans="1:29" s="272" customFormat="1" ht="27">
      <c r="A10" s="270"/>
      <c r="B10" s="271" t="s">
        <v>1608</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91"/>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271" t="s">
        <v>1609</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91"/>
      <c r="Q11" s="1792" t="str">
        <f t="shared" si="6"/>
        <v>容积率</v>
      </c>
      <c r="R11" s="3573" t="s">
        <v>13</v>
      </c>
      <c r="S11" s="3574">
        <f t="shared" si="0"/>
        <v>100</v>
      </c>
      <c r="T11" s="3573" t="s">
        <v>13</v>
      </c>
      <c r="U11" s="3574">
        <f t="shared" si="1"/>
        <v>100</v>
      </c>
      <c r="V11" s="3573" t="s">
        <v>13</v>
      </c>
      <c r="W11" s="3574">
        <f t="shared" si="2"/>
        <v>100</v>
      </c>
      <c r="X11" s="513"/>
      <c r="Y11" s="4403"/>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91"/>
      <c r="Q12" s="1792">
        <f t="shared" si="6"/>
        <v>111</v>
      </c>
      <c r="R12" s="3573" t="s">
        <v>13</v>
      </c>
      <c r="S12" s="3574">
        <f t="shared" si="0"/>
        <v>100</v>
      </c>
      <c r="T12" s="3573" t="s">
        <v>13</v>
      </c>
      <c r="U12" s="3574">
        <f t="shared" si="1"/>
        <v>100</v>
      </c>
      <c r="V12" s="3573" t="s">
        <v>13</v>
      </c>
      <c r="W12" s="3574">
        <f t="shared" si="2"/>
        <v>100</v>
      </c>
      <c r="X12" s="513"/>
      <c r="Y12" s="4403"/>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91"/>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91"/>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41">
        <f t="shared" si="5"/>
        <v>1</v>
      </c>
    </row>
    <row r="15" spans="1:29" ht="15">
      <c r="A15" s="281" t="s">
        <v>1610</v>
      </c>
      <c r="B15" s="45" t="s">
        <v>1747</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505" t="s">
        <v>1611</v>
      </c>
      <c r="Q15" s="1592" t="str">
        <f t="shared" si="6"/>
        <v>产业集聚程度</v>
      </c>
      <c r="R15" s="3575" t="s">
        <v>13</v>
      </c>
      <c r="S15" s="3576">
        <f t="shared" si="0"/>
        <v>100</v>
      </c>
      <c r="T15" s="3575" t="s">
        <v>13</v>
      </c>
      <c r="U15" s="3576">
        <f t="shared" si="1"/>
        <v>100</v>
      </c>
      <c r="V15" s="3575" t="s">
        <v>13</v>
      </c>
      <c r="W15" s="3576">
        <f t="shared" si="2"/>
        <v>100</v>
      </c>
      <c r="X15" s="984"/>
      <c r="Y15" s="4393" t="s">
        <v>1611</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506"/>
      <c r="Q16" s="1592"/>
      <c r="R16" s="3575"/>
      <c r="S16" s="3576"/>
      <c r="T16" s="3575"/>
      <c r="U16" s="3576"/>
      <c r="V16" s="3575"/>
      <c r="W16" s="3576"/>
      <c r="X16" s="984"/>
      <c r="Y16" s="4394"/>
      <c r="Z16" s="982"/>
      <c r="AA16" s="982">
        <v>1</v>
      </c>
      <c r="AB16" s="982">
        <v>1</v>
      </c>
      <c r="AC16" s="982">
        <v>1</v>
      </c>
    </row>
    <row r="17" spans="1:29" ht="15">
      <c r="A17" s="273"/>
      <c r="B17" s="288" t="s">
        <v>1236</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506"/>
      <c r="Q17" s="1592" t="str">
        <f>B17</f>
        <v>交通便捷度</v>
      </c>
      <c r="R17" s="3575" t="s">
        <v>13</v>
      </c>
      <c r="S17" s="3576">
        <f>F17</f>
        <v>100</v>
      </c>
      <c r="T17" s="3575" t="s">
        <v>13</v>
      </c>
      <c r="U17" s="3576">
        <f>H17</f>
        <v>100</v>
      </c>
      <c r="V17" s="3575" t="s">
        <v>13</v>
      </c>
      <c r="W17" s="3576">
        <f>J17</f>
        <v>100</v>
      </c>
      <c r="X17" s="984"/>
      <c r="Y17" s="4394"/>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506"/>
      <c r="Q18" s="1592"/>
      <c r="R18" s="3575"/>
      <c r="S18" s="3576"/>
      <c r="T18" s="3575"/>
      <c r="U18" s="3576"/>
      <c r="V18" s="3575"/>
      <c r="W18" s="3576"/>
      <c r="X18" s="984"/>
      <c r="Y18" s="4394"/>
      <c r="Z18" s="982"/>
      <c r="AA18" s="982">
        <v>1</v>
      </c>
      <c r="AB18" s="982">
        <v>1</v>
      </c>
      <c r="AC18" s="982">
        <v>1</v>
      </c>
    </row>
    <row r="19" spans="1:29" ht="15">
      <c r="A19" s="273"/>
      <c r="B19" s="288" t="s">
        <v>1732</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506"/>
      <c r="Q19" s="1592" t="str">
        <f>B19</f>
        <v>公共配套设施</v>
      </c>
      <c r="R19" s="3575" t="s">
        <v>13</v>
      </c>
      <c r="S19" s="3576">
        <f>F19</f>
        <v>100</v>
      </c>
      <c r="T19" s="3575" t="s">
        <v>13</v>
      </c>
      <c r="U19" s="3576">
        <f>H19</f>
        <v>100</v>
      </c>
      <c r="V19" s="3575" t="s">
        <v>13</v>
      </c>
      <c r="W19" s="3576">
        <f>J19</f>
        <v>100</v>
      </c>
      <c r="X19" s="984"/>
      <c r="Y19" s="4394"/>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506"/>
      <c r="Q20" s="1592"/>
      <c r="R20" s="3575"/>
      <c r="S20" s="3576"/>
      <c r="T20" s="3575"/>
      <c r="U20" s="3576"/>
      <c r="V20" s="3575"/>
      <c r="W20" s="3576"/>
      <c r="X20" s="984"/>
      <c r="Y20" s="4394"/>
      <c r="Z20" s="982"/>
      <c r="AA20" s="982">
        <v>1</v>
      </c>
      <c r="AB20" s="982">
        <v>1</v>
      </c>
      <c r="AC20" s="982">
        <v>1</v>
      </c>
    </row>
    <row r="21" spans="1:29" ht="15">
      <c r="A21" s="273"/>
      <c r="B21" s="823" t="s">
        <v>1733</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506"/>
      <c r="Q21" s="1592" t="str">
        <f>B21</f>
        <v>基础设施水平</v>
      </c>
      <c r="R21" s="3575" t="s">
        <v>13</v>
      </c>
      <c r="S21" s="3576">
        <f>F21</f>
        <v>100</v>
      </c>
      <c r="T21" s="3575" t="s">
        <v>13</v>
      </c>
      <c r="U21" s="3576">
        <f>H21</f>
        <v>100</v>
      </c>
      <c r="V21" s="3575" t="s">
        <v>13</v>
      </c>
      <c r="W21" s="3576">
        <f>J21</f>
        <v>100</v>
      </c>
      <c r="X21" s="984"/>
      <c r="Y21" s="4394"/>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506"/>
      <c r="Q22" s="1592"/>
      <c r="R22" s="3575"/>
      <c r="S22" s="3576"/>
      <c r="T22" s="3575"/>
      <c r="U22" s="3576"/>
      <c r="V22" s="3575"/>
      <c r="W22" s="3576"/>
      <c r="X22" s="984"/>
      <c r="Y22" s="4394"/>
      <c r="Z22" s="982"/>
      <c r="AA22" s="982">
        <v>1</v>
      </c>
      <c r="AB22" s="982">
        <v>1</v>
      </c>
      <c r="AC22" s="982">
        <v>1</v>
      </c>
    </row>
    <row r="23" spans="1:29" ht="15">
      <c r="A23" s="273"/>
      <c r="B23" s="288" t="s">
        <v>1734</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506"/>
      <c r="Q23" s="1592" t="str">
        <f>B23</f>
        <v>环境质量</v>
      </c>
      <c r="R23" s="3575" t="s">
        <v>13</v>
      </c>
      <c r="S23" s="3576">
        <f>F23</f>
        <v>100</v>
      </c>
      <c r="T23" s="3575" t="s">
        <v>13</v>
      </c>
      <c r="U23" s="3576">
        <f>H23</f>
        <v>100</v>
      </c>
      <c r="V23" s="3575" t="s">
        <v>13</v>
      </c>
      <c r="W23" s="3576">
        <f>J23</f>
        <v>100</v>
      </c>
      <c r="X23" s="984"/>
      <c r="Y23" s="4394"/>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506"/>
      <c r="Q24" s="1592"/>
      <c r="R24" s="3575"/>
      <c r="S24" s="3576"/>
      <c r="T24" s="3575"/>
      <c r="U24" s="3576"/>
      <c r="V24" s="3575"/>
      <c r="W24" s="3576"/>
      <c r="X24" s="984"/>
      <c r="Y24" s="4394"/>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506"/>
      <c r="Q25" s="1592">
        <f>B25</f>
        <v>111</v>
      </c>
      <c r="R25" s="3575" t="s">
        <v>13</v>
      </c>
      <c r="S25" s="3576">
        <f>F25</f>
        <v>100</v>
      </c>
      <c r="T25" s="3575" t="s">
        <v>13</v>
      </c>
      <c r="U25" s="3576">
        <f>H25</f>
        <v>100</v>
      </c>
      <c r="V25" s="3575" t="s">
        <v>13</v>
      </c>
      <c r="W25" s="3576">
        <f>J25</f>
        <v>100</v>
      </c>
      <c r="X25" s="984"/>
      <c r="Y25" s="4394"/>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506"/>
      <c r="Q26" s="1592">
        <f t="shared" ref="Q26:Q40" si="11">B26</f>
        <v>111</v>
      </c>
      <c r="R26" s="3575" t="s">
        <v>13</v>
      </c>
      <c r="S26" s="3576">
        <f>F26</f>
        <v>100</v>
      </c>
      <c r="T26" s="3575" t="s">
        <v>13</v>
      </c>
      <c r="U26" s="3576">
        <f>H26</f>
        <v>100</v>
      </c>
      <c r="V26" s="3575" t="s">
        <v>13</v>
      </c>
      <c r="W26" s="3576">
        <f>J26</f>
        <v>100</v>
      </c>
      <c r="X26" s="984"/>
      <c r="Y26" s="4394"/>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506"/>
      <c r="Q27" s="1792">
        <f t="shared" si="11"/>
        <v>111</v>
      </c>
      <c r="R27" s="3573" t="s">
        <v>13</v>
      </c>
      <c r="S27" s="3574">
        <f>F27</f>
        <v>100</v>
      </c>
      <c r="T27" s="3573" t="s">
        <v>13</v>
      </c>
      <c r="U27" s="3574">
        <f>H27</f>
        <v>100</v>
      </c>
      <c r="V27" s="3573" t="s">
        <v>13</v>
      </c>
      <c r="W27" s="3574">
        <f>J27</f>
        <v>100</v>
      </c>
      <c r="X27" s="513"/>
      <c r="Y27" s="4394"/>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506"/>
      <c r="Q28" s="1592">
        <f t="shared" si="11"/>
        <v>111</v>
      </c>
      <c r="R28" s="3575" t="s">
        <v>13</v>
      </c>
      <c r="S28" s="3576">
        <f t="shared" ref="S28:S40" si="12">F28</f>
        <v>100</v>
      </c>
      <c r="T28" s="3575" t="s">
        <v>13</v>
      </c>
      <c r="U28" s="3576">
        <f t="shared" ref="U28:U40" si="13">H28</f>
        <v>100</v>
      </c>
      <c r="V28" s="3575" t="s">
        <v>13</v>
      </c>
      <c r="W28" s="3576">
        <f t="shared" ref="W28:W40" si="14">J28</f>
        <v>100</v>
      </c>
      <c r="X28" s="984"/>
      <c r="Y28" s="4394"/>
      <c r="Z28" s="982">
        <f t="shared" ref="Z28:Z40" si="15">Q28</f>
        <v>111</v>
      </c>
      <c r="AA28" s="982">
        <f t="shared" si="3"/>
        <v>1</v>
      </c>
      <c r="AB28" s="982">
        <f t="shared" si="4"/>
        <v>1</v>
      </c>
      <c r="AC28" s="982">
        <f t="shared" si="5"/>
        <v>1</v>
      </c>
    </row>
    <row r="29" spans="1:29" ht="28.5">
      <c r="A29" s="295" t="s">
        <v>1614</v>
      </c>
      <c r="B29" s="47" t="s">
        <v>1737</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507" t="s">
        <v>1616</v>
      </c>
      <c r="Q29" s="1592" t="str">
        <f t="shared" si="11"/>
        <v>建筑类型</v>
      </c>
      <c r="R29" s="3575" t="s">
        <v>13</v>
      </c>
      <c r="S29" s="3576">
        <f t="shared" si="12"/>
        <v>100</v>
      </c>
      <c r="T29" s="3575" t="s">
        <v>13</v>
      </c>
      <c r="U29" s="3576">
        <f t="shared" si="13"/>
        <v>100</v>
      </c>
      <c r="V29" s="3575" t="s">
        <v>13</v>
      </c>
      <c r="W29" s="3576">
        <f t="shared" si="14"/>
        <v>100</v>
      </c>
      <c r="X29" s="984"/>
      <c r="Y29" s="4398" t="s">
        <v>1616</v>
      </c>
      <c r="Z29" s="982" t="str">
        <f t="shared" si="15"/>
        <v>建筑类型</v>
      </c>
      <c r="AA29" s="982">
        <f t="shared" si="3"/>
        <v>1</v>
      </c>
      <c r="AB29" s="982">
        <f t="shared" si="4"/>
        <v>1</v>
      </c>
      <c r="AC29" s="982">
        <f t="shared" si="5"/>
        <v>1</v>
      </c>
    </row>
    <row r="30" spans="1:29" s="298" customFormat="1" ht="15">
      <c r="A30" s="296"/>
      <c r="B30" s="271" t="s">
        <v>1617</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508"/>
      <c r="Q30" s="410" t="str">
        <f t="shared" si="11"/>
        <v>项目建筑规模</v>
      </c>
      <c r="R30" s="3577" t="s">
        <v>13</v>
      </c>
      <c r="S30" s="3578" t="e">
        <f t="shared" si="12"/>
        <v>#N/A</v>
      </c>
      <c r="T30" s="3577" t="s">
        <v>13</v>
      </c>
      <c r="U30" s="3578" t="e">
        <f t="shared" si="13"/>
        <v>#N/A</v>
      </c>
      <c r="V30" s="3577" t="s">
        <v>13</v>
      </c>
      <c r="W30" s="3578" t="e">
        <f t="shared" si="14"/>
        <v>#N/A</v>
      </c>
      <c r="X30" s="518"/>
      <c r="Y30" s="4398"/>
      <c r="Z30" s="519" t="str">
        <f t="shared" si="15"/>
        <v>项目建筑规模</v>
      </c>
      <c r="AA30" s="982" t="e">
        <f t="shared" si="3"/>
        <v>#N/A</v>
      </c>
      <c r="AB30" s="982" t="e">
        <f t="shared" si="4"/>
        <v>#N/A</v>
      </c>
      <c r="AC30" s="982" t="e">
        <f t="shared" si="5"/>
        <v>#N/A</v>
      </c>
    </row>
    <row r="31" spans="1:29" ht="15">
      <c r="A31" s="299"/>
      <c r="B31" s="271" t="s">
        <v>1618</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508"/>
      <c r="Q31" s="1592" t="str">
        <f t="shared" si="11"/>
        <v>建筑结构</v>
      </c>
      <c r="R31" s="3575" t="s">
        <v>13</v>
      </c>
      <c r="S31" s="3576">
        <f t="shared" si="12"/>
        <v>100</v>
      </c>
      <c r="T31" s="3575" t="s">
        <v>13</v>
      </c>
      <c r="U31" s="3576">
        <f t="shared" si="13"/>
        <v>100</v>
      </c>
      <c r="V31" s="3575" t="s">
        <v>13</v>
      </c>
      <c r="W31" s="3576">
        <f t="shared" si="14"/>
        <v>100</v>
      </c>
      <c r="X31" s="984"/>
      <c r="Y31" s="4398"/>
      <c r="Z31" s="982" t="str">
        <f t="shared" si="15"/>
        <v>建筑结构</v>
      </c>
      <c r="AA31" s="982">
        <f t="shared" si="3"/>
        <v>1</v>
      </c>
      <c r="AB31" s="982">
        <f t="shared" si="4"/>
        <v>1</v>
      </c>
      <c r="AC31" s="982">
        <f t="shared" si="5"/>
        <v>1</v>
      </c>
    </row>
    <row r="32" spans="1:29" ht="15">
      <c r="A32" s="299"/>
      <c r="B32" s="271" t="s">
        <v>1705</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508"/>
      <c r="Q32" s="1592" t="str">
        <f t="shared" si="11"/>
        <v>公共部分装修</v>
      </c>
      <c r="R32" s="3575" t="s">
        <v>13</v>
      </c>
      <c r="S32" s="3576">
        <f t="shared" si="12"/>
        <v>100</v>
      </c>
      <c r="T32" s="3575" t="s">
        <v>13</v>
      </c>
      <c r="U32" s="3576">
        <f t="shared" si="13"/>
        <v>100</v>
      </c>
      <c r="V32" s="3575" t="s">
        <v>13</v>
      </c>
      <c r="W32" s="3576">
        <f t="shared" si="14"/>
        <v>100</v>
      </c>
      <c r="X32" s="984"/>
      <c r="Y32" s="4398"/>
      <c r="Z32" s="982" t="str">
        <f t="shared" si="15"/>
        <v>公共部分装修</v>
      </c>
      <c r="AA32" s="982">
        <f t="shared" si="3"/>
        <v>1</v>
      </c>
      <c r="AB32" s="982">
        <f t="shared" si="4"/>
        <v>1</v>
      </c>
      <c r="AC32" s="982">
        <f t="shared" si="5"/>
        <v>1</v>
      </c>
    </row>
    <row r="33" spans="1:29" ht="15">
      <c r="A33" s="299"/>
      <c r="B33" s="271" t="s">
        <v>1706</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508"/>
      <c r="Q33" s="1592" t="str">
        <f t="shared" si="11"/>
        <v>成新度</v>
      </c>
      <c r="R33" s="3575" t="s">
        <v>13</v>
      </c>
      <c r="S33" s="3576" t="e">
        <f t="shared" si="12"/>
        <v>#N/A</v>
      </c>
      <c r="T33" s="3575" t="s">
        <v>13</v>
      </c>
      <c r="U33" s="3576" t="e">
        <f t="shared" si="13"/>
        <v>#N/A</v>
      </c>
      <c r="V33" s="3575" t="s">
        <v>13</v>
      </c>
      <c r="W33" s="3576" t="e">
        <f t="shared" si="14"/>
        <v>#N/A</v>
      </c>
      <c r="X33" s="984"/>
      <c r="Y33" s="4398"/>
      <c r="Z33" s="982" t="str">
        <f t="shared" si="15"/>
        <v>成新度</v>
      </c>
      <c r="AA33" s="982" t="e">
        <f t="shared" si="3"/>
        <v>#N/A</v>
      </c>
      <c r="AB33" s="982" t="e">
        <f t="shared" si="4"/>
        <v>#N/A</v>
      </c>
      <c r="AC33" s="982" t="e">
        <f t="shared" si="5"/>
        <v>#N/A</v>
      </c>
    </row>
    <row r="34" spans="1:29" s="61" customFormat="1" ht="15">
      <c r="A34" s="300"/>
      <c r="B34" s="271" t="s">
        <v>1739</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508"/>
      <c r="Q34" s="1792" t="str">
        <f t="shared" si="11"/>
        <v>物业管理</v>
      </c>
      <c r="R34" s="3573" t="s">
        <v>13</v>
      </c>
      <c r="S34" s="3574">
        <f t="shared" si="12"/>
        <v>100</v>
      </c>
      <c r="T34" s="3573" t="s">
        <v>13</v>
      </c>
      <c r="U34" s="3574">
        <f t="shared" si="13"/>
        <v>100</v>
      </c>
      <c r="V34" s="3573" t="s">
        <v>13</v>
      </c>
      <c r="W34" s="3574">
        <f t="shared" si="14"/>
        <v>100</v>
      </c>
      <c r="X34" s="513"/>
      <c r="Y34" s="4398"/>
      <c r="Z34" s="41" t="str">
        <f t="shared" si="15"/>
        <v>物业管理</v>
      </c>
      <c r="AA34" s="41">
        <f t="shared" si="3"/>
        <v>1</v>
      </c>
      <c r="AB34" s="41">
        <f t="shared" si="4"/>
        <v>1</v>
      </c>
      <c r="AC34" s="41">
        <f t="shared" si="5"/>
        <v>1</v>
      </c>
    </row>
    <row r="35" spans="1:29" ht="15">
      <c r="A35" s="299"/>
      <c r="B35" s="271" t="s">
        <v>1707</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508" t="s">
        <v>1616</v>
      </c>
      <c r="Q35" s="1592" t="str">
        <f t="shared" si="11"/>
        <v>市政基础设施</v>
      </c>
      <c r="R35" s="3575" t="s">
        <v>13</v>
      </c>
      <c r="S35" s="3576">
        <f t="shared" si="12"/>
        <v>100</v>
      </c>
      <c r="T35" s="3575" t="s">
        <v>13</v>
      </c>
      <c r="U35" s="3576">
        <f t="shared" si="13"/>
        <v>100</v>
      </c>
      <c r="V35" s="3575" t="s">
        <v>13</v>
      </c>
      <c r="W35" s="3576">
        <f t="shared" si="14"/>
        <v>100</v>
      </c>
      <c r="X35" s="984"/>
      <c r="Y35" s="4398" t="s">
        <v>1616</v>
      </c>
      <c r="Z35" s="982" t="str">
        <f t="shared" si="15"/>
        <v>市政基础设施</v>
      </c>
      <c r="AA35" s="982">
        <f t="shared" si="3"/>
        <v>1</v>
      </c>
      <c r="AB35" s="982">
        <f t="shared" si="4"/>
        <v>1</v>
      </c>
      <c r="AC35" s="982">
        <f t="shared" si="5"/>
        <v>1</v>
      </c>
    </row>
    <row r="36" spans="1:29" ht="15">
      <c r="A36" s="299"/>
      <c r="B36" s="271" t="s">
        <v>1712</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508"/>
      <c r="Q36" s="1592" t="str">
        <f t="shared" si="11"/>
        <v>内部装修</v>
      </c>
      <c r="R36" s="3575" t="s">
        <v>13</v>
      </c>
      <c r="S36" s="3576">
        <f t="shared" si="12"/>
        <v>100</v>
      </c>
      <c r="T36" s="3575" t="s">
        <v>13</v>
      </c>
      <c r="U36" s="3576">
        <f t="shared" si="13"/>
        <v>100</v>
      </c>
      <c r="V36" s="3575" t="s">
        <v>13</v>
      </c>
      <c r="W36" s="3576">
        <f t="shared" si="14"/>
        <v>100</v>
      </c>
      <c r="X36" s="984"/>
      <c r="Y36" s="4398"/>
      <c r="Z36" s="982" t="str">
        <f t="shared" si="15"/>
        <v>内部装修</v>
      </c>
      <c r="AA36" s="982">
        <f t="shared" si="3"/>
        <v>1</v>
      </c>
      <c r="AB36" s="982">
        <f t="shared" si="4"/>
        <v>1</v>
      </c>
      <c r="AC36" s="982">
        <f t="shared" si="5"/>
        <v>1</v>
      </c>
    </row>
    <row r="37" spans="1:29" ht="15">
      <c r="A37" s="299"/>
      <c r="B37" s="271" t="s">
        <v>1748</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508"/>
      <c r="Q37" s="1592" t="str">
        <f t="shared" si="11"/>
        <v>内部装修状况</v>
      </c>
      <c r="R37" s="3575" t="s">
        <v>13</v>
      </c>
      <c r="S37" s="3576">
        <f t="shared" si="12"/>
        <v>100</v>
      </c>
      <c r="T37" s="3575" t="s">
        <v>13</v>
      </c>
      <c r="U37" s="3576">
        <f t="shared" si="13"/>
        <v>100</v>
      </c>
      <c r="V37" s="3575" t="s">
        <v>13</v>
      </c>
      <c r="W37" s="3576">
        <f t="shared" si="14"/>
        <v>100</v>
      </c>
      <c r="X37" s="984"/>
      <c r="Y37" s="4398"/>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508"/>
      <c r="Q38" s="410">
        <f t="shared" si="11"/>
        <v>111</v>
      </c>
      <c r="R38" s="3577" t="s">
        <v>13</v>
      </c>
      <c r="S38" s="3578">
        <f t="shared" si="12"/>
        <v>100</v>
      </c>
      <c r="T38" s="3577" t="s">
        <v>13</v>
      </c>
      <c r="U38" s="3578">
        <f t="shared" si="13"/>
        <v>100</v>
      </c>
      <c r="V38" s="3577" t="s">
        <v>13</v>
      </c>
      <c r="W38" s="3578">
        <f t="shared" si="14"/>
        <v>100</v>
      </c>
      <c r="X38" s="518"/>
      <c r="Y38" s="4398"/>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508"/>
      <c r="Q39" s="1592">
        <f t="shared" si="11"/>
        <v>111</v>
      </c>
      <c r="R39" s="3575" t="s">
        <v>13</v>
      </c>
      <c r="S39" s="3576">
        <f t="shared" si="12"/>
        <v>100</v>
      </c>
      <c r="T39" s="3575" t="s">
        <v>13</v>
      </c>
      <c r="U39" s="3576">
        <f t="shared" si="13"/>
        <v>100</v>
      </c>
      <c r="V39" s="3575" t="s">
        <v>13</v>
      </c>
      <c r="W39" s="3576">
        <f t="shared" si="14"/>
        <v>100</v>
      </c>
      <c r="X39" s="984"/>
      <c r="Y39" s="4398"/>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509"/>
      <c r="Q40" s="1592">
        <f t="shared" si="11"/>
        <v>111</v>
      </c>
      <c r="R40" s="3575" t="s">
        <v>13</v>
      </c>
      <c r="S40" s="3576">
        <f t="shared" si="12"/>
        <v>100</v>
      </c>
      <c r="T40" s="3575" t="s">
        <v>13</v>
      </c>
      <c r="U40" s="3576">
        <f t="shared" si="13"/>
        <v>100</v>
      </c>
      <c r="V40" s="3575" t="s">
        <v>13</v>
      </c>
      <c r="W40" s="3576">
        <f t="shared" si="14"/>
        <v>100</v>
      </c>
      <c r="X40" s="984"/>
      <c r="Y40" s="4399"/>
      <c r="Z40" s="982">
        <f t="shared" si="15"/>
        <v>111</v>
      </c>
      <c r="AA40" s="982">
        <f t="shared" si="3"/>
        <v>1</v>
      </c>
      <c r="AB40" s="982">
        <f t="shared" si="4"/>
        <v>1</v>
      </c>
      <c r="AC40" s="982">
        <f t="shared" si="5"/>
        <v>1</v>
      </c>
    </row>
    <row r="41" spans="1:29" ht="15">
      <c r="A41" s="305" t="s">
        <v>1628</v>
      </c>
      <c r="B41" s="306"/>
      <c r="C41" s="830" t="s">
        <v>0</v>
      </c>
      <c r="D41" s="307"/>
      <c r="E41" s="3216"/>
      <c r="F41" s="3567"/>
      <c r="G41" s="3653"/>
      <c r="H41" s="3569"/>
      <c r="I41" s="3216"/>
      <c r="J41" s="3569"/>
      <c r="K41" s="3156"/>
      <c r="L41" s="658"/>
      <c r="M41" s="646"/>
      <c r="N41" s="646"/>
      <c r="O41" s="646"/>
      <c r="P41" s="4391" t="str">
        <f>A41</f>
        <v>成交单价（元/平方米）</v>
      </c>
      <c r="Q41" s="4391"/>
      <c r="R41" s="4392">
        <f>E41</f>
        <v>0</v>
      </c>
      <c r="S41" s="4392"/>
      <c r="T41" s="4392">
        <f>G41</f>
        <v>0</v>
      </c>
      <c r="U41" s="4392"/>
      <c r="V41" s="4392">
        <f>I41</f>
        <v>0</v>
      </c>
      <c r="W41" s="4392"/>
      <c r="X41" s="284"/>
      <c r="Y41" s="520"/>
      <c r="Z41" s="284"/>
      <c r="AA41" s="284"/>
      <c r="AB41" s="284"/>
      <c r="AC41" s="284"/>
    </row>
    <row r="42" spans="1:29" ht="15.75" thickBot="1">
      <c r="A42" s="308" t="s">
        <v>1713</v>
      </c>
      <c r="B42" s="309"/>
      <c r="C42" s="3199" t="e">
        <f>R43</f>
        <v>#DIV/0!</v>
      </c>
      <c r="D42" s="1787" t="s">
        <v>2054</v>
      </c>
      <c r="E42" s="3201" t="e">
        <f>R42</f>
        <v>#DIV/0!</v>
      </c>
      <c r="F42" s="3094"/>
      <c r="G42" s="3199" t="e">
        <f>T42</f>
        <v>#DIV/0!</v>
      </c>
      <c r="H42" s="3094"/>
      <c r="I42" s="3201" t="e">
        <f>V42</f>
        <v>#DIV/0!</v>
      </c>
      <c r="J42" s="3094"/>
      <c r="K42" s="3149">
        <f>F42+H42+J42</f>
        <v>0</v>
      </c>
      <c r="L42" s="658"/>
      <c r="M42" s="646"/>
      <c r="N42" s="646"/>
      <c r="O42" s="646"/>
      <c r="P42" s="4391" t="str">
        <f>A42</f>
        <v>比较价值（元/平方米）</v>
      </c>
      <c r="Q42" s="4391"/>
      <c r="R42" s="4392" t="e">
        <f>IF(F1="售价",ROUND(PRODUCT(R41,AA7:AA40),0),ROUND(PRODUCT(R41,AA7:AA40),1))</f>
        <v>#DIV/0!</v>
      </c>
      <c r="S42" s="4392"/>
      <c r="T42" s="4392" t="e">
        <f>IF(F1="售价",ROUND(PRODUCT(T41,AB7:AB40),0),ROUND(PRODUCT(T41,AB7:AB40),1))</f>
        <v>#DIV/0!</v>
      </c>
      <c r="U42" s="4392"/>
      <c r="V42" s="4392" t="e">
        <f>IF(F1="售价",ROUND(PRODUCT(V41,AC7:AC40),0),ROUND(PRODUCT(V41,AC7:AC40),1))</f>
        <v>#DIV/0!</v>
      </c>
      <c r="W42" s="4392"/>
      <c r="X42" s="284"/>
      <c r="Y42" s="284"/>
      <c r="Z42" s="284"/>
      <c r="AA42" s="284"/>
      <c r="AB42" s="284"/>
      <c r="AC42" s="284"/>
    </row>
    <row r="43" spans="1:29" ht="15.75" thickBot="1">
      <c r="A43" s="310" t="s">
        <v>1714</v>
      </c>
      <c r="B43" s="311"/>
      <c r="C43" s="3217" t="e">
        <f>R43</f>
        <v>#DIV/0!</v>
      </c>
      <c r="D43" s="260"/>
      <c r="E43" s="260"/>
      <c r="F43" s="260"/>
      <c r="G43" s="260"/>
      <c r="H43" s="260"/>
      <c r="I43" s="260"/>
      <c r="J43" s="260"/>
      <c r="K43" s="521"/>
      <c r="L43" s="658"/>
      <c r="M43" s="646"/>
      <c r="N43" s="646"/>
      <c r="O43" s="646"/>
      <c r="P43" s="4388" t="str">
        <f>A43</f>
        <v>估价对象XX用房的比较价值（楼面单价，元/平方米）</v>
      </c>
      <c r="Q43" s="4389"/>
      <c r="R43" s="4390" t="e">
        <f>IF(F1="售价",ROUND(IF(D42="简单平均",AVERAGE(R42:V42),R42*F42+T42*H42+V42*J42),0),ROUND(IF(D42="简单平均",AVERAGE(R42:V42),R42*F42+T42*H42+V42*J42),1))</f>
        <v>#DIV/0!</v>
      </c>
      <c r="S43" s="4390"/>
      <c r="T43" s="4390"/>
      <c r="U43" s="4390"/>
      <c r="V43" s="4390"/>
      <c r="W43" s="4390"/>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1715</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1716</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1717</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1718</v>
      </c>
      <c r="B51" s="284"/>
      <c r="C51" s="506"/>
      <c r="D51" s="506"/>
      <c r="E51" s="506"/>
      <c r="F51" s="507"/>
      <c r="G51" s="507"/>
      <c r="H51" s="506"/>
      <c r="I51" s="506"/>
      <c r="J51" s="506"/>
      <c r="K51" s="672"/>
      <c r="L51" s="673"/>
      <c r="M51" s="671"/>
      <c r="N51" s="671"/>
      <c r="O51" s="671"/>
      <c r="P51" s="3612"/>
      <c r="Q51" s="3613"/>
    </row>
    <row r="52" spans="1:23" s="324" customFormat="1" ht="15">
      <c r="A52" s="322" t="s">
        <v>1599</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1636</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1601</v>
      </c>
      <c r="B55" s="326"/>
      <c r="C55" s="338" t="s">
        <v>1696</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1639</v>
      </c>
      <c r="B57" s="341" t="s">
        <v>1605</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1608</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1609</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1610</v>
      </c>
      <c r="B70" s="341" t="s">
        <v>1749</v>
      </c>
      <c r="C70" s="383" t="s">
        <v>1641</v>
      </c>
      <c r="D70" s="383" t="s">
        <v>1642</v>
      </c>
      <c r="E70" s="383" t="s">
        <v>1643</v>
      </c>
      <c r="F70" s="383" t="s">
        <v>1644</v>
      </c>
      <c r="G70" s="383" t="s">
        <v>1645</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1646</v>
      </c>
      <c r="C72" s="387" t="s">
        <v>1641</v>
      </c>
      <c r="D72" s="387" t="s">
        <v>1642</v>
      </c>
      <c r="E72" s="387" t="s">
        <v>1643</v>
      </c>
      <c r="F72" s="387" t="s">
        <v>1644</v>
      </c>
      <c r="G72" s="387" t="s">
        <v>1645</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1647</v>
      </c>
      <c r="C74" s="387" t="s">
        <v>1641</v>
      </c>
      <c r="D74" s="387" t="s">
        <v>1642</v>
      </c>
      <c r="E74" s="387" t="s">
        <v>1643</v>
      </c>
      <c r="F74" s="387" t="s">
        <v>1644</v>
      </c>
      <c r="G74" s="387" t="s">
        <v>1645</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1733</v>
      </c>
      <c r="C76" s="454" t="s">
        <v>1719</v>
      </c>
      <c r="D76" s="454" t="s">
        <v>1720</v>
      </c>
      <c r="E76" s="454" t="s">
        <v>1721</v>
      </c>
      <c r="F76" s="454" t="s">
        <v>1722</v>
      </c>
      <c r="G76" s="454" t="s">
        <v>1723</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1742</v>
      </c>
      <c r="C78" s="387" t="s">
        <v>1641</v>
      </c>
      <c r="D78" s="387" t="s">
        <v>1642</v>
      </c>
      <c r="E78" s="387" t="s">
        <v>1643</v>
      </c>
      <c r="F78" s="387" t="s">
        <v>1644</v>
      </c>
      <c r="G78" s="387" t="s">
        <v>1645</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1614</v>
      </c>
      <c r="B88" s="341" t="s">
        <v>1656</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1657</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1658</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1660</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1169</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1661</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1662</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1664</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1750</v>
      </c>
      <c r="C106" s="387" t="s">
        <v>1641</v>
      </c>
      <c r="D106" s="387" t="s">
        <v>1642</v>
      </c>
      <c r="E106" s="387" t="s">
        <v>1643</v>
      </c>
      <c r="F106" s="387" t="s">
        <v>1644</v>
      </c>
      <c r="G106" s="387" t="s">
        <v>1645</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1751</v>
      </c>
      <c r="B1" s="881" t="s">
        <v>3238</v>
      </c>
      <c r="C1" s="882" t="s">
        <v>1582</v>
      </c>
      <c r="D1" s="883"/>
      <c r="E1" s="2629"/>
      <c r="F1" s="1438"/>
      <c r="G1" s="885" t="s">
        <v>1687</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1439</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1440</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1441</v>
      </c>
      <c r="B3" s="3175" t="e">
        <f>IF(AND(E2="——",B37="元/平方米"),C39,ROUND(B2*10000/D3,0))</f>
        <v>#DIV/0!</v>
      </c>
      <c r="C3" s="253" t="s">
        <v>1688</v>
      </c>
      <c r="D3" s="3175">
        <f>SUMIF('数据-汇总表'!$C19:$C33,D1,'数据-汇总表'!$E19:$E33)</f>
        <v>0</v>
      </c>
      <c r="E3" s="253" t="s">
        <v>1752</v>
      </c>
      <c r="F3" s="414">
        <f>SUMIF('数据-取费表'!A5:A15,D1,'数据-取费表'!AH5:AH15)</f>
        <v>0</v>
      </c>
      <c r="G3" s="3083" t="s">
        <v>3526</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1689</v>
      </c>
      <c r="B4" s="255"/>
      <c r="C4" s="4450" t="s">
        <v>1690</v>
      </c>
      <c r="D4" s="4451"/>
      <c r="E4" s="4452" t="s">
        <v>1691</v>
      </c>
      <c r="F4" s="4453"/>
      <c r="G4" s="4450" t="s">
        <v>1692</v>
      </c>
      <c r="H4" s="4451"/>
      <c r="I4" s="4450" t="s">
        <v>1693</v>
      </c>
      <c r="J4" s="4451"/>
      <c r="K4" s="415" t="s">
        <v>1694</v>
      </c>
      <c r="L4" s="2083"/>
      <c r="M4" s="2084"/>
      <c r="N4" s="2084"/>
      <c r="O4" s="2084"/>
      <c r="P4" s="4516" t="s">
        <v>1695</v>
      </c>
      <c r="Q4" s="4517"/>
      <c r="R4" s="4432" t="s">
        <v>1691</v>
      </c>
      <c r="S4" s="4433"/>
      <c r="T4" s="4432" t="s">
        <v>1692</v>
      </c>
      <c r="U4" s="4433"/>
      <c r="V4" s="4504" t="s">
        <v>1693</v>
      </c>
      <c r="W4" s="4504"/>
      <c r="X4" s="984"/>
      <c r="Y4" s="4432" t="s">
        <v>1695</v>
      </c>
      <c r="Z4" s="4433"/>
      <c r="AA4" s="4404" t="s">
        <v>1691</v>
      </c>
      <c r="AB4" s="4405" t="s">
        <v>1692</v>
      </c>
      <c r="AC4" s="4404" t="s">
        <v>1693</v>
      </c>
    </row>
    <row r="5" spans="1:29" ht="15">
      <c r="A5" s="257"/>
      <c r="B5" s="258"/>
      <c r="C5" s="4468" t="s">
        <v>1593</v>
      </c>
      <c r="D5" s="4464"/>
      <c r="E5" s="4510" t="s">
        <v>1594</v>
      </c>
      <c r="F5" s="4473"/>
      <c r="G5" s="4468" t="s">
        <v>1595</v>
      </c>
      <c r="H5" s="4464"/>
      <c r="I5" s="4468" t="s">
        <v>1596</v>
      </c>
      <c r="J5" s="4464"/>
      <c r="K5" s="415"/>
      <c r="L5" s="2083"/>
      <c r="M5" s="2084"/>
      <c r="N5" s="2084"/>
      <c r="O5" s="2084"/>
      <c r="P5" s="4518"/>
      <c r="Q5" s="4519"/>
      <c r="R5" s="4434"/>
      <c r="S5" s="4435"/>
      <c r="T5" s="4434"/>
      <c r="U5" s="4435"/>
      <c r="V5" s="4504"/>
      <c r="W5" s="4504"/>
      <c r="X5" s="984"/>
      <c r="Y5" s="4434"/>
      <c r="Z5" s="4435"/>
      <c r="AA5" s="4405"/>
      <c r="AB5" s="4405"/>
      <c r="AC5" s="4405"/>
    </row>
    <row r="6" spans="1:29" ht="15.75" thickBot="1">
      <c r="A6" s="259"/>
      <c r="B6" s="260"/>
      <c r="C6" s="4461" t="s">
        <v>1597</v>
      </c>
      <c r="D6" s="4462"/>
      <c r="E6" s="4469" t="s">
        <v>1597</v>
      </c>
      <c r="F6" s="4470"/>
      <c r="G6" s="4461" t="s">
        <v>1597</v>
      </c>
      <c r="H6" s="4462"/>
      <c r="I6" s="4461" t="s">
        <v>1597</v>
      </c>
      <c r="J6" s="4462"/>
      <c r="K6" s="415" t="s">
        <v>1598</v>
      </c>
      <c r="L6" s="2083"/>
      <c r="M6" s="2084"/>
      <c r="N6" s="2084"/>
      <c r="O6" s="2084"/>
      <c r="P6" s="4520"/>
      <c r="Q6" s="4521"/>
      <c r="R6" s="4434"/>
      <c r="S6" s="4435"/>
      <c r="T6" s="4436"/>
      <c r="U6" s="4437"/>
      <c r="V6" s="4504"/>
      <c r="W6" s="4504"/>
      <c r="X6" s="984"/>
      <c r="Y6" s="4436"/>
      <c r="Z6" s="4437"/>
      <c r="AA6" s="4406"/>
      <c r="AB6" s="4406"/>
      <c r="AC6" s="4406"/>
    </row>
    <row r="7" spans="1:29" s="61" customFormat="1" ht="15.75" thickBot="1">
      <c r="A7" s="261" t="s">
        <v>1599</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430" t="s">
        <v>1600</v>
      </c>
      <c r="Q7" s="4522"/>
      <c r="R7" s="511" t="s">
        <v>13</v>
      </c>
      <c r="S7" s="512">
        <f t="shared" ref="S7:S14" si="0">F7</f>
        <v>0</v>
      </c>
      <c r="T7" s="511" t="s">
        <v>13</v>
      </c>
      <c r="U7" s="512">
        <f t="shared" ref="U7:U14" si="1">H7</f>
        <v>0</v>
      </c>
      <c r="V7" s="511" t="s">
        <v>13</v>
      </c>
      <c r="W7" s="512">
        <f t="shared" ref="W7:W14" si="2">J7</f>
        <v>0</v>
      </c>
      <c r="X7" s="513"/>
      <c r="Y7" s="4430" t="s">
        <v>1600</v>
      </c>
      <c r="Z7" s="4431"/>
      <c r="AA7" s="41" t="e">
        <f>D7/F7</f>
        <v>#DIV/0!</v>
      </c>
      <c r="AB7" s="41" t="e">
        <f>D7/H7</f>
        <v>#DIV/0!</v>
      </c>
      <c r="AC7" s="41" t="e">
        <f>D7/J7</f>
        <v>#DIV/0!</v>
      </c>
    </row>
    <row r="8" spans="1:29" s="61" customFormat="1" ht="15.75" thickBot="1">
      <c r="A8" s="261" t="s">
        <v>1601</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430" t="s">
        <v>1603</v>
      </c>
      <c r="Q8" s="4431"/>
      <c r="R8" s="511" t="s">
        <v>13</v>
      </c>
      <c r="S8" s="512">
        <f t="shared" si="0"/>
        <v>100</v>
      </c>
      <c r="T8" s="511" t="s">
        <v>13</v>
      </c>
      <c r="U8" s="512">
        <f t="shared" si="1"/>
        <v>100</v>
      </c>
      <c r="V8" s="511" t="s">
        <v>13</v>
      </c>
      <c r="W8" s="512">
        <f t="shared" si="2"/>
        <v>100</v>
      </c>
      <c r="X8" s="513"/>
      <c r="Y8" s="4430" t="s">
        <v>1603</v>
      </c>
      <c r="Z8" s="4431"/>
      <c r="AA8" s="41">
        <f t="shared" ref="AA8:AA36" si="3">D8/F8</f>
        <v>1</v>
      </c>
      <c r="AB8" s="41">
        <f t="shared" ref="AB8:AB36" si="4">D8/H8</f>
        <v>1</v>
      </c>
      <c r="AC8" s="41">
        <f t="shared" ref="AC8:AC36" si="5">D8/J8</f>
        <v>1</v>
      </c>
    </row>
    <row r="9" spans="1:29" s="61" customFormat="1">
      <c r="A9" s="44" t="s">
        <v>1604</v>
      </c>
      <c r="B9" s="438" t="s">
        <v>1605</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511" t="s">
        <v>1606</v>
      </c>
      <c r="Q9" s="408" t="str">
        <f t="shared" ref="Q9:Q14" si="6">B9</f>
        <v>用途</v>
      </c>
      <c r="R9" s="511" t="s">
        <v>13</v>
      </c>
      <c r="S9" s="512">
        <f t="shared" si="0"/>
        <v>100</v>
      </c>
      <c r="T9" s="511" t="s">
        <v>13</v>
      </c>
      <c r="U9" s="512">
        <f t="shared" si="1"/>
        <v>100</v>
      </c>
      <c r="V9" s="511" t="s">
        <v>13</v>
      </c>
      <c r="W9" s="512">
        <f t="shared" si="2"/>
        <v>100</v>
      </c>
      <c r="X9" s="513"/>
      <c r="Y9" s="4403" t="s">
        <v>1607</v>
      </c>
      <c r="Z9" s="41" t="str">
        <f t="shared" ref="Z9:Z14" si="7">Q9</f>
        <v>用途</v>
      </c>
      <c r="AA9" s="41">
        <f t="shared" si="3"/>
        <v>1</v>
      </c>
      <c r="AB9" s="41">
        <f t="shared" si="4"/>
        <v>1</v>
      </c>
      <c r="AC9" s="41">
        <f t="shared" si="5"/>
        <v>1</v>
      </c>
    </row>
    <row r="10" spans="1:29" s="272" customFormat="1" ht="27">
      <c r="A10" s="439"/>
      <c r="B10" s="440" t="s">
        <v>1608</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511"/>
      <c r="Q10" s="408" t="str">
        <f t="shared" si="6"/>
        <v>土地使用年限（年）</v>
      </c>
      <c r="R10" s="511" t="s">
        <v>13</v>
      </c>
      <c r="S10" s="512">
        <f t="shared" si="0"/>
        <v>100</v>
      </c>
      <c r="T10" s="511" t="s">
        <v>13</v>
      </c>
      <c r="U10" s="512">
        <f t="shared" si="1"/>
        <v>100</v>
      </c>
      <c r="V10" s="511" t="s">
        <v>13</v>
      </c>
      <c r="W10" s="512">
        <f t="shared" si="2"/>
        <v>100</v>
      </c>
      <c r="X10" s="513"/>
      <c r="Y10" s="4403"/>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511"/>
      <c r="Q11" s="408">
        <f t="shared" si="6"/>
        <v>111</v>
      </c>
      <c r="R11" s="511" t="s">
        <v>13</v>
      </c>
      <c r="S11" s="512">
        <f t="shared" si="0"/>
        <v>100</v>
      </c>
      <c r="T11" s="511" t="s">
        <v>13</v>
      </c>
      <c r="U11" s="512">
        <f t="shared" si="1"/>
        <v>100</v>
      </c>
      <c r="V11" s="511" t="s">
        <v>13</v>
      </c>
      <c r="W11" s="512">
        <f t="shared" si="2"/>
        <v>100</v>
      </c>
      <c r="X11" s="513"/>
      <c r="Y11" s="4403"/>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511"/>
      <c r="Q12" s="408">
        <f t="shared" si="6"/>
        <v>111</v>
      </c>
      <c r="R12" s="511" t="s">
        <v>13</v>
      </c>
      <c r="S12" s="512">
        <f t="shared" si="0"/>
        <v>100</v>
      </c>
      <c r="T12" s="511" t="s">
        <v>13</v>
      </c>
      <c r="U12" s="512">
        <f t="shared" si="1"/>
        <v>100</v>
      </c>
      <c r="V12" s="511" t="s">
        <v>13</v>
      </c>
      <c r="W12" s="512">
        <f t="shared" si="2"/>
        <v>100</v>
      </c>
      <c r="X12" s="513"/>
      <c r="Y12" s="4403"/>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511"/>
      <c r="Q13" s="408">
        <f t="shared" si="6"/>
        <v>111</v>
      </c>
      <c r="R13" s="511" t="s">
        <v>13</v>
      </c>
      <c r="S13" s="512">
        <f t="shared" si="0"/>
        <v>100</v>
      </c>
      <c r="T13" s="511" t="s">
        <v>13</v>
      </c>
      <c r="U13" s="512">
        <f t="shared" si="1"/>
        <v>100</v>
      </c>
      <c r="V13" s="511" t="s">
        <v>13</v>
      </c>
      <c r="W13" s="512">
        <f t="shared" si="2"/>
        <v>100</v>
      </c>
      <c r="X13" s="513"/>
      <c r="Y13" s="4403"/>
      <c r="Z13" s="41">
        <f t="shared" si="7"/>
        <v>111</v>
      </c>
      <c r="AA13" s="41">
        <f t="shared" si="3"/>
        <v>1</v>
      </c>
      <c r="AB13" s="41">
        <f t="shared" si="4"/>
        <v>1</v>
      </c>
      <c r="AC13" s="41">
        <f t="shared" si="5"/>
        <v>1</v>
      </c>
    </row>
    <row r="14" spans="1:29" ht="15">
      <c r="A14" s="254" t="s">
        <v>1610</v>
      </c>
      <c r="B14" s="429" t="s">
        <v>1753</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93" t="s">
        <v>1611</v>
      </c>
      <c r="Q14" s="981" t="str">
        <f t="shared" si="6"/>
        <v>交通便捷度</v>
      </c>
      <c r="R14" s="514" t="s">
        <v>13</v>
      </c>
      <c r="S14" s="515">
        <f t="shared" si="0"/>
        <v>100</v>
      </c>
      <c r="T14" s="514" t="s">
        <v>13</v>
      </c>
      <c r="U14" s="515">
        <f t="shared" si="1"/>
        <v>100</v>
      </c>
      <c r="V14" s="514" t="s">
        <v>13</v>
      </c>
      <c r="W14" s="515">
        <f t="shared" si="2"/>
        <v>100</v>
      </c>
      <c r="X14" s="984"/>
      <c r="Y14" s="4393" t="s">
        <v>1611</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94"/>
      <c r="Q15" s="981"/>
      <c r="R15" s="514"/>
      <c r="S15" s="515"/>
      <c r="T15" s="514"/>
      <c r="U15" s="515"/>
      <c r="V15" s="514"/>
      <c r="W15" s="515"/>
      <c r="X15" s="984"/>
      <c r="Y15" s="4394"/>
      <c r="Z15" s="982"/>
      <c r="AA15" s="982">
        <v>1</v>
      </c>
      <c r="AB15" s="982">
        <v>1</v>
      </c>
      <c r="AC15" s="982">
        <v>1</v>
      </c>
    </row>
    <row r="16" spans="1:29" ht="15">
      <c r="A16" s="257"/>
      <c r="B16" s="431" t="s">
        <v>1732</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94"/>
      <c r="Q16" s="981" t="str">
        <f>B16</f>
        <v>公共配套设施</v>
      </c>
      <c r="R16" s="514" t="s">
        <v>13</v>
      </c>
      <c r="S16" s="515">
        <f>F16</f>
        <v>100</v>
      </c>
      <c r="T16" s="514" t="s">
        <v>13</v>
      </c>
      <c r="U16" s="515">
        <f>H16</f>
        <v>100</v>
      </c>
      <c r="V16" s="514" t="s">
        <v>13</v>
      </c>
      <c r="W16" s="515">
        <f>J16</f>
        <v>100</v>
      </c>
      <c r="X16" s="984"/>
      <c r="Y16" s="4394"/>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94"/>
      <c r="Q17" s="981"/>
      <c r="R17" s="514"/>
      <c r="S17" s="515"/>
      <c r="T17" s="514"/>
      <c r="U17" s="515"/>
      <c r="V17" s="514"/>
      <c r="W17" s="515"/>
      <c r="X17" s="984"/>
      <c r="Y17" s="4394"/>
      <c r="Z17" s="982"/>
      <c r="AA17" s="982">
        <v>1</v>
      </c>
      <c r="AB17" s="982">
        <v>1</v>
      </c>
      <c r="AC17" s="982">
        <v>1</v>
      </c>
    </row>
    <row r="18" spans="1:29" ht="15">
      <c r="A18" s="257"/>
      <c r="B18" s="433" t="s">
        <v>1733</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94"/>
      <c r="Q18" s="981" t="str">
        <f>B18</f>
        <v>基础设施水平</v>
      </c>
      <c r="R18" s="514" t="s">
        <v>13</v>
      </c>
      <c r="S18" s="515">
        <f>F18</f>
        <v>100</v>
      </c>
      <c r="T18" s="514" t="s">
        <v>13</v>
      </c>
      <c r="U18" s="515">
        <f>H18</f>
        <v>100</v>
      </c>
      <c r="V18" s="514" t="s">
        <v>13</v>
      </c>
      <c r="W18" s="515">
        <f>J18</f>
        <v>100</v>
      </c>
      <c r="X18" s="984"/>
      <c r="Y18" s="4394"/>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94"/>
      <c r="Q19" s="981"/>
      <c r="R19" s="514"/>
      <c r="S19" s="515"/>
      <c r="T19" s="514"/>
      <c r="U19" s="515"/>
      <c r="V19" s="514"/>
      <c r="W19" s="515"/>
      <c r="X19" s="984"/>
      <c r="Y19" s="4394"/>
      <c r="Z19" s="982"/>
      <c r="AA19" s="982">
        <v>1</v>
      </c>
      <c r="AB19" s="982">
        <v>1</v>
      </c>
      <c r="AC19" s="982">
        <v>1</v>
      </c>
    </row>
    <row r="20" spans="1:29" ht="15">
      <c r="A20" s="257"/>
      <c r="B20" s="431" t="s">
        <v>1754</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94"/>
      <c r="Q20" s="981" t="str">
        <f>B20</f>
        <v>自然及人文环境</v>
      </c>
      <c r="R20" s="514" t="s">
        <v>13</v>
      </c>
      <c r="S20" s="515">
        <f>F20</f>
        <v>100</v>
      </c>
      <c r="T20" s="514" t="s">
        <v>13</v>
      </c>
      <c r="U20" s="515">
        <f>H20</f>
        <v>100</v>
      </c>
      <c r="V20" s="514" t="s">
        <v>13</v>
      </c>
      <c r="W20" s="515">
        <f>J20</f>
        <v>100</v>
      </c>
      <c r="X20" s="984"/>
      <c r="Y20" s="4394"/>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94"/>
      <c r="Q21" s="981"/>
      <c r="R21" s="514"/>
      <c r="S21" s="515"/>
      <c r="T21" s="514"/>
      <c r="U21" s="515"/>
      <c r="V21" s="514"/>
      <c r="W21" s="515"/>
      <c r="X21" s="984"/>
      <c r="Y21" s="4394"/>
      <c r="Z21" s="982"/>
      <c r="AA21" s="982">
        <v>1</v>
      </c>
      <c r="AB21" s="982">
        <v>1</v>
      </c>
      <c r="AC21" s="982">
        <v>1</v>
      </c>
    </row>
    <row r="22" spans="1:29" ht="15">
      <c r="A22" s="257"/>
      <c r="B22" s="431" t="s">
        <v>1755</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94"/>
      <c r="Q22" s="981" t="str">
        <f>B22</f>
        <v>楼层</v>
      </c>
      <c r="R22" s="514" t="s">
        <v>13</v>
      </c>
      <c r="S22" s="515">
        <f>F22</f>
        <v>100</v>
      </c>
      <c r="T22" s="514" t="s">
        <v>13</v>
      </c>
      <c r="U22" s="515">
        <f>H22</f>
        <v>100</v>
      </c>
      <c r="V22" s="514" t="s">
        <v>13</v>
      </c>
      <c r="W22" s="515">
        <f>J22</f>
        <v>100</v>
      </c>
      <c r="X22" s="984"/>
      <c r="Y22" s="4394"/>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94"/>
      <c r="Q23" s="981">
        <f>B23</f>
        <v>111</v>
      </c>
      <c r="R23" s="514" t="s">
        <v>13</v>
      </c>
      <c r="S23" s="515">
        <f>F23</f>
        <v>100</v>
      </c>
      <c r="T23" s="514" t="s">
        <v>13</v>
      </c>
      <c r="U23" s="515">
        <f>H23</f>
        <v>100</v>
      </c>
      <c r="V23" s="514" t="s">
        <v>13</v>
      </c>
      <c r="W23" s="515">
        <f>J23</f>
        <v>100</v>
      </c>
      <c r="X23" s="984"/>
      <c r="Y23" s="4394"/>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94"/>
      <c r="Q24" s="981">
        <f t="shared" ref="Q24:Q36" si="11">B24</f>
        <v>111</v>
      </c>
      <c r="R24" s="514" t="s">
        <v>13</v>
      </c>
      <c r="S24" s="515">
        <f>F24</f>
        <v>100</v>
      </c>
      <c r="T24" s="514" t="s">
        <v>13</v>
      </c>
      <c r="U24" s="515">
        <f>H24</f>
        <v>100</v>
      </c>
      <c r="V24" s="514" t="s">
        <v>13</v>
      </c>
      <c r="W24" s="515">
        <f>J24</f>
        <v>100</v>
      </c>
      <c r="X24" s="984"/>
      <c r="Y24" s="4394"/>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94"/>
      <c r="Q25" s="408">
        <f t="shared" si="11"/>
        <v>111</v>
      </c>
      <c r="R25" s="511" t="s">
        <v>13</v>
      </c>
      <c r="S25" s="512">
        <f>F25</f>
        <v>100</v>
      </c>
      <c r="T25" s="511" t="s">
        <v>13</v>
      </c>
      <c r="U25" s="512">
        <f>H25</f>
        <v>100</v>
      </c>
      <c r="V25" s="511" t="s">
        <v>13</v>
      </c>
      <c r="W25" s="512">
        <f>J25</f>
        <v>100</v>
      </c>
      <c r="X25" s="513"/>
      <c r="Y25" s="4394"/>
      <c r="Z25" s="41">
        <f>Q25</f>
        <v>111</v>
      </c>
      <c r="AA25" s="982">
        <f>D25/F25</f>
        <v>1</v>
      </c>
      <c r="AB25" s="982">
        <f>D25/H25</f>
        <v>1</v>
      </c>
      <c r="AC25" s="982">
        <f>D25/J25</f>
        <v>1</v>
      </c>
    </row>
    <row r="26" spans="1:29" ht="28.5">
      <c r="A26" s="446" t="s">
        <v>1614</v>
      </c>
      <c r="B26" s="46" t="s">
        <v>1756</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515" t="s">
        <v>1616</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98" t="s">
        <v>1616</v>
      </c>
      <c r="Z26" s="982" t="str">
        <f t="shared" ref="Z26:Z36" si="15">Q26</f>
        <v>配套类型</v>
      </c>
      <c r="AA26" s="982" t="e">
        <f t="shared" si="3"/>
        <v>#DIV/0!</v>
      </c>
      <c r="AB26" s="982" t="e">
        <f t="shared" si="4"/>
        <v>#DIV/0!</v>
      </c>
      <c r="AC26" s="982" t="e">
        <f t="shared" si="5"/>
        <v>#DIV/0!</v>
      </c>
    </row>
    <row r="27" spans="1:29" s="298" customFormat="1" ht="15">
      <c r="A27" s="447"/>
      <c r="B27" s="448" t="s">
        <v>1757</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98"/>
      <c r="Q27" s="409" t="str">
        <f t="shared" si="11"/>
        <v>项目停车位配比</v>
      </c>
      <c r="R27" s="516" t="s">
        <v>13</v>
      </c>
      <c r="S27" s="517">
        <f t="shared" si="12"/>
        <v>100</v>
      </c>
      <c r="T27" s="516" t="s">
        <v>13</v>
      </c>
      <c r="U27" s="517">
        <f t="shared" si="13"/>
        <v>100</v>
      </c>
      <c r="V27" s="516" t="s">
        <v>13</v>
      </c>
      <c r="W27" s="517">
        <f t="shared" si="14"/>
        <v>100</v>
      </c>
      <c r="X27" s="518"/>
      <c r="Y27" s="4398"/>
      <c r="Z27" s="519" t="str">
        <f t="shared" si="15"/>
        <v>项目停车位配比</v>
      </c>
      <c r="AA27" s="982">
        <f t="shared" si="3"/>
        <v>1</v>
      </c>
      <c r="AB27" s="982">
        <f t="shared" si="4"/>
        <v>1</v>
      </c>
      <c r="AC27" s="982">
        <f t="shared" si="5"/>
        <v>1</v>
      </c>
    </row>
    <row r="28" spans="1:29" ht="15">
      <c r="A28" s="450"/>
      <c r="B28" s="448" t="s">
        <v>1758</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98"/>
      <c r="Q28" s="981" t="str">
        <f t="shared" si="11"/>
        <v>公共部分装修</v>
      </c>
      <c r="R28" s="514" t="s">
        <v>13</v>
      </c>
      <c r="S28" s="515">
        <f t="shared" si="12"/>
        <v>100</v>
      </c>
      <c r="T28" s="514" t="s">
        <v>13</v>
      </c>
      <c r="U28" s="515">
        <f t="shared" si="13"/>
        <v>100</v>
      </c>
      <c r="V28" s="514" t="s">
        <v>13</v>
      </c>
      <c r="W28" s="515">
        <f t="shared" si="14"/>
        <v>100</v>
      </c>
      <c r="X28" s="984"/>
      <c r="Y28" s="4398"/>
      <c r="Z28" s="982" t="str">
        <f t="shared" si="15"/>
        <v>公共部分装修</v>
      </c>
      <c r="AA28" s="982">
        <f t="shared" si="3"/>
        <v>1</v>
      </c>
      <c r="AB28" s="982">
        <f t="shared" si="4"/>
        <v>1</v>
      </c>
      <c r="AC28" s="982">
        <f t="shared" si="5"/>
        <v>1</v>
      </c>
    </row>
    <row r="29" spans="1:29" ht="15">
      <c r="A29" s="450"/>
      <c r="B29" s="448" t="s">
        <v>1759</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98"/>
      <c r="Q29" s="981" t="str">
        <f t="shared" si="11"/>
        <v>成新率</v>
      </c>
      <c r="R29" s="514" t="s">
        <v>13</v>
      </c>
      <c r="S29" s="515" t="e">
        <f t="shared" si="12"/>
        <v>#N/A</v>
      </c>
      <c r="T29" s="514" t="s">
        <v>13</v>
      </c>
      <c r="U29" s="515" t="e">
        <f t="shared" si="13"/>
        <v>#N/A</v>
      </c>
      <c r="V29" s="514" t="s">
        <v>13</v>
      </c>
      <c r="W29" s="515" t="e">
        <f t="shared" si="14"/>
        <v>#N/A</v>
      </c>
      <c r="X29" s="984"/>
      <c r="Y29" s="4398"/>
      <c r="Z29" s="982" t="str">
        <f t="shared" si="15"/>
        <v>成新率</v>
      </c>
      <c r="AA29" s="982" t="e">
        <f t="shared" si="3"/>
        <v>#N/A</v>
      </c>
      <c r="AB29" s="982" t="e">
        <f t="shared" si="4"/>
        <v>#N/A</v>
      </c>
      <c r="AC29" s="982" t="e">
        <f t="shared" si="5"/>
        <v>#N/A</v>
      </c>
    </row>
    <row r="30" spans="1:29" ht="15">
      <c r="A30" s="450"/>
      <c r="B30" s="448" t="s">
        <v>1760</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98"/>
      <c r="Q30" s="981" t="str">
        <f t="shared" si="11"/>
        <v>物业等级</v>
      </c>
      <c r="R30" s="514" t="s">
        <v>13</v>
      </c>
      <c r="S30" s="515">
        <f t="shared" si="12"/>
        <v>100</v>
      </c>
      <c r="T30" s="514" t="s">
        <v>13</v>
      </c>
      <c r="U30" s="515">
        <f t="shared" si="13"/>
        <v>100</v>
      </c>
      <c r="V30" s="514" t="s">
        <v>13</v>
      </c>
      <c r="W30" s="515">
        <f t="shared" si="14"/>
        <v>100</v>
      </c>
      <c r="X30" s="984"/>
      <c r="Y30" s="4398"/>
      <c r="Z30" s="982" t="str">
        <f t="shared" si="15"/>
        <v>物业等级</v>
      </c>
      <c r="AA30" s="982">
        <f t="shared" si="3"/>
        <v>1</v>
      </c>
      <c r="AB30" s="982">
        <f t="shared" si="4"/>
        <v>1</v>
      </c>
      <c r="AC30" s="982">
        <f t="shared" si="5"/>
        <v>1</v>
      </c>
    </row>
    <row r="31" spans="1:29" s="61" customFormat="1" ht="15">
      <c r="A31" s="452"/>
      <c r="B31" s="448" t="s">
        <v>1761</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98"/>
      <c r="Q31" s="408" t="str">
        <f t="shared" si="11"/>
        <v>停车位面积</v>
      </c>
      <c r="R31" s="511" t="s">
        <v>13</v>
      </c>
      <c r="S31" s="512" t="e">
        <f t="shared" si="12"/>
        <v>#N/A</v>
      </c>
      <c r="T31" s="511" t="s">
        <v>13</v>
      </c>
      <c r="U31" s="512" t="e">
        <f t="shared" si="13"/>
        <v>#N/A</v>
      </c>
      <c r="V31" s="511" t="s">
        <v>13</v>
      </c>
      <c r="W31" s="512" t="e">
        <f t="shared" si="14"/>
        <v>#N/A</v>
      </c>
      <c r="X31" s="513"/>
      <c r="Y31" s="4398"/>
      <c r="Z31" s="41" t="str">
        <f t="shared" si="15"/>
        <v>停车位面积</v>
      </c>
      <c r="AA31" s="41" t="e">
        <f t="shared" si="3"/>
        <v>#N/A</v>
      </c>
      <c r="AB31" s="41" t="e">
        <f t="shared" si="4"/>
        <v>#N/A</v>
      </c>
      <c r="AC31" s="41" t="e">
        <f t="shared" si="5"/>
        <v>#N/A</v>
      </c>
    </row>
    <row r="32" spans="1:29" ht="15">
      <c r="A32" s="450"/>
      <c r="B32" s="448" t="s">
        <v>1762</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98" t="s">
        <v>1616</v>
      </c>
      <c r="Q32" s="981" t="str">
        <f t="shared" si="11"/>
        <v>车位类型</v>
      </c>
      <c r="R32" s="514" t="s">
        <v>13</v>
      </c>
      <c r="S32" s="515">
        <f t="shared" si="12"/>
        <v>100</v>
      </c>
      <c r="T32" s="514" t="s">
        <v>13</v>
      </c>
      <c r="U32" s="515">
        <f t="shared" si="13"/>
        <v>100</v>
      </c>
      <c r="V32" s="514" t="s">
        <v>13</v>
      </c>
      <c r="W32" s="515">
        <f t="shared" si="14"/>
        <v>100</v>
      </c>
      <c r="X32" s="984"/>
      <c r="Y32" s="4398" t="s">
        <v>1616</v>
      </c>
      <c r="Z32" s="982" t="str">
        <f t="shared" si="15"/>
        <v>车位类型</v>
      </c>
      <c r="AA32" s="982">
        <f t="shared" si="3"/>
        <v>1</v>
      </c>
      <c r="AB32" s="982">
        <f t="shared" si="4"/>
        <v>1</v>
      </c>
      <c r="AC32" s="982">
        <f t="shared" si="5"/>
        <v>1</v>
      </c>
    </row>
    <row r="33" spans="1:29" ht="15">
      <c r="A33" s="450"/>
      <c r="B33" s="448" t="s">
        <v>1763</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98"/>
      <c r="Q33" s="981" t="str">
        <f t="shared" si="11"/>
        <v>是否直接入户</v>
      </c>
      <c r="R33" s="514" t="s">
        <v>13</v>
      </c>
      <c r="S33" s="515">
        <f t="shared" si="12"/>
        <v>100</v>
      </c>
      <c r="T33" s="514" t="s">
        <v>13</v>
      </c>
      <c r="U33" s="515">
        <f t="shared" si="13"/>
        <v>100</v>
      </c>
      <c r="V33" s="514" t="s">
        <v>13</v>
      </c>
      <c r="W33" s="515">
        <f t="shared" si="14"/>
        <v>100</v>
      </c>
      <c r="X33" s="984"/>
      <c r="Y33" s="4398"/>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98"/>
      <c r="Q34" s="981">
        <f t="shared" si="11"/>
        <v>111</v>
      </c>
      <c r="R34" s="514" t="s">
        <v>13</v>
      </c>
      <c r="S34" s="515">
        <f t="shared" si="12"/>
        <v>100</v>
      </c>
      <c r="T34" s="514" t="s">
        <v>13</v>
      </c>
      <c r="U34" s="515">
        <f t="shared" si="13"/>
        <v>100</v>
      </c>
      <c r="V34" s="514" t="s">
        <v>13</v>
      </c>
      <c r="W34" s="515">
        <f t="shared" si="14"/>
        <v>100</v>
      </c>
      <c r="X34" s="984"/>
      <c r="Y34" s="4398"/>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98"/>
      <c r="Q35" s="409">
        <f t="shared" si="11"/>
        <v>111</v>
      </c>
      <c r="R35" s="516" t="s">
        <v>13</v>
      </c>
      <c r="S35" s="517">
        <f t="shared" si="12"/>
        <v>100</v>
      </c>
      <c r="T35" s="516" t="s">
        <v>13</v>
      </c>
      <c r="U35" s="517">
        <f t="shared" si="13"/>
        <v>100</v>
      </c>
      <c r="V35" s="516" t="s">
        <v>13</v>
      </c>
      <c r="W35" s="517">
        <f t="shared" si="14"/>
        <v>100</v>
      </c>
      <c r="X35" s="518"/>
      <c r="Y35" s="4398"/>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98"/>
      <c r="Q36" s="981">
        <f t="shared" si="11"/>
        <v>111</v>
      </c>
      <c r="R36" s="514" t="s">
        <v>13</v>
      </c>
      <c r="S36" s="515">
        <f t="shared" si="12"/>
        <v>100</v>
      </c>
      <c r="T36" s="514" t="s">
        <v>13</v>
      </c>
      <c r="U36" s="515">
        <f t="shared" si="13"/>
        <v>100</v>
      </c>
      <c r="V36" s="514" t="s">
        <v>13</v>
      </c>
      <c r="W36" s="515">
        <f t="shared" si="14"/>
        <v>100</v>
      </c>
      <c r="X36" s="984"/>
      <c r="Y36" s="4398"/>
      <c r="Z36" s="982">
        <f t="shared" si="15"/>
        <v>111</v>
      </c>
      <c r="AA36" s="982">
        <f t="shared" si="3"/>
        <v>1</v>
      </c>
      <c r="AB36" s="982">
        <f t="shared" si="4"/>
        <v>1</v>
      </c>
      <c r="AC36" s="982">
        <f t="shared" si="5"/>
        <v>1</v>
      </c>
    </row>
    <row r="37" spans="1:29" ht="15">
      <c r="A37" s="305" t="s">
        <v>1764</v>
      </c>
      <c r="B37" s="1511" t="s">
        <v>3258</v>
      </c>
      <c r="C37" s="830" t="s">
        <v>0</v>
      </c>
      <c r="D37" s="307"/>
      <c r="E37" s="3216"/>
      <c r="F37" s="3567"/>
      <c r="G37" s="3653"/>
      <c r="H37" s="3569"/>
      <c r="I37" s="3216"/>
      <c r="J37" s="3569"/>
      <c r="K37" s="3654"/>
      <c r="L37" s="2091"/>
      <c r="M37" s="2084"/>
      <c r="N37" s="2084"/>
      <c r="O37" s="2084"/>
      <c r="P37" s="4511" t="str">
        <f>A37</f>
        <v>成交单价</v>
      </c>
      <c r="Q37" s="4511"/>
      <c r="R37" s="4504">
        <f>E37</f>
        <v>0</v>
      </c>
      <c r="S37" s="4504"/>
      <c r="T37" s="4504">
        <f>G37</f>
        <v>0</v>
      </c>
      <c r="U37" s="4504"/>
      <c r="V37" s="4504">
        <f>I37</f>
        <v>0</v>
      </c>
      <c r="W37" s="4504"/>
      <c r="X37" s="284"/>
      <c r="Y37" s="520"/>
      <c r="Z37" s="284"/>
      <c r="AA37" s="284"/>
      <c r="AB37" s="284"/>
      <c r="AC37" s="284"/>
    </row>
    <row r="38" spans="1:29" ht="15.75" thickBot="1">
      <c r="A38" s="308" t="s">
        <v>1765</v>
      </c>
      <c r="B38" s="309" t="str">
        <f>B37</f>
        <v>元/平方米</v>
      </c>
      <c r="C38" s="3199" t="e">
        <f>R39</f>
        <v>#DIV/0!</v>
      </c>
      <c r="D38" s="1787" t="s">
        <v>2054</v>
      </c>
      <c r="E38" s="3201" t="e">
        <f>R38</f>
        <v>#DIV/0!</v>
      </c>
      <c r="F38" s="3094"/>
      <c r="G38" s="3199" t="e">
        <f>T38</f>
        <v>#DIV/0!</v>
      </c>
      <c r="H38" s="3094"/>
      <c r="I38" s="3201" t="e">
        <f>V38</f>
        <v>#DIV/0!</v>
      </c>
      <c r="J38" s="3094"/>
      <c r="K38" s="3149">
        <f>F38+H38+J38</f>
        <v>0</v>
      </c>
      <c r="L38" s="2091"/>
      <c r="M38" s="2084"/>
      <c r="N38" s="2084"/>
      <c r="O38" s="2084"/>
      <c r="P38" s="4511" t="str">
        <f>A38</f>
        <v>比较价值（元/平方米）</v>
      </c>
      <c r="Q38" s="4511"/>
      <c r="R38" s="4504" t="e">
        <f>IF(F1="售价",ROUND(PRODUCT(R37,AA7:AA36),0),ROUND(PRODUCT(R37,AA7:AA36),1))</f>
        <v>#DIV/0!</v>
      </c>
      <c r="S38" s="4504"/>
      <c r="T38" s="4504" t="e">
        <f>IF(F1="售价",ROUND(PRODUCT(T37,AB7:AB36),0),ROUND(PRODUCT(T37,AB7:AB36),1))</f>
        <v>#DIV/0!</v>
      </c>
      <c r="U38" s="4504"/>
      <c r="V38" s="4504" t="e">
        <f>IF(F1="售价",ROUND(PRODUCT(V37,AC7:AC36),0),ROUND(PRODUCT(V37,AC7:AC36),1))</f>
        <v>#DIV/0!</v>
      </c>
      <c r="W38" s="4504"/>
      <c r="X38" s="284"/>
      <c r="Y38" s="284"/>
      <c r="Z38" s="284"/>
      <c r="AA38" s="284"/>
      <c r="AB38" s="284"/>
      <c r="AC38" s="284"/>
    </row>
    <row r="39" spans="1:29" ht="15.75" thickBot="1">
      <c r="A39" s="310" t="s">
        <v>1766</v>
      </c>
      <c r="B39" s="311"/>
      <c r="C39" s="3217" t="e">
        <f>R39</f>
        <v>#DIV/0!</v>
      </c>
      <c r="D39" s="260"/>
      <c r="E39" s="260"/>
      <c r="F39" s="260"/>
      <c r="G39" s="260"/>
      <c r="H39" s="260"/>
      <c r="I39" s="260"/>
      <c r="J39" s="260"/>
      <c r="K39" s="421"/>
      <c r="L39" s="2091"/>
      <c r="M39" s="2084"/>
      <c r="N39" s="2084"/>
      <c r="O39" s="2084"/>
      <c r="P39" s="4512" t="str">
        <f>A39</f>
        <v>估价对象XX用房的比较价值（楼面单价，元/平方米）</v>
      </c>
      <c r="Q39" s="4513"/>
      <c r="R39" s="4514" t="e">
        <f>IF(F1="售价",ROUND(IF(D38="简单平均",AVERAGE(R38:W38),R38*F38+T38*H38+V38*J38),0),ROUND(IF(D38="简单平均",AVERAGE(R38:V38),R38*F38+T38*H38+V38*J38),1))</f>
        <v>#DIV/0!</v>
      </c>
      <c r="S39" s="4514"/>
      <c r="T39" s="4514"/>
      <c r="U39" s="4514"/>
      <c r="V39" s="4514"/>
      <c r="W39" s="4514"/>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1767</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1768</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1769</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1770</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1771</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1636</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1601</v>
      </c>
      <c r="B51" s="326"/>
      <c r="C51" s="338" t="s">
        <v>1696</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1639</v>
      </c>
      <c r="B53" s="341" t="s">
        <v>1605</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1608</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1610</v>
      </c>
      <c r="B63" s="341" t="s">
        <v>1646</v>
      </c>
      <c r="C63" s="383" t="s">
        <v>1641</v>
      </c>
      <c r="D63" s="383" t="s">
        <v>1642</v>
      </c>
      <c r="E63" s="383" t="s">
        <v>1643</v>
      </c>
      <c r="F63" s="383" t="s">
        <v>1644</v>
      </c>
      <c r="G63" s="383" t="s">
        <v>1645</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1647</v>
      </c>
      <c r="C65" s="387" t="s">
        <v>1641</v>
      </c>
      <c r="D65" s="387" t="s">
        <v>1642</v>
      </c>
      <c r="E65" s="387" t="s">
        <v>1643</v>
      </c>
      <c r="F65" s="387" t="s">
        <v>1644</v>
      </c>
      <c r="G65" s="387" t="s">
        <v>1645</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1733</v>
      </c>
      <c r="C67" s="454" t="s">
        <v>1719</v>
      </c>
      <c r="D67" s="454" t="s">
        <v>1720</v>
      </c>
      <c r="E67" s="454" t="s">
        <v>1721</v>
      </c>
      <c r="F67" s="454" t="s">
        <v>1722</v>
      </c>
      <c r="G67" s="454" t="s">
        <v>1723</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1653</v>
      </c>
      <c r="C69" s="387" t="s">
        <v>1641</v>
      </c>
      <c r="D69" s="387" t="s">
        <v>1642</v>
      </c>
      <c r="E69" s="387" t="s">
        <v>1643</v>
      </c>
      <c r="F69" s="387" t="s">
        <v>1644</v>
      </c>
      <c r="G69" s="387" t="s">
        <v>1645</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1772</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1614</v>
      </c>
      <c r="B79" s="341" t="s">
        <v>1773</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1774</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1660</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1775</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1776</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1777</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1778</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1779</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1751</v>
      </c>
      <c r="B1" s="881" t="s">
        <v>3239</v>
      </c>
      <c r="C1" s="882" t="s">
        <v>1582</v>
      </c>
      <c r="D1" s="883"/>
      <c r="E1" s="2629"/>
      <c r="F1" s="1438"/>
      <c r="G1" s="893" t="s">
        <v>1687</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1439</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1440</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1441</v>
      </c>
      <c r="B3" s="3175" t="e">
        <f>IF(E2="——",C37,ROUND(B2*10000/D3,0))</f>
        <v>#DIV/0!</v>
      </c>
      <c r="C3" s="253" t="s">
        <v>1688</v>
      </c>
      <c r="D3" s="3175">
        <f>SUMIF('数据-汇总表'!$C19:$C33,D1,'数据-汇总表'!$E19:$E33)</f>
        <v>0</v>
      </c>
      <c r="E3" s="3083" t="s">
        <v>3526</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1689</v>
      </c>
      <c r="B4" s="255"/>
      <c r="C4" s="4450" t="s">
        <v>1690</v>
      </c>
      <c r="D4" s="4451"/>
      <c r="E4" s="4452" t="s">
        <v>1691</v>
      </c>
      <c r="F4" s="4453"/>
      <c r="G4" s="4450" t="s">
        <v>1692</v>
      </c>
      <c r="H4" s="4451"/>
      <c r="I4" s="4450" t="s">
        <v>1693</v>
      </c>
      <c r="J4" s="4451"/>
      <c r="K4" s="415" t="s">
        <v>1694</v>
      </c>
      <c r="L4" s="2083"/>
      <c r="M4" s="2084"/>
      <c r="N4" s="2084"/>
      <c r="O4" s="2084"/>
      <c r="P4" s="4516" t="s">
        <v>1695</v>
      </c>
      <c r="Q4" s="4517"/>
      <c r="R4" s="4432" t="s">
        <v>1691</v>
      </c>
      <c r="S4" s="4433"/>
      <c r="T4" s="4432" t="s">
        <v>1692</v>
      </c>
      <c r="U4" s="4433"/>
      <c r="V4" s="4504" t="s">
        <v>1693</v>
      </c>
      <c r="W4" s="4504"/>
      <c r="X4" s="984"/>
      <c r="Y4" s="4432" t="s">
        <v>1695</v>
      </c>
      <c r="Z4" s="4433"/>
      <c r="AA4" s="4404" t="s">
        <v>1691</v>
      </c>
      <c r="AB4" s="4405" t="s">
        <v>1692</v>
      </c>
      <c r="AC4" s="4404" t="s">
        <v>1693</v>
      </c>
    </row>
    <row r="5" spans="1:29" ht="15">
      <c r="A5" s="257"/>
      <c r="B5" s="258"/>
      <c r="C5" s="4468" t="s">
        <v>1593</v>
      </c>
      <c r="D5" s="4464"/>
      <c r="E5" s="4510" t="s">
        <v>1594</v>
      </c>
      <c r="F5" s="4473"/>
      <c r="G5" s="4468" t="s">
        <v>1595</v>
      </c>
      <c r="H5" s="4464"/>
      <c r="I5" s="4468" t="s">
        <v>1596</v>
      </c>
      <c r="J5" s="4464"/>
      <c r="K5" s="415"/>
      <c r="L5" s="2083"/>
      <c r="M5" s="2084"/>
      <c r="N5" s="2084"/>
      <c r="O5" s="2084"/>
      <c r="P5" s="4518"/>
      <c r="Q5" s="4519"/>
      <c r="R5" s="4434"/>
      <c r="S5" s="4435"/>
      <c r="T5" s="4434"/>
      <c r="U5" s="4435"/>
      <c r="V5" s="4504"/>
      <c r="W5" s="4504"/>
      <c r="X5" s="984"/>
      <c r="Y5" s="4434"/>
      <c r="Z5" s="4435"/>
      <c r="AA5" s="4405"/>
      <c r="AB5" s="4405"/>
      <c r="AC5" s="4405"/>
    </row>
    <row r="6" spans="1:29" ht="15.75" thickBot="1">
      <c r="A6" s="259"/>
      <c r="B6" s="260"/>
      <c r="C6" s="4461" t="s">
        <v>1597</v>
      </c>
      <c r="D6" s="4462"/>
      <c r="E6" s="4469" t="s">
        <v>1597</v>
      </c>
      <c r="F6" s="4470"/>
      <c r="G6" s="4461" t="s">
        <v>1597</v>
      </c>
      <c r="H6" s="4462"/>
      <c r="I6" s="4461" t="s">
        <v>1597</v>
      </c>
      <c r="J6" s="4462"/>
      <c r="K6" s="415" t="s">
        <v>1598</v>
      </c>
      <c r="L6" s="2083"/>
      <c r="M6" s="2084"/>
      <c r="N6" s="2084"/>
      <c r="O6" s="2084"/>
      <c r="P6" s="4520"/>
      <c r="Q6" s="4521"/>
      <c r="R6" s="4434"/>
      <c r="S6" s="4435"/>
      <c r="T6" s="4436"/>
      <c r="U6" s="4437"/>
      <c r="V6" s="4504"/>
      <c r="W6" s="4504"/>
      <c r="X6" s="984"/>
      <c r="Y6" s="4436"/>
      <c r="Z6" s="4437"/>
      <c r="AA6" s="4406"/>
      <c r="AB6" s="4406"/>
      <c r="AC6" s="4406"/>
    </row>
    <row r="7" spans="1:29" s="61" customFormat="1" ht="15.75" thickBot="1">
      <c r="A7" s="261" t="s">
        <v>1599</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430" t="s">
        <v>1600</v>
      </c>
      <c r="Q7" s="4522"/>
      <c r="R7" s="511" t="s">
        <v>13</v>
      </c>
      <c r="S7" s="512">
        <f t="shared" ref="S7:S14" si="0">F7</f>
        <v>0</v>
      </c>
      <c r="T7" s="511" t="s">
        <v>13</v>
      </c>
      <c r="U7" s="512">
        <f t="shared" ref="U7:U14" si="1">H7</f>
        <v>0</v>
      </c>
      <c r="V7" s="511" t="s">
        <v>13</v>
      </c>
      <c r="W7" s="512">
        <f t="shared" ref="W7:W14" si="2">J7</f>
        <v>0</v>
      </c>
      <c r="X7" s="513"/>
      <c r="Y7" s="4430" t="s">
        <v>1600</v>
      </c>
      <c r="Z7" s="4431"/>
      <c r="AA7" s="41" t="e">
        <f>D7/F7</f>
        <v>#DIV/0!</v>
      </c>
      <c r="AB7" s="41" t="e">
        <f>D7/H7</f>
        <v>#DIV/0!</v>
      </c>
      <c r="AC7" s="41" t="e">
        <f>D7/J7</f>
        <v>#DIV/0!</v>
      </c>
    </row>
    <row r="8" spans="1:29" s="61" customFormat="1" ht="15.75" thickBot="1">
      <c r="A8" s="261" t="s">
        <v>1601</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430" t="s">
        <v>1603</v>
      </c>
      <c r="Q8" s="4431"/>
      <c r="R8" s="511" t="s">
        <v>13</v>
      </c>
      <c r="S8" s="512">
        <f t="shared" si="0"/>
        <v>100</v>
      </c>
      <c r="T8" s="511" t="s">
        <v>13</v>
      </c>
      <c r="U8" s="512">
        <f t="shared" si="1"/>
        <v>100</v>
      </c>
      <c r="V8" s="511" t="s">
        <v>13</v>
      </c>
      <c r="W8" s="512">
        <f t="shared" si="2"/>
        <v>100</v>
      </c>
      <c r="X8" s="513"/>
      <c r="Y8" s="4430" t="s">
        <v>1603</v>
      </c>
      <c r="Z8" s="4431"/>
      <c r="AA8" s="41">
        <f t="shared" ref="AA8:AA34" si="3">D8/F8</f>
        <v>1</v>
      </c>
      <c r="AB8" s="41">
        <f t="shared" ref="AB8:AB34" si="4">D8/H8</f>
        <v>1</v>
      </c>
      <c r="AC8" s="41">
        <f t="shared" ref="AC8:AC34" si="5">D8/J8</f>
        <v>1</v>
      </c>
    </row>
    <row r="9" spans="1:29" s="61" customFormat="1">
      <c r="A9" s="266" t="s">
        <v>1604</v>
      </c>
      <c r="B9" s="47" t="s">
        <v>1605</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511" t="s">
        <v>1606</v>
      </c>
      <c r="Q9" s="408" t="str">
        <f t="shared" ref="Q9:Q14" si="6">B9</f>
        <v>用途</v>
      </c>
      <c r="R9" s="511" t="s">
        <v>13</v>
      </c>
      <c r="S9" s="512">
        <f t="shared" si="0"/>
        <v>100</v>
      </c>
      <c r="T9" s="511" t="s">
        <v>13</v>
      </c>
      <c r="U9" s="512">
        <f t="shared" si="1"/>
        <v>100</v>
      </c>
      <c r="V9" s="511" t="s">
        <v>13</v>
      </c>
      <c r="W9" s="512">
        <f t="shared" si="2"/>
        <v>100</v>
      </c>
      <c r="X9" s="513"/>
      <c r="Y9" s="4403" t="s">
        <v>1607</v>
      </c>
      <c r="Z9" s="41" t="str">
        <f t="shared" ref="Z9:Z14" si="7">Q9</f>
        <v>用途</v>
      </c>
      <c r="AA9" s="41">
        <f t="shared" si="3"/>
        <v>1</v>
      </c>
      <c r="AB9" s="41">
        <f t="shared" si="4"/>
        <v>1</v>
      </c>
      <c r="AC9" s="41">
        <f t="shared" si="5"/>
        <v>1</v>
      </c>
    </row>
    <row r="10" spans="1:29" s="272" customFormat="1" ht="27">
      <c r="A10" s="270"/>
      <c r="B10" s="271" t="s">
        <v>1608</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511"/>
      <c r="Q10" s="408" t="str">
        <f t="shared" si="6"/>
        <v>土地使用年限（年）</v>
      </c>
      <c r="R10" s="511" t="s">
        <v>13</v>
      </c>
      <c r="S10" s="512">
        <f t="shared" si="0"/>
        <v>100</v>
      </c>
      <c r="T10" s="511" t="s">
        <v>13</v>
      </c>
      <c r="U10" s="512">
        <f t="shared" si="1"/>
        <v>100</v>
      </c>
      <c r="V10" s="511" t="s">
        <v>13</v>
      </c>
      <c r="W10" s="512">
        <f t="shared" si="2"/>
        <v>100</v>
      </c>
      <c r="X10" s="513"/>
      <c r="Y10" s="4403"/>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511"/>
      <c r="Q11" s="408">
        <f t="shared" si="6"/>
        <v>111</v>
      </c>
      <c r="R11" s="511" t="s">
        <v>13</v>
      </c>
      <c r="S11" s="512">
        <f t="shared" si="0"/>
        <v>100</v>
      </c>
      <c r="T11" s="511" t="s">
        <v>13</v>
      </c>
      <c r="U11" s="512">
        <f t="shared" si="1"/>
        <v>100</v>
      </c>
      <c r="V11" s="511" t="s">
        <v>13</v>
      </c>
      <c r="W11" s="512">
        <f t="shared" si="2"/>
        <v>100</v>
      </c>
      <c r="X11" s="513"/>
      <c r="Y11" s="4403"/>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511"/>
      <c r="Q12" s="408">
        <f t="shared" si="6"/>
        <v>111</v>
      </c>
      <c r="R12" s="511" t="s">
        <v>13</v>
      </c>
      <c r="S12" s="512">
        <f t="shared" si="0"/>
        <v>100</v>
      </c>
      <c r="T12" s="511" t="s">
        <v>13</v>
      </c>
      <c r="U12" s="512">
        <f t="shared" si="1"/>
        <v>100</v>
      </c>
      <c r="V12" s="511" t="s">
        <v>13</v>
      </c>
      <c r="W12" s="512">
        <f t="shared" si="2"/>
        <v>100</v>
      </c>
      <c r="X12" s="513"/>
      <c r="Y12" s="4403"/>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511"/>
      <c r="Q13" s="408">
        <f t="shared" si="6"/>
        <v>111</v>
      </c>
      <c r="R13" s="511" t="s">
        <v>13</v>
      </c>
      <c r="S13" s="512">
        <f t="shared" si="0"/>
        <v>100</v>
      </c>
      <c r="T13" s="511" t="s">
        <v>13</v>
      </c>
      <c r="U13" s="512">
        <f t="shared" si="1"/>
        <v>100</v>
      </c>
      <c r="V13" s="511" t="s">
        <v>13</v>
      </c>
      <c r="W13" s="512">
        <f t="shared" si="2"/>
        <v>100</v>
      </c>
      <c r="X13" s="513"/>
      <c r="Y13" s="4403"/>
      <c r="Z13" s="41">
        <f t="shared" si="7"/>
        <v>111</v>
      </c>
      <c r="AA13" s="41">
        <f t="shared" si="3"/>
        <v>1</v>
      </c>
      <c r="AB13" s="41">
        <f t="shared" si="4"/>
        <v>1</v>
      </c>
      <c r="AC13" s="41">
        <f t="shared" si="5"/>
        <v>1</v>
      </c>
    </row>
    <row r="14" spans="1:29" ht="15">
      <c r="A14" s="281" t="s">
        <v>1610</v>
      </c>
      <c r="B14" s="45" t="s">
        <v>1753</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93" t="s">
        <v>1611</v>
      </c>
      <c r="Q14" s="981" t="str">
        <f t="shared" si="6"/>
        <v>交通便捷度</v>
      </c>
      <c r="R14" s="514" t="s">
        <v>13</v>
      </c>
      <c r="S14" s="515">
        <f t="shared" si="0"/>
        <v>100</v>
      </c>
      <c r="T14" s="514" t="s">
        <v>13</v>
      </c>
      <c r="U14" s="515">
        <f t="shared" si="1"/>
        <v>100</v>
      </c>
      <c r="V14" s="514" t="s">
        <v>13</v>
      </c>
      <c r="W14" s="515">
        <f t="shared" si="2"/>
        <v>100</v>
      </c>
      <c r="X14" s="984"/>
      <c r="Y14" s="4393" t="s">
        <v>1611</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94"/>
      <c r="Q15" s="981"/>
      <c r="R15" s="514"/>
      <c r="S15" s="515"/>
      <c r="T15" s="514"/>
      <c r="U15" s="515"/>
      <c r="V15" s="514"/>
      <c r="W15" s="515"/>
      <c r="X15" s="984"/>
      <c r="Y15" s="4394"/>
      <c r="Z15" s="982"/>
      <c r="AA15" s="982">
        <v>1</v>
      </c>
      <c r="AB15" s="982">
        <v>1</v>
      </c>
      <c r="AC15" s="982">
        <v>1</v>
      </c>
    </row>
    <row r="16" spans="1:29" ht="15">
      <c r="A16" s="273"/>
      <c r="B16" s="288" t="s">
        <v>1732</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94"/>
      <c r="Q16" s="981" t="str">
        <f>B16</f>
        <v>公共配套设施</v>
      </c>
      <c r="R16" s="514" t="s">
        <v>13</v>
      </c>
      <c r="S16" s="515">
        <f>F16</f>
        <v>100</v>
      </c>
      <c r="T16" s="514" t="s">
        <v>13</v>
      </c>
      <c r="U16" s="515">
        <f>H16</f>
        <v>100</v>
      </c>
      <c r="V16" s="514" t="s">
        <v>13</v>
      </c>
      <c r="W16" s="515">
        <f>J16</f>
        <v>100</v>
      </c>
      <c r="X16" s="984"/>
      <c r="Y16" s="4394"/>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94"/>
      <c r="Q17" s="981"/>
      <c r="R17" s="514"/>
      <c r="S17" s="515"/>
      <c r="T17" s="514"/>
      <c r="U17" s="515"/>
      <c r="V17" s="514"/>
      <c r="W17" s="515"/>
      <c r="X17" s="984"/>
      <c r="Y17" s="4394"/>
      <c r="Z17" s="982"/>
      <c r="AA17" s="982">
        <v>1</v>
      </c>
      <c r="AB17" s="982">
        <v>1</v>
      </c>
      <c r="AC17" s="982">
        <v>1</v>
      </c>
    </row>
    <row r="18" spans="1:29" ht="15">
      <c r="A18" s="273"/>
      <c r="B18" s="823" t="s">
        <v>1733</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94"/>
      <c r="Q18" s="981" t="str">
        <f>B18</f>
        <v>基础设施水平</v>
      </c>
      <c r="R18" s="514" t="s">
        <v>13</v>
      </c>
      <c r="S18" s="515">
        <f>F18</f>
        <v>100</v>
      </c>
      <c r="T18" s="514" t="s">
        <v>13</v>
      </c>
      <c r="U18" s="515">
        <f>H18</f>
        <v>100</v>
      </c>
      <c r="V18" s="514" t="s">
        <v>13</v>
      </c>
      <c r="W18" s="515">
        <f>J18</f>
        <v>100</v>
      </c>
      <c r="X18" s="984"/>
      <c r="Y18" s="4394"/>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94"/>
      <c r="Q19" s="981"/>
      <c r="R19" s="514"/>
      <c r="S19" s="515"/>
      <c r="T19" s="514"/>
      <c r="U19" s="515"/>
      <c r="V19" s="514"/>
      <c r="W19" s="515"/>
      <c r="X19" s="984"/>
      <c r="Y19" s="4394"/>
      <c r="Z19" s="982"/>
      <c r="AA19" s="982">
        <v>1</v>
      </c>
      <c r="AB19" s="982">
        <v>1</v>
      </c>
      <c r="AC19" s="982">
        <v>1</v>
      </c>
    </row>
    <row r="20" spans="1:29" ht="15">
      <c r="A20" s="273"/>
      <c r="B20" s="288" t="s">
        <v>1754</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94"/>
      <c r="Q20" s="981" t="str">
        <f>B20</f>
        <v>自然及人文环境</v>
      </c>
      <c r="R20" s="514" t="s">
        <v>13</v>
      </c>
      <c r="S20" s="515">
        <f>F20</f>
        <v>100</v>
      </c>
      <c r="T20" s="514" t="s">
        <v>13</v>
      </c>
      <c r="U20" s="515">
        <f>H20</f>
        <v>100</v>
      </c>
      <c r="V20" s="514" t="s">
        <v>13</v>
      </c>
      <c r="W20" s="515">
        <f>J20</f>
        <v>100</v>
      </c>
      <c r="X20" s="984"/>
      <c r="Y20" s="4394"/>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94"/>
      <c r="Q21" s="981"/>
      <c r="R21" s="514"/>
      <c r="S21" s="515"/>
      <c r="T21" s="514"/>
      <c r="U21" s="515"/>
      <c r="V21" s="514"/>
      <c r="W21" s="515"/>
      <c r="X21" s="984"/>
      <c r="Y21" s="4394"/>
      <c r="Z21" s="982"/>
      <c r="AA21" s="982">
        <v>1</v>
      </c>
      <c r="AB21" s="982">
        <v>1</v>
      </c>
      <c r="AC21" s="982">
        <v>1</v>
      </c>
    </row>
    <row r="22" spans="1:29" ht="15">
      <c r="A22" s="273"/>
      <c r="B22" s="288" t="s">
        <v>1755</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94"/>
      <c r="Q22" s="981" t="str">
        <f>B22</f>
        <v>楼层</v>
      </c>
      <c r="R22" s="514" t="s">
        <v>13</v>
      </c>
      <c r="S22" s="515">
        <f>F22</f>
        <v>100</v>
      </c>
      <c r="T22" s="514" t="s">
        <v>13</v>
      </c>
      <c r="U22" s="515">
        <f>H22</f>
        <v>100</v>
      </c>
      <c r="V22" s="514" t="s">
        <v>13</v>
      </c>
      <c r="W22" s="515">
        <f>J22</f>
        <v>100</v>
      </c>
      <c r="X22" s="984"/>
      <c r="Y22" s="4394"/>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94"/>
      <c r="Q23" s="981">
        <f>B23</f>
        <v>111</v>
      </c>
      <c r="R23" s="514" t="s">
        <v>13</v>
      </c>
      <c r="S23" s="515">
        <f>F23</f>
        <v>100</v>
      </c>
      <c r="T23" s="514" t="s">
        <v>13</v>
      </c>
      <c r="U23" s="515">
        <f>H23</f>
        <v>100</v>
      </c>
      <c r="V23" s="514" t="s">
        <v>13</v>
      </c>
      <c r="W23" s="515">
        <f>J23</f>
        <v>100</v>
      </c>
      <c r="X23" s="984"/>
      <c r="Y23" s="4394"/>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94"/>
      <c r="Q24" s="981">
        <f t="shared" ref="Q24:Q34" si="11">B24</f>
        <v>111</v>
      </c>
      <c r="R24" s="514" t="s">
        <v>13</v>
      </c>
      <c r="S24" s="515">
        <f>F24</f>
        <v>100</v>
      </c>
      <c r="T24" s="514" t="s">
        <v>13</v>
      </c>
      <c r="U24" s="515">
        <f>H24</f>
        <v>100</v>
      </c>
      <c r="V24" s="514" t="s">
        <v>13</v>
      </c>
      <c r="W24" s="515">
        <f>J24</f>
        <v>100</v>
      </c>
      <c r="X24" s="984"/>
      <c r="Y24" s="4394"/>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94"/>
      <c r="Q25" s="408">
        <f t="shared" si="11"/>
        <v>111</v>
      </c>
      <c r="R25" s="511" t="s">
        <v>13</v>
      </c>
      <c r="S25" s="512">
        <f>F25</f>
        <v>100</v>
      </c>
      <c r="T25" s="511" t="s">
        <v>13</v>
      </c>
      <c r="U25" s="512">
        <f>H25</f>
        <v>100</v>
      </c>
      <c r="V25" s="511" t="s">
        <v>13</v>
      </c>
      <c r="W25" s="512">
        <f>J25</f>
        <v>100</v>
      </c>
      <c r="X25" s="513"/>
      <c r="Y25" s="4394"/>
      <c r="Z25" s="41">
        <f>Q25</f>
        <v>111</v>
      </c>
      <c r="AA25" s="982">
        <f>D25/F25</f>
        <v>1</v>
      </c>
      <c r="AB25" s="982">
        <f>D25/H25</f>
        <v>1</v>
      </c>
      <c r="AC25" s="982">
        <f>D25/J25</f>
        <v>1</v>
      </c>
    </row>
    <row r="26" spans="1:29" ht="28.5">
      <c r="A26" s="295" t="s">
        <v>1614</v>
      </c>
      <c r="B26" s="47" t="s">
        <v>1758</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515" t="s">
        <v>1616</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98" t="s">
        <v>1616</v>
      </c>
      <c r="Z26" s="982" t="str">
        <f t="shared" ref="Z26:Z34" si="15">Q26</f>
        <v>公共部分装修</v>
      </c>
      <c r="AA26" s="982">
        <f t="shared" si="3"/>
        <v>1</v>
      </c>
      <c r="AB26" s="982">
        <f t="shared" si="4"/>
        <v>1</v>
      </c>
      <c r="AC26" s="982">
        <f t="shared" si="5"/>
        <v>1</v>
      </c>
    </row>
    <row r="27" spans="1:29" s="298" customFormat="1" ht="15">
      <c r="A27" s="296"/>
      <c r="B27" s="271" t="s">
        <v>1759</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98"/>
      <c r="Q27" s="409" t="str">
        <f t="shared" si="11"/>
        <v>成新率</v>
      </c>
      <c r="R27" s="516" t="s">
        <v>13</v>
      </c>
      <c r="S27" s="517" t="e">
        <f t="shared" si="12"/>
        <v>#N/A</v>
      </c>
      <c r="T27" s="516" t="s">
        <v>13</v>
      </c>
      <c r="U27" s="517" t="e">
        <f t="shared" si="13"/>
        <v>#N/A</v>
      </c>
      <c r="V27" s="516" t="s">
        <v>13</v>
      </c>
      <c r="W27" s="517" t="e">
        <f t="shared" si="14"/>
        <v>#N/A</v>
      </c>
      <c r="X27" s="518"/>
      <c r="Y27" s="4398"/>
      <c r="Z27" s="519" t="str">
        <f t="shared" si="15"/>
        <v>成新率</v>
      </c>
      <c r="AA27" s="982" t="e">
        <f t="shared" si="3"/>
        <v>#N/A</v>
      </c>
      <c r="AB27" s="982" t="e">
        <f t="shared" si="4"/>
        <v>#N/A</v>
      </c>
      <c r="AC27" s="982" t="e">
        <f t="shared" si="5"/>
        <v>#N/A</v>
      </c>
    </row>
    <row r="28" spans="1:29" ht="15">
      <c r="A28" s="299"/>
      <c r="B28" s="271" t="s">
        <v>1760</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98"/>
      <c r="Q28" s="981" t="str">
        <f t="shared" si="11"/>
        <v>物业等级</v>
      </c>
      <c r="R28" s="514" t="s">
        <v>13</v>
      </c>
      <c r="S28" s="515">
        <f t="shared" si="12"/>
        <v>100</v>
      </c>
      <c r="T28" s="514" t="s">
        <v>13</v>
      </c>
      <c r="U28" s="515">
        <f t="shared" si="13"/>
        <v>100</v>
      </c>
      <c r="V28" s="514" t="s">
        <v>13</v>
      </c>
      <c r="W28" s="515">
        <f t="shared" si="14"/>
        <v>100</v>
      </c>
      <c r="X28" s="984"/>
      <c r="Y28" s="4398"/>
      <c r="Z28" s="982" t="str">
        <f t="shared" si="15"/>
        <v>物业等级</v>
      </c>
      <c r="AA28" s="982">
        <f t="shared" si="3"/>
        <v>1</v>
      </c>
      <c r="AB28" s="982">
        <f t="shared" si="4"/>
        <v>1</v>
      </c>
      <c r="AC28" s="982">
        <f t="shared" si="5"/>
        <v>1</v>
      </c>
    </row>
    <row r="29" spans="1:29" ht="15">
      <c r="A29" s="299"/>
      <c r="B29" s="271" t="s">
        <v>1780</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98"/>
      <c r="Q29" s="981" t="str">
        <f t="shared" si="11"/>
        <v>有无电梯</v>
      </c>
      <c r="R29" s="514" t="s">
        <v>13</v>
      </c>
      <c r="S29" s="515">
        <f t="shared" si="12"/>
        <v>100</v>
      </c>
      <c r="T29" s="514" t="s">
        <v>13</v>
      </c>
      <c r="U29" s="515">
        <f t="shared" si="13"/>
        <v>100</v>
      </c>
      <c r="V29" s="514" t="s">
        <v>13</v>
      </c>
      <c r="W29" s="515">
        <f t="shared" si="14"/>
        <v>100</v>
      </c>
      <c r="X29" s="984"/>
      <c r="Y29" s="4398"/>
      <c r="Z29" s="982" t="str">
        <f t="shared" si="15"/>
        <v>有无电梯</v>
      </c>
      <c r="AA29" s="982">
        <f t="shared" si="3"/>
        <v>1</v>
      </c>
      <c r="AB29" s="982">
        <f t="shared" si="4"/>
        <v>1</v>
      </c>
      <c r="AC29" s="982">
        <f t="shared" si="5"/>
        <v>1</v>
      </c>
    </row>
    <row r="30" spans="1:29" ht="15">
      <c r="A30" s="299"/>
      <c r="B30" s="271" t="s">
        <v>1781</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98"/>
      <c r="Q30" s="981" t="str">
        <f t="shared" si="11"/>
        <v>建筑面积</v>
      </c>
      <c r="R30" s="514" t="s">
        <v>13</v>
      </c>
      <c r="S30" s="515" t="e">
        <f t="shared" si="12"/>
        <v>#N/A</v>
      </c>
      <c r="T30" s="514" t="s">
        <v>13</v>
      </c>
      <c r="U30" s="515" t="e">
        <f t="shared" si="13"/>
        <v>#N/A</v>
      </c>
      <c r="V30" s="514" t="s">
        <v>13</v>
      </c>
      <c r="W30" s="515" t="e">
        <f t="shared" si="14"/>
        <v>#N/A</v>
      </c>
      <c r="X30" s="984"/>
      <c r="Y30" s="4398"/>
      <c r="Z30" s="982" t="str">
        <f t="shared" si="15"/>
        <v>建筑面积</v>
      </c>
      <c r="AA30" s="982" t="e">
        <f t="shared" si="3"/>
        <v>#N/A</v>
      </c>
      <c r="AB30" s="982" t="e">
        <f t="shared" si="4"/>
        <v>#N/A</v>
      </c>
      <c r="AC30" s="982" t="e">
        <f t="shared" si="5"/>
        <v>#N/A</v>
      </c>
    </row>
    <row r="31" spans="1:29" s="61" customFormat="1" ht="15">
      <c r="A31" s="300"/>
      <c r="B31" s="271" t="s">
        <v>1782</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98"/>
      <c r="Q31" s="408" t="str">
        <f t="shared" si="11"/>
        <v>是否封闭</v>
      </c>
      <c r="R31" s="511" t="s">
        <v>13</v>
      </c>
      <c r="S31" s="512">
        <f t="shared" si="12"/>
        <v>100</v>
      </c>
      <c r="T31" s="511" t="s">
        <v>13</v>
      </c>
      <c r="U31" s="512">
        <f t="shared" si="13"/>
        <v>100</v>
      </c>
      <c r="V31" s="511" t="s">
        <v>13</v>
      </c>
      <c r="W31" s="512">
        <f t="shared" si="14"/>
        <v>100</v>
      </c>
      <c r="X31" s="513"/>
      <c r="Y31" s="4398"/>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98" t="s">
        <v>1616</v>
      </c>
      <c r="Q32" s="981">
        <f t="shared" si="11"/>
        <v>111</v>
      </c>
      <c r="R32" s="514" t="s">
        <v>13</v>
      </c>
      <c r="S32" s="515">
        <f t="shared" si="12"/>
        <v>100</v>
      </c>
      <c r="T32" s="514" t="s">
        <v>13</v>
      </c>
      <c r="U32" s="515">
        <f t="shared" si="13"/>
        <v>100</v>
      </c>
      <c r="V32" s="514" t="s">
        <v>13</v>
      </c>
      <c r="W32" s="515">
        <f t="shared" si="14"/>
        <v>100</v>
      </c>
      <c r="X32" s="984"/>
      <c r="Y32" s="4398" t="s">
        <v>1616</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98"/>
      <c r="Q33" s="981">
        <f t="shared" si="11"/>
        <v>111</v>
      </c>
      <c r="R33" s="514" t="s">
        <v>13</v>
      </c>
      <c r="S33" s="515">
        <f t="shared" si="12"/>
        <v>100</v>
      </c>
      <c r="T33" s="514" t="s">
        <v>13</v>
      </c>
      <c r="U33" s="515">
        <f t="shared" si="13"/>
        <v>100</v>
      </c>
      <c r="V33" s="514" t="s">
        <v>13</v>
      </c>
      <c r="W33" s="515">
        <f t="shared" si="14"/>
        <v>100</v>
      </c>
      <c r="X33" s="984"/>
      <c r="Y33" s="4398"/>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98"/>
      <c r="Q34" s="981">
        <f t="shared" si="11"/>
        <v>111</v>
      </c>
      <c r="R34" s="514" t="s">
        <v>13</v>
      </c>
      <c r="S34" s="515">
        <f t="shared" si="12"/>
        <v>100</v>
      </c>
      <c r="T34" s="514" t="s">
        <v>13</v>
      </c>
      <c r="U34" s="515">
        <f t="shared" si="13"/>
        <v>100</v>
      </c>
      <c r="V34" s="514" t="s">
        <v>13</v>
      </c>
      <c r="W34" s="515">
        <f t="shared" si="14"/>
        <v>100</v>
      </c>
      <c r="X34" s="984"/>
      <c r="Y34" s="4398"/>
      <c r="Z34" s="982">
        <f t="shared" si="15"/>
        <v>111</v>
      </c>
      <c r="AA34" s="982">
        <f t="shared" si="3"/>
        <v>1</v>
      </c>
      <c r="AB34" s="982">
        <f t="shared" si="4"/>
        <v>1</v>
      </c>
      <c r="AC34" s="982">
        <f t="shared" si="5"/>
        <v>1</v>
      </c>
    </row>
    <row r="35" spans="1:30" ht="15">
      <c r="A35" s="305" t="s">
        <v>1628</v>
      </c>
      <c r="B35" s="306"/>
      <c r="C35" s="830" t="s">
        <v>0</v>
      </c>
      <c r="D35" s="307"/>
      <c r="E35" s="3216"/>
      <c r="F35" s="3567"/>
      <c r="G35" s="3653"/>
      <c r="H35" s="3569"/>
      <c r="I35" s="3216"/>
      <c r="J35" s="3569"/>
      <c r="K35" s="3156"/>
      <c r="L35" s="2091"/>
      <c r="M35" s="2084"/>
      <c r="N35" s="2084"/>
      <c r="O35" s="2084"/>
      <c r="P35" s="4511" t="str">
        <f>A35</f>
        <v>成交单价（元/平方米）</v>
      </c>
      <c r="Q35" s="4511"/>
      <c r="R35" s="4504">
        <f>E35</f>
        <v>0</v>
      </c>
      <c r="S35" s="4504"/>
      <c r="T35" s="4504">
        <f>G35</f>
        <v>0</v>
      </c>
      <c r="U35" s="4504"/>
      <c r="V35" s="4504">
        <f>I35</f>
        <v>0</v>
      </c>
      <c r="W35" s="4504"/>
      <c r="X35" s="284"/>
      <c r="Y35" s="520"/>
      <c r="Z35" s="284"/>
      <c r="AA35" s="284"/>
      <c r="AB35" s="284"/>
      <c r="AC35" s="284"/>
    </row>
    <row r="36" spans="1:30" ht="15.75" thickBot="1">
      <c r="A36" s="308" t="s">
        <v>1713</v>
      </c>
      <c r="B36" s="309"/>
      <c r="C36" s="3199" t="e">
        <f>R37</f>
        <v>#DIV/0!</v>
      </c>
      <c r="D36" s="1787" t="s">
        <v>2054</v>
      </c>
      <c r="E36" s="3201" t="e">
        <f>R36</f>
        <v>#DIV/0!</v>
      </c>
      <c r="F36" s="3094"/>
      <c r="G36" s="3199" t="e">
        <f>T36</f>
        <v>#DIV/0!</v>
      </c>
      <c r="H36" s="3094"/>
      <c r="I36" s="3201" t="e">
        <f>V36</f>
        <v>#DIV/0!</v>
      </c>
      <c r="J36" s="3094"/>
      <c r="K36" s="3149">
        <f>F36+H36+J36</f>
        <v>0</v>
      </c>
      <c r="L36" s="2091"/>
      <c r="M36" s="2084"/>
      <c r="N36" s="2084"/>
      <c r="O36" s="2084"/>
      <c r="P36" s="4511" t="str">
        <f>A36</f>
        <v>比较价值（元/平方米）</v>
      </c>
      <c r="Q36" s="4511"/>
      <c r="R36" s="4504" t="e">
        <f>IF(F1="售价",ROUND(PRODUCT(R35,AA7:AA34),0),ROUND(PRODUCT(R35,AA7:AA34),1))</f>
        <v>#DIV/0!</v>
      </c>
      <c r="S36" s="4504"/>
      <c r="T36" s="4504" t="e">
        <f>IF(F1="售价",ROUND(PRODUCT(T35,AB7:AB34),0),ROUND(PRODUCT(T35,AB7:AB34),1))</f>
        <v>#DIV/0!</v>
      </c>
      <c r="U36" s="4504"/>
      <c r="V36" s="4504" t="e">
        <f>IF(F1="售价",ROUND(PRODUCT(V35,AC7:AC34),0),ROUND(PRODUCT(V35,AC7:AC34),1))</f>
        <v>#DIV/0!</v>
      </c>
      <c r="W36" s="4504"/>
      <c r="X36" s="284"/>
      <c r="Y36" s="284"/>
      <c r="Z36" s="284"/>
      <c r="AA36" s="284"/>
      <c r="AB36" s="284"/>
      <c r="AC36" s="284"/>
    </row>
    <row r="37" spans="1:30" ht="15.75" thickBot="1">
      <c r="A37" s="310" t="s">
        <v>1714</v>
      </c>
      <c r="B37" s="311"/>
      <c r="C37" s="3217" t="e">
        <f>R37</f>
        <v>#DIV/0!</v>
      </c>
      <c r="D37" s="260"/>
      <c r="E37" s="260"/>
      <c r="F37" s="260"/>
      <c r="G37" s="260"/>
      <c r="H37" s="260"/>
      <c r="I37" s="260"/>
      <c r="J37" s="260"/>
      <c r="K37" s="521"/>
      <c r="L37" s="2091"/>
      <c r="M37" s="2084"/>
      <c r="N37" s="2084"/>
      <c r="O37" s="2084"/>
      <c r="P37" s="4512" t="str">
        <f>A37</f>
        <v>估价对象XX用房的比较价值（楼面单价，元/平方米）</v>
      </c>
      <c r="Q37" s="4513"/>
      <c r="R37" s="4514" t="e">
        <f>IF(F1="售价",ROUND(IF(D36="简单平均",AVERAGE(R36:W36),R36*F36+T36*H36+V36*J36),0),ROUND(IF(D36="简单平均",AVERAGE(R36:V36),R36*F36+T36*H36+V36*J36),1))</f>
        <v>#DIV/0!</v>
      </c>
      <c r="S37" s="4514"/>
      <c r="T37" s="4514"/>
      <c r="U37" s="4514"/>
      <c r="V37" s="4514"/>
      <c r="W37" s="4514"/>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1715</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1716</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1717</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1718</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1599</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1636</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1601</v>
      </c>
      <c r="B49" s="326"/>
      <c r="C49" s="338" t="s">
        <v>1696</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1639</v>
      </c>
      <c r="B51" s="341" t="s">
        <v>1605</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1608</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1610</v>
      </c>
      <c r="B61" s="341" t="s">
        <v>1646</v>
      </c>
      <c r="C61" s="383" t="s">
        <v>1641</v>
      </c>
      <c r="D61" s="383" t="s">
        <v>1642</v>
      </c>
      <c r="E61" s="383" t="s">
        <v>1643</v>
      </c>
      <c r="F61" s="383" t="s">
        <v>1644</v>
      </c>
      <c r="G61" s="383" t="s">
        <v>1645</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1783</v>
      </c>
      <c r="C63" s="387" t="s">
        <v>1641</v>
      </c>
      <c r="D63" s="387" t="s">
        <v>1642</v>
      </c>
      <c r="E63" s="387" t="s">
        <v>1643</v>
      </c>
      <c r="F63" s="387" t="s">
        <v>1644</v>
      </c>
      <c r="G63" s="387" t="s">
        <v>1645</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1733</v>
      </c>
      <c r="C65" s="454" t="s">
        <v>1719</v>
      </c>
      <c r="D65" s="454" t="s">
        <v>1720</v>
      </c>
      <c r="E65" s="454" t="s">
        <v>1721</v>
      </c>
      <c r="F65" s="454" t="s">
        <v>1722</v>
      </c>
      <c r="G65" s="454" t="s">
        <v>1723</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1653</v>
      </c>
      <c r="C67" s="387" t="s">
        <v>1641</v>
      </c>
      <c r="D67" s="387" t="s">
        <v>1642</v>
      </c>
      <c r="E67" s="387" t="s">
        <v>1643</v>
      </c>
      <c r="F67" s="387" t="s">
        <v>1644</v>
      </c>
      <c r="G67" s="387" t="s">
        <v>1645</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1772</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1614</v>
      </c>
      <c r="B77" s="341" t="s">
        <v>1660</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1775</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1776</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1784</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1785</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1786</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1787</v>
      </c>
      <c r="B1" s="250"/>
      <c r="C1" s="251" t="s">
        <v>1788</v>
      </c>
      <c r="D1" s="498"/>
      <c r="E1" s="498"/>
      <c r="F1" s="497" t="s">
        <v>1687</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1439</v>
      </c>
      <c r="B2" s="2685">
        <f>F67</f>
        <v>170</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1441</v>
      </c>
      <c r="B3" s="414">
        <f>ROUND(IF(D3="",B2*10000/'数据-汇总表'!E3,B2*10000/D3),0)</f>
        <v>11686</v>
      </c>
      <c r="C3" s="117" t="s">
        <v>1789</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3683</v>
      </c>
      <c r="B4" s="3901" t="e">
        <f>IF(B48="单位面积地价",C50,ROUND(B2*10000/'数据-汇总表'!D3,0))</f>
        <v>#DIV/0!</v>
      </c>
      <c r="C4" s="1421" t="s">
        <v>3685</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3684</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1689</v>
      </c>
      <c r="B6" s="255"/>
      <c r="C6" s="4407" t="s">
        <v>1690</v>
      </c>
      <c r="D6" s="4408"/>
      <c r="E6" s="4409" t="s">
        <v>1691</v>
      </c>
      <c r="F6" s="4410"/>
      <c r="G6" s="4407" t="s">
        <v>1692</v>
      </c>
      <c r="H6" s="4408"/>
      <c r="I6" s="4407" t="s">
        <v>1693</v>
      </c>
      <c r="J6" s="4408"/>
      <c r="K6" s="3157" t="s">
        <v>1694</v>
      </c>
      <c r="L6" s="2083"/>
      <c r="M6" s="2084"/>
      <c r="N6" s="2084"/>
      <c r="O6" s="2084"/>
      <c r="P6" s="4411" t="s">
        <v>1695</v>
      </c>
      <c r="Q6" s="4412"/>
      <c r="R6" s="4417" t="s">
        <v>1691</v>
      </c>
      <c r="S6" s="4418"/>
      <c r="T6" s="4417" t="s">
        <v>1692</v>
      </c>
      <c r="U6" s="4418"/>
      <c r="V6" s="4423" t="s">
        <v>1693</v>
      </c>
      <c r="W6" s="4423"/>
      <c r="X6" s="984"/>
      <c r="Y6" s="4432" t="s">
        <v>1695</v>
      </c>
      <c r="Z6" s="4433"/>
      <c r="AA6" s="4404" t="s">
        <v>1691</v>
      </c>
      <c r="AB6" s="4405" t="s">
        <v>1692</v>
      </c>
      <c r="AC6" s="4404" t="s">
        <v>1693</v>
      </c>
    </row>
    <row r="7" spans="1:29" ht="15">
      <c r="A7" s="257"/>
      <c r="B7" s="258"/>
      <c r="C7" s="4426" t="s">
        <v>1593</v>
      </c>
      <c r="D7" s="4427"/>
      <c r="E7" s="4441" t="s">
        <v>1594</v>
      </c>
      <c r="F7" s="4442"/>
      <c r="G7" s="4426" t="s">
        <v>1595</v>
      </c>
      <c r="H7" s="4427"/>
      <c r="I7" s="4426" t="s">
        <v>1596</v>
      </c>
      <c r="J7" s="4427"/>
      <c r="K7" s="3157"/>
      <c r="L7" s="2083"/>
      <c r="M7" s="2084"/>
      <c r="N7" s="2084"/>
      <c r="O7" s="2084"/>
      <c r="P7" s="4413"/>
      <c r="Q7" s="4414"/>
      <c r="R7" s="4419"/>
      <c r="S7" s="4420"/>
      <c r="T7" s="4419"/>
      <c r="U7" s="4420"/>
      <c r="V7" s="4423"/>
      <c r="W7" s="4423"/>
      <c r="X7" s="984"/>
      <c r="Y7" s="4434"/>
      <c r="Z7" s="4435"/>
      <c r="AA7" s="4405"/>
      <c r="AB7" s="4405"/>
      <c r="AC7" s="4405"/>
    </row>
    <row r="8" spans="1:29" ht="15.75" thickBot="1">
      <c r="A8" s="259"/>
      <c r="B8" s="260"/>
      <c r="C8" s="4424" t="s">
        <v>1597</v>
      </c>
      <c r="D8" s="4425"/>
      <c r="E8" s="4439" t="s">
        <v>1597</v>
      </c>
      <c r="F8" s="4440"/>
      <c r="G8" s="4424" t="s">
        <v>1597</v>
      </c>
      <c r="H8" s="4425"/>
      <c r="I8" s="4424" t="s">
        <v>1597</v>
      </c>
      <c r="J8" s="4425"/>
      <c r="K8" s="3157" t="s">
        <v>1598</v>
      </c>
      <c r="L8" s="2083"/>
      <c r="M8" s="2084"/>
      <c r="N8" s="2084"/>
      <c r="O8" s="2084"/>
      <c r="P8" s="4415"/>
      <c r="Q8" s="4416"/>
      <c r="R8" s="4419"/>
      <c r="S8" s="4420"/>
      <c r="T8" s="4421"/>
      <c r="U8" s="4422"/>
      <c r="V8" s="4423"/>
      <c r="W8" s="4423"/>
      <c r="X8" s="984"/>
      <c r="Y8" s="4436"/>
      <c r="Z8" s="4437"/>
      <c r="AA8" s="4406"/>
      <c r="AB8" s="4406"/>
      <c r="AC8" s="4406"/>
    </row>
    <row r="9" spans="1:29" s="61" customFormat="1" ht="15.75" thickBot="1">
      <c r="A9" s="3501" t="s">
        <v>1599</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428" t="s">
        <v>1600</v>
      </c>
      <c r="Q9" s="4438"/>
      <c r="R9" s="3573" t="s">
        <v>13</v>
      </c>
      <c r="S9" s="3574">
        <f t="shared" ref="S9:S17" si="0">F9</f>
        <v>100.62</v>
      </c>
      <c r="T9" s="3573" t="s">
        <v>13</v>
      </c>
      <c r="U9" s="3574">
        <f t="shared" ref="U9:U17" si="1">H9</f>
        <v>102.01</v>
      </c>
      <c r="V9" s="3573" t="s">
        <v>13</v>
      </c>
      <c r="W9" s="3574">
        <f t="shared" ref="W9:W17" si="2">J9</f>
        <v>103.83</v>
      </c>
      <c r="X9" s="513"/>
      <c r="Y9" s="4430" t="s">
        <v>1600</v>
      </c>
      <c r="Z9" s="4431"/>
      <c r="AA9" s="41">
        <f>D9/F9</f>
        <v>0.99383820314052873</v>
      </c>
      <c r="AB9" s="41">
        <f>D9/H9</f>
        <v>0.98029604940692083</v>
      </c>
      <c r="AC9" s="41">
        <f>D9/J9</f>
        <v>0.96311278050659732</v>
      </c>
    </row>
    <row r="10" spans="1:29" s="61" customFormat="1" ht="15.75" thickBot="1">
      <c r="A10" s="3501" t="s">
        <v>1601</v>
      </c>
      <c r="B10" s="3502"/>
      <c r="C10" s="3106" t="s">
        <v>1602</v>
      </c>
      <c r="D10" s="3204">
        <v>100</v>
      </c>
      <c r="E10" s="3106" t="s">
        <v>3674</v>
      </c>
      <c r="F10" s="3192">
        <f>SUMIF(74:74,E10,75:75)-SUMIF(74:74,C10,75:75)+100</f>
        <v>100</v>
      </c>
      <c r="G10" s="3106" t="s">
        <v>3674</v>
      </c>
      <c r="H10" s="3181">
        <f>SUMIF(74:74,G10,75:75)-SUMIF(74:74,C10,75:75)+100</f>
        <v>100</v>
      </c>
      <c r="I10" s="3106" t="s">
        <v>3674</v>
      </c>
      <c r="J10" s="3181">
        <f>SUMIF(74:74,I10,75:75)-SUMIF(74:74,C10,75:75)+100</f>
        <v>100</v>
      </c>
      <c r="K10" s="3536"/>
      <c r="L10" s="2085"/>
      <c r="M10" s="2036"/>
      <c r="N10" s="2036"/>
      <c r="O10" s="2036"/>
      <c r="P10" s="4428" t="s">
        <v>1603</v>
      </c>
      <c r="Q10" s="4429"/>
      <c r="R10" s="3573" t="s">
        <v>13</v>
      </c>
      <c r="S10" s="3574">
        <f t="shared" si="0"/>
        <v>100</v>
      </c>
      <c r="T10" s="3573" t="s">
        <v>13</v>
      </c>
      <c r="U10" s="3574">
        <f t="shared" si="1"/>
        <v>100</v>
      </c>
      <c r="V10" s="3573" t="s">
        <v>13</v>
      </c>
      <c r="W10" s="3574">
        <f t="shared" si="2"/>
        <v>100</v>
      </c>
      <c r="X10" s="513"/>
      <c r="Y10" s="4430" t="s">
        <v>1603</v>
      </c>
      <c r="Z10" s="4431"/>
      <c r="AA10" s="41">
        <f t="shared" ref="AA10:AA47" si="3">D10/F10</f>
        <v>1</v>
      </c>
      <c r="AB10" s="41">
        <f t="shared" ref="AB10:AB47" si="4">D10/H10</f>
        <v>1</v>
      </c>
      <c r="AC10" s="41">
        <f t="shared" ref="AC10:AC47" si="5">D10/J10</f>
        <v>1</v>
      </c>
    </row>
    <row r="11" spans="1:29" s="61" customFormat="1">
      <c r="A11" s="3434" t="s">
        <v>1604</v>
      </c>
      <c r="B11" s="3085" t="s">
        <v>1605</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91" t="s">
        <v>1606</v>
      </c>
      <c r="Q11" s="1792" t="str">
        <f t="shared" ref="Q11:Q17" si="6">B11</f>
        <v>用途</v>
      </c>
      <c r="R11" s="3573" t="s">
        <v>13</v>
      </c>
      <c r="S11" s="3574">
        <f t="shared" si="0"/>
        <v>100</v>
      </c>
      <c r="T11" s="3573" t="s">
        <v>13</v>
      </c>
      <c r="U11" s="3574">
        <f t="shared" si="1"/>
        <v>100</v>
      </c>
      <c r="V11" s="3573" t="s">
        <v>13</v>
      </c>
      <c r="W11" s="3574">
        <f t="shared" si="2"/>
        <v>100</v>
      </c>
      <c r="X11" s="513"/>
      <c r="Y11" s="4403" t="s">
        <v>1607</v>
      </c>
      <c r="Z11" s="41" t="str">
        <f t="shared" ref="Z11:Z17" si="7">Q11</f>
        <v>用途</v>
      </c>
      <c r="AA11" s="41">
        <f t="shared" si="3"/>
        <v>1</v>
      </c>
      <c r="AB11" s="41">
        <f t="shared" si="4"/>
        <v>1</v>
      </c>
      <c r="AC11" s="41">
        <f t="shared" si="5"/>
        <v>1</v>
      </c>
    </row>
    <row r="12" spans="1:29" s="272" customFormat="1" ht="27">
      <c r="A12" s="3504"/>
      <c r="B12" s="3080" t="s">
        <v>1608</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391"/>
      <c r="Q12" s="1792" t="str">
        <f t="shared" si="6"/>
        <v>土地使用年限（年）</v>
      </c>
      <c r="R12" s="3573" t="s">
        <v>13</v>
      </c>
      <c r="S12" s="3574">
        <f t="shared" si="0"/>
        <v>109</v>
      </c>
      <c r="T12" s="3573" t="s">
        <v>13</v>
      </c>
      <c r="U12" s="3574">
        <f t="shared" si="1"/>
        <v>109</v>
      </c>
      <c r="V12" s="3573" t="s">
        <v>13</v>
      </c>
      <c r="W12" s="3574">
        <f t="shared" si="2"/>
        <v>109</v>
      </c>
      <c r="X12" s="513"/>
      <c r="Y12" s="4403"/>
      <c r="Z12" s="41" t="str">
        <f t="shared" si="7"/>
        <v>土地使用年限（年）</v>
      </c>
      <c r="AA12" s="41">
        <f t="shared" si="3"/>
        <v>0.91743119266055051</v>
      </c>
      <c r="AB12" s="41">
        <f t="shared" si="4"/>
        <v>0.91743119266055051</v>
      </c>
      <c r="AC12" s="41">
        <f t="shared" si="5"/>
        <v>0.91743119266055051</v>
      </c>
    </row>
    <row r="13" spans="1:29" ht="15">
      <c r="A13" s="3505"/>
      <c r="B13" s="3080" t="s">
        <v>1609</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91"/>
      <c r="Q13" s="1792" t="str">
        <f t="shared" si="6"/>
        <v>容积率</v>
      </c>
      <c r="R13" s="3573" t="s">
        <v>13</v>
      </c>
      <c r="S13" s="3574">
        <f t="shared" si="0"/>
        <v>100</v>
      </c>
      <c r="T13" s="3573" t="s">
        <v>13</v>
      </c>
      <c r="U13" s="3574">
        <f t="shared" si="1"/>
        <v>100</v>
      </c>
      <c r="V13" s="3573" t="s">
        <v>13</v>
      </c>
      <c r="W13" s="3574">
        <f t="shared" si="2"/>
        <v>100</v>
      </c>
      <c r="X13" s="513"/>
      <c r="Y13" s="4403"/>
      <c r="Z13" s="41" t="str">
        <f t="shared" si="7"/>
        <v>容积率</v>
      </c>
      <c r="AA13" s="41">
        <f t="shared" si="3"/>
        <v>1</v>
      </c>
      <c r="AB13" s="41">
        <f t="shared" si="4"/>
        <v>1</v>
      </c>
      <c r="AC13" s="41">
        <f t="shared" si="5"/>
        <v>1</v>
      </c>
    </row>
    <row r="14" spans="1:29" s="61" customFormat="1" ht="15">
      <c r="A14" s="3506"/>
      <c r="B14" s="3086" t="s">
        <v>1790</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91"/>
      <c r="Q14" s="1792" t="str">
        <f t="shared" si="6"/>
        <v>配建</v>
      </c>
      <c r="R14" s="3573" t="s">
        <v>13</v>
      </c>
      <c r="S14" s="3574">
        <f t="shared" si="0"/>
        <v>100</v>
      </c>
      <c r="T14" s="3573" t="s">
        <v>13</v>
      </c>
      <c r="U14" s="3574">
        <f t="shared" si="1"/>
        <v>100</v>
      </c>
      <c r="V14" s="3573" t="s">
        <v>13</v>
      </c>
      <c r="W14" s="3574">
        <f t="shared" si="2"/>
        <v>100</v>
      </c>
      <c r="X14" s="513"/>
      <c r="Y14" s="4403"/>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91"/>
      <c r="Q15" s="1792">
        <f t="shared" si="6"/>
        <v>111</v>
      </c>
      <c r="R15" s="3573" t="s">
        <v>13</v>
      </c>
      <c r="S15" s="3574">
        <f t="shared" si="0"/>
        <v>100</v>
      </c>
      <c r="T15" s="3573" t="s">
        <v>13</v>
      </c>
      <c r="U15" s="3574">
        <f t="shared" si="1"/>
        <v>100</v>
      </c>
      <c r="V15" s="3573" t="s">
        <v>13</v>
      </c>
      <c r="W15" s="3574">
        <f t="shared" si="2"/>
        <v>100</v>
      </c>
      <c r="X15" s="513"/>
      <c r="Y15" s="4403"/>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91"/>
      <c r="Q16" s="1792">
        <f t="shared" si="6"/>
        <v>111</v>
      </c>
      <c r="R16" s="3573" t="s">
        <v>13</v>
      </c>
      <c r="S16" s="3574">
        <f t="shared" si="0"/>
        <v>100</v>
      </c>
      <c r="T16" s="3573" t="s">
        <v>13</v>
      </c>
      <c r="U16" s="3574">
        <f t="shared" si="1"/>
        <v>100</v>
      </c>
      <c r="V16" s="3573" t="s">
        <v>13</v>
      </c>
      <c r="W16" s="3574">
        <f t="shared" si="2"/>
        <v>100</v>
      </c>
      <c r="X16" s="513"/>
      <c r="Y16" s="4403"/>
      <c r="Z16" s="41">
        <f t="shared" si="7"/>
        <v>111</v>
      </c>
      <c r="AA16" s="41">
        <f>D16/F16</f>
        <v>1</v>
      </c>
      <c r="AB16" s="41">
        <f>D16/H16</f>
        <v>1</v>
      </c>
      <c r="AC16" s="41">
        <f>D16/J16</f>
        <v>1</v>
      </c>
    </row>
    <row r="17" spans="1:29" ht="15">
      <c r="A17" s="3508" t="s">
        <v>1610</v>
      </c>
      <c r="B17" s="3088" t="s">
        <v>1234</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505" t="s">
        <v>1611</v>
      </c>
      <c r="Q17" s="1592" t="str">
        <f t="shared" si="6"/>
        <v>居住社区成熟度</v>
      </c>
      <c r="R17" s="3575" t="s">
        <v>13</v>
      </c>
      <c r="S17" s="3576">
        <f t="shared" si="0"/>
        <v>105</v>
      </c>
      <c r="T17" s="3575" t="s">
        <v>13</v>
      </c>
      <c r="U17" s="3576">
        <f t="shared" si="1"/>
        <v>100</v>
      </c>
      <c r="V17" s="3575" t="s">
        <v>13</v>
      </c>
      <c r="W17" s="3576">
        <f t="shared" si="2"/>
        <v>100</v>
      </c>
      <c r="X17" s="984"/>
      <c r="Y17" s="4393" t="s">
        <v>1611</v>
      </c>
      <c r="Z17" s="982" t="str">
        <f t="shared" si="7"/>
        <v>居住社区成熟度</v>
      </c>
      <c r="AA17" s="982">
        <f t="shared" si="3"/>
        <v>0.95238095238095233</v>
      </c>
      <c r="AB17" s="982">
        <f t="shared" si="4"/>
        <v>1</v>
      </c>
      <c r="AC17" s="982">
        <f t="shared" si="5"/>
        <v>1</v>
      </c>
    </row>
    <row r="18" spans="1:29" ht="15">
      <c r="A18" s="3505"/>
      <c r="B18" s="3089"/>
      <c r="C18" s="3114" t="s">
        <v>3663</v>
      </c>
      <c r="D18" s="3211"/>
      <c r="E18" s="3142" t="s">
        <v>3664</v>
      </c>
      <c r="F18" s="3187"/>
      <c r="G18" s="3142" t="s">
        <v>3663</v>
      </c>
      <c r="H18" s="3188"/>
      <c r="I18" s="3148" t="s">
        <v>3663</v>
      </c>
      <c r="J18" s="3187"/>
      <c r="K18" s="3563"/>
      <c r="L18" s="2089"/>
      <c r="M18" s="2084"/>
      <c r="N18" s="2084"/>
      <c r="O18" s="2139"/>
      <c r="P18" s="4506"/>
      <c r="Q18" s="1592"/>
      <c r="R18" s="3575"/>
      <c r="S18" s="3576"/>
      <c r="T18" s="3575"/>
      <c r="U18" s="3576"/>
      <c r="V18" s="3575"/>
      <c r="W18" s="3576"/>
      <c r="X18" s="984"/>
      <c r="Y18" s="4394"/>
      <c r="Z18" s="982"/>
      <c r="AA18" s="982">
        <v>1</v>
      </c>
      <c r="AB18" s="982">
        <v>1</v>
      </c>
      <c r="AC18" s="982">
        <v>1</v>
      </c>
    </row>
    <row r="19" spans="1:29" ht="15">
      <c r="A19" s="3505"/>
      <c r="B19" s="3090" t="s">
        <v>1697</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506"/>
      <c r="Q19" s="1592" t="str">
        <f>B19</f>
        <v>商业繁华度</v>
      </c>
      <c r="R19" s="3575" t="s">
        <v>13</v>
      </c>
      <c r="S19" s="3576">
        <f>F19</f>
        <v>100</v>
      </c>
      <c r="T19" s="3575" t="s">
        <v>13</v>
      </c>
      <c r="U19" s="3576">
        <f>H19</f>
        <v>100</v>
      </c>
      <c r="V19" s="3575" t="s">
        <v>13</v>
      </c>
      <c r="W19" s="3576">
        <f>J19</f>
        <v>100</v>
      </c>
      <c r="X19" s="984"/>
      <c r="Y19" s="4394"/>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506"/>
      <c r="Q20" s="1592"/>
      <c r="R20" s="3575"/>
      <c r="S20" s="3576"/>
      <c r="T20" s="3575"/>
      <c r="U20" s="3576"/>
      <c r="V20" s="3575"/>
      <c r="W20" s="3576"/>
      <c r="X20" s="984"/>
      <c r="Y20" s="4394"/>
      <c r="Z20" s="982"/>
      <c r="AA20" s="982">
        <v>1</v>
      </c>
      <c r="AB20" s="982">
        <v>1</v>
      </c>
      <c r="AC20" s="982">
        <v>1</v>
      </c>
    </row>
    <row r="21" spans="1:29" ht="15">
      <c r="A21" s="3505"/>
      <c r="B21" s="3090" t="s">
        <v>1731</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506"/>
      <c r="Q21" s="1592" t="str">
        <f>B21</f>
        <v>办公集聚程度</v>
      </c>
      <c r="R21" s="3575" t="s">
        <v>13</v>
      </c>
      <c r="S21" s="3576">
        <f>F21</f>
        <v>100</v>
      </c>
      <c r="T21" s="3575" t="s">
        <v>13</v>
      </c>
      <c r="U21" s="3576">
        <f>H21</f>
        <v>100</v>
      </c>
      <c r="V21" s="3575" t="s">
        <v>13</v>
      </c>
      <c r="W21" s="3576">
        <f>J21</f>
        <v>100</v>
      </c>
      <c r="X21" s="984"/>
      <c r="Y21" s="4394"/>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506"/>
      <c r="Q22" s="1592"/>
      <c r="R22" s="3575"/>
      <c r="S22" s="3576"/>
      <c r="T22" s="3575"/>
      <c r="U22" s="3576"/>
      <c r="V22" s="3575"/>
      <c r="W22" s="3576"/>
      <c r="X22" s="984"/>
      <c r="Y22" s="4394"/>
      <c r="Z22" s="982"/>
      <c r="AA22" s="982">
        <v>1</v>
      </c>
      <c r="AB22" s="982">
        <v>1</v>
      </c>
      <c r="AC22" s="982">
        <v>1</v>
      </c>
    </row>
    <row r="23" spans="1:29" ht="15">
      <c r="A23" s="3505"/>
      <c r="B23" s="3090" t="s">
        <v>1753</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506"/>
      <c r="Q23" s="1592" t="str">
        <f>B23</f>
        <v>交通便捷度</v>
      </c>
      <c r="R23" s="3575" t="s">
        <v>13</v>
      </c>
      <c r="S23" s="3576">
        <f>F23</f>
        <v>105</v>
      </c>
      <c r="T23" s="3575" t="s">
        <v>13</v>
      </c>
      <c r="U23" s="3576">
        <f>H23</f>
        <v>100</v>
      </c>
      <c r="V23" s="3575" t="s">
        <v>13</v>
      </c>
      <c r="W23" s="3576">
        <f>J23</f>
        <v>100</v>
      </c>
      <c r="X23" s="984"/>
      <c r="Y23" s="4394"/>
      <c r="Z23" s="982" t="str">
        <f>Q23</f>
        <v>交通便捷度</v>
      </c>
      <c r="AA23" s="982">
        <f t="shared" si="3"/>
        <v>0.95238095238095233</v>
      </c>
      <c r="AB23" s="982">
        <f t="shared" si="4"/>
        <v>1</v>
      </c>
      <c r="AC23" s="982">
        <f t="shared" si="5"/>
        <v>1</v>
      </c>
    </row>
    <row r="24" spans="1:29" ht="15">
      <c r="A24" s="3505"/>
      <c r="B24" s="3092"/>
      <c r="C24" s="3114" t="s">
        <v>3663</v>
      </c>
      <c r="D24" s="3212"/>
      <c r="E24" s="3142" t="s">
        <v>3664</v>
      </c>
      <c r="F24" s="3187"/>
      <c r="G24" s="3142" t="s">
        <v>3663</v>
      </c>
      <c r="H24" s="3187"/>
      <c r="I24" s="3148" t="s">
        <v>3663</v>
      </c>
      <c r="J24" s="3187"/>
      <c r="K24" s="3563"/>
      <c r="L24" s="2089"/>
      <c r="M24" s="2084"/>
      <c r="N24" s="2084"/>
      <c r="O24" s="2139"/>
      <c r="P24" s="4506"/>
      <c r="Q24" s="1592"/>
      <c r="R24" s="3575"/>
      <c r="S24" s="3576"/>
      <c r="T24" s="3575"/>
      <c r="U24" s="3576"/>
      <c r="V24" s="3575"/>
      <c r="W24" s="3576"/>
      <c r="X24" s="984"/>
      <c r="Y24" s="4394"/>
      <c r="Z24" s="982"/>
      <c r="AA24" s="982">
        <v>1</v>
      </c>
      <c r="AB24" s="982">
        <v>1</v>
      </c>
      <c r="AC24" s="982">
        <v>1</v>
      </c>
    </row>
    <row r="25" spans="1:29" ht="15">
      <c r="A25" s="3509"/>
      <c r="B25" s="3090" t="s">
        <v>1791</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506"/>
      <c r="Q25" s="1592" t="str">
        <f t="shared" ref="Q25:Q39" si="8">B25</f>
        <v>区域土地利用方向</v>
      </c>
      <c r="R25" s="3575" t="s">
        <v>13</v>
      </c>
      <c r="S25" s="3576">
        <f>F25</f>
        <v>100</v>
      </c>
      <c r="T25" s="3575" t="s">
        <v>13</v>
      </c>
      <c r="U25" s="3576">
        <f>H25</f>
        <v>100</v>
      </c>
      <c r="V25" s="3575" t="s">
        <v>13</v>
      </c>
      <c r="W25" s="3576">
        <f>J25</f>
        <v>100</v>
      </c>
      <c r="X25" s="984"/>
      <c r="Y25" s="4394"/>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506"/>
      <c r="Q26" s="1592"/>
      <c r="R26" s="3575"/>
      <c r="S26" s="3576"/>
      <c r="T26" s="3575"/>
      <c r="U26" s="3576"/>
      <c r="V26" s="3575"/>
      <c r="W26" s="3576"/>
      <c r="X26" s="984"/>
      <c r="Y26" s="4394"/>
      <c r="Z26" s="982"/>
      <c r="AA26" s="982"/>
      <c r="AB26" s="982"/>
      <c r="AC26" s="982"/>
    </row>
    <row r="27" spans="1:29" ht="27">
      <c r="A27" s="3509"/>
      <c r="B27" s="3092" t="s">
        <v>1792</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506"/>
      <c r="Q27" s="1592" t="str">
        <f t="shared" si="8"/>
        <v>自然及人文环境状况</v>
      </c>
      <c r="R27" s="3575" t="s">
        <v>13</v>
      </c>
      <c r="S27" s="3576">
        <f>F27</f>
        <v>100</v>
      </c>
      <c r="T27" s="3575" t="s">
        <v>13</v>
      </c>
      <c r="U27" s="3576">
        <f>H27</f>
        <v>100</v>
      </c>
      <c r="V27" s="3575" t="s">
        <v>13</v>
      </c>
      <c r="W27" s="3576">
        <f>J27</f>
        <v>100</v>
      </c>
      <c r="X27" s="984"/>
      <c r="Y27" s="4394"/>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506"/>
      <c r="Q28" s="1592"/>
      <c r="R28" s="3575"/>
      <c r="S28" s="3576"/>
      <c r="T28" s="3575"/>
      <c r="U28" s="3576"/>
      <c r="V28" s="3575"/>
      <c r="W28" s="3576"/>
      <c r="X28" s="984"/>
      <c r="Y28" s="4394"/>
      <c r="Z28" s="982"/>
      <c r="AA28" s="982">
        <v>1</v>
      </c>
      <c r="AB28" s="982">
        <v>1</v>
      </c>
      <c r="AC28" s="982">
        <v>1</v>
      </c>
    </row>
    <row r="29" spans="1:29" s="61" customFormat="1" ht="15">
      <c r="A29" s="3511"/>
      <c r="B29" s="3092" t="s">
        <v>1698</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506"/>
      <c r="Q29" s="1792" t="str">
        <f t="shared" si="8"/>
        <v>公共配套设施</v>
      </c>
      <c r="R29" s="3573" t="s">
        <v>13</v>
      </c>
      <c r="S29" s="3574">
        <f>F29</f>
        <v>105</v>
      </c>
      <c r="T29" s="3573" t="s">
        <v>13</v>
      </c>
      <c r="U29" s="3574">
        <f>H29</f>
        <v>100</v>
      </c>
      <c r="V29" s="3573" t="s">
        <v>13</v>
      </c>
      <c r="W29" s="3574">
        <f>J29</f>
        <v>100</v>
      </c>
      <c r="X29" s="513"/>
      <c r="Y29" s="4394"/>
      <c r="Z29" s="41" t="str">
        <f>Q29</f>
        <v>公共配套设施</v>
      </c>
      <c r="AA29" s="982">
        <f>D29/F29</f>
        <v>0.95238095238095233</v>
      </c>
      <c r="AB29" s="982">
        <f>D29/H29</f>
        <v>1</v>
      </c>
      <c r="AC29" s="982">
        <f>D29/J29</f>
        <v>1</v>
      </c>
    </row>
    <row r="30" spans="1:29" s="61" customFormat="1" ht="15">
      <c r="A30" s="3511"/>
      <c r="B30" s="3091"/>
      <c r="C30" s="3512" t="s">
        <v>3663</v>
      </c>
      <c r="D30" s="3211"/>
      <c r="E30" s="3164" t="s">
        <v>3664</v>
      </c>
      <c r="F30" s="3187"/>
      <c r="G30" s="3164" t="s">
        <v>3663</v>
      </c>
      <c r="H30" s="3187"/>
      <c r="I30" s="3114" t="s">
        <v>3663</v>
      </c>
      <c r="J30" s="3187"/>
      <c r="K30" s="3563"/>
      <c r="L30" s="2085"/>
      <c r="M30" s="2036"/>
      <c r="N30" s="2036"/>
      <c r="O30" s="2137"/>
      <c r="P30" s="4506"/>
      <c r="Q30" s="1792"/>
      <c r="R30" s="3573"/>
      <c r="S30" s="3574"/>
      <c r="T30" s="3573"/>
      <c r="U30" s="3574"/>
      <c r="V30" s="3573"/>
      <c r="W30" s="3574"/>
      <c r="X30" s="513"/>
      <c r="Y30" s="4394"/>
      <c r="Z30" s="41"/>
      <c r="AA30" s="982">
        <v>1</v>
      </c>
      <c r="AB30" s="982">
        <v>1</v>
      </c>
      <c r="AC30" s="982">
        <v>1</v>
      </c>
    </row>
    <row r="31" spans="1:29" s="61" customFormat="1" ht="15">
      <c r="A31" s="3511"/>
      <c r="B31" s="3092" t="s">
        <v>1699</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506"/>
      <c r="Q31" s="1792" t="str">
        <f t="shared" ref="Q31" si="9">B31</f>
        <v>基础设施水平</v>
      </c>
      <c r="R31" s="3573" t="s">
        <v>13</v>
      </c>
      <c r="S31" s="3574">
        <f>F31</f>
        <v>100</v>
      </c>
      <c r="T31" s="3573" t="s">
        <v>13</v>
      </c>
      <c r="U31" s="3574">
        <f>H31</f>
        <v>100</v>
      </c>
      <c r="V31" s="3573" t="s">
        <v>13</v>
      </c>
      <c r="W31" s="3574">
        <f>J31</f>
        <v>100</v>
      </c>
      <c r="X31" s="513"/>
      <c r="Y31" s="4394"/>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506"/>
      <c r="Q32" s="1792"/>
      <c r="R32" s="3573"/>
      <c r="S32" s="3574"/>
      <c r="T32" s="3573"/>
      <c r="U32" s="3574"/>
      <c r="V32" s="3573"/>
      <c r="W32" s="3574"/>
      <c r="X32" s="513"/>
      <c r="Y32" s="4394"/>
      <c r="Z32" s="41"/>
      <c r="AA32" s="982">
        <v>1</v>
      </c>
      <c r="AB32" s="982">
        <v>1</v>
      </c>
      <c r="AC32" s="982">
        <v>1</v>
      </c>
    </row>
    <row r="33" spans="1:29" ht="15">
      <c r="A33" s="3505"/>
      <c r="B33" s="3091" t="s">
        <v>1700</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506"/>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94"/>
      <c r="Z33" s="982" t="str">
        <f t="shared" ref="Z33:Z47" si="13">Q33</f>
        <v>临街状况</v>
      </c>
      <c r="AA33" s="982">
        <f t="shared" si="3"/>
        <v>1</v>
      </c>
      <c r="AB33" s="982">
        <f t="shared" si="4"/>
        <v>1</v>
      </c>
      <c r="AC33" s="982">
        <f t="shared" si="5"/>
        <v>1</v>
      </c>
    </row>
    <row r="34" spans="1:29" ht="27">
      <c r="A34" s="3505"/>
      <c r="B34" s="3092" t="s">
        <v>1735</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506"/>
      <c r="Q34" s="1592" t="str">
        <f t="shared" si="8"/>
        <v>毗邻道路的类型与等级</v>
      </c>
      <c r="R34" s="3575" t="s">
        <v>13</v>
      </c>
      <c r="S34" s="3576">
        <f t="shared" si="10"/>
        <v>100</v>
      </c>
      <c r="T34" s="3575" t="s">
        <v>13</v>
      </c>
      <c r="U34" s="3576">
        <f t="shared" si="11"/>
        <v>100</v>
      </c>
      <c r="V34" s="3575" t="s">
        <v>13</v>
      </c>
      <c r="W34" s="3576">
        <f t="shared" si="12"/>
        <v>100</v>
      </c>
      <c r="X34" s="984"/>
      <c r="Y34" s="4394"/>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506"/>
      <c r="Q35" s="1592"/>
      <c r="R35" s="3575"/>
      <c r="S35" s="3576"/>
      <c r="T35" s="3575"/>
      <c r="U35" s="3576"/>
      <c r="V35" s="3575"/>
      <c r="W35" s="3576"/>
      <c r="X35" s="984"/>
      <c r="Y35" s="4394"/>
      <c r="Z35" s="982"/>
      <c r="AA35" s="982">
        <v>1</v>
      </c>
      <c r="AB35" s="982">
        <v>1</v>
      </c>
      <c r="AC35" s="982">
        <v>1</v>
      </c>
    </row>
    <row r="36" spans="1:29" ht="15">
      <c r="A36" s="3505"/>
      <c r="B36" s="3080" t="s">
        <v>1793</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506"/>
      <c r="Q36" s="1592" t="str">
        <f t="shared" si="8"/>
        <v>土地级别</v>
      </c>
      <c r="R36" s="3575" t="s">
        <v>13</v>
      </c>
      <c r="S36" s="3576">
        <f t="shared" si="10"/>
        <v>100</v>
      </c>
      <c r="T36" s="3575" t="s">
        <v>13</v>
      </c>
      <c r="U36" s="3576">
        <f t="shared" si="11"/>
        <v>100</v>
      </c>
      <c r="V36" s="3575" t="s">
        <v>13</v>
      </c>
      <c r="W36" s="3576">
        <f t="shared" si="12"/>
        <v>100</v>
      </c>
      <c r="X36" s="984"/>
      <c r="Y36" s="4394"/>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506"/>
      <c r="Q37" s="1592">
        <f t="shared" si="8"/>
        <v>111</v>
      </c>
      <c r="R37" s="3575" t="s">
        <v>13</v>
      </c>
      <c r="S37" s="3576">
        <f t="shared" si="10"/>
        <v>100</v>
      </c>
      <c r="T37" s="3575" t="s">
        <v>13</v>
      </c>
      <c r="U37" s="3576">
        <f t="shared" si="11"/>
        <v>100</v>
      </c>
      <c r="V37" s="3575" t="s">
        <v>13</v>
      </c>
      <c r="W37" s="3576">
        <f t="shared" si="12"/>
        <v>100</v>
      </c>
      <c r="X37" s="984"/>
      <c r="Y37" s="4394"/>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507" t="s">
        <v>1616</v>
      </c>
      <c r="Q38" s="1592">
        <f t="shared" si="8"/>
        <v>111</v>
      </c>
      <c r="R38" s="3575" t="s">
        <v>13</v>
      </c>
      <c r="S38" s="3576">
        <f t="shared" si="10"/>
        <v>100</v>
      </c>
      <c r="T38" s="3575" t="s">
        <v>13</v>
      </c>
      <c r="U38" s="3576">
        <f t="shared" si="11"/>
        <v>100</v>
      </c>
      <c r="V38" s="3575" t="s">
        <v>13</v>
      </c>
      <c r="W38" s="3576">
        <f t="shared" si="12"/>
        <v>100</v>
      </c>
      <c r="X38" s="984"/>
      <c r="Y38" s="4398" t="s">
        <v>1616</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508"/>
      <c r="Q39" s="1592">
        <f t="shared" si="8"/>
        <v>111</v>
      </c>
      <c r="R39" s="3577" t="s">
        <v>13</v>
      </c>
      <c r="S39" s="3578">
        <f t="shared" si="10"/>
        <v>100</v>
      </c>
      <c r="T39" s="3577" t="s">
        <v>13</v>
      </c>
      <c r="U39" s="3578">
        <f t="shared" si="11"/>
        <v>100</v>
      </c>
      <c r="V39" s="3577" t="s">
        <v>13</v>
      </c>
      <c r="W39" s="3578">
        <f t="shared" si="12"/>
        <v>100</v>
      </c>
      <c r="X39" s="518"/>
      <c r="Y39" s="4398"/>
      <c r="Z39" s="519">
        <f t="shared" si="13"/>
        <v>111</v>
      </c>
      <c r="AA39" s="982">
        <f t="shared" si="3"/>
        <v>1</v>
      </c>
      <c r="AB39" s="982">
        <f t="shared" si="4"/>
        <v>1</v>
      </c>
      <c r="AC39" s="982">
        <f t="shared" si="5"/>
        <v>1</v>
      </c>
    </row>
    <row r="40" spans="1:29" ht="15">
      <c r="A40" s="3519" t="s">
        <v>1614</v>
      </c>
      <c r="B40" s="3091" t="s">
        <v>1794</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508"/>
      <c r="Q40" s="1592" t="str">
        <f>B40</f>
        <v>宗地面积</v>
      </c>
      <c r="R40" s="3575" t="s">
        <v>13</v>
      </c>
      <c r="S40" s="3576">
        <f t="shared" si="10"/>
        <v>100</v>
      </c>
      <c r="T40" s="3575" t="s">
        <v>13</v>
      </c>
      <c r="U40" s="3576">
        <f t="shared" si="11"/>
        <v>99</v>
      </c>
      <c r="V40" s="3575" t="s">
        <v>13</v>
      </c>
      <c r="W40" s="3576">
        <f t="shared" si="12"/>
        <v>100</v>
      </c>
      <c r="X40" s="984"/>
      <c r="Y40" s="4398"/>
      <c r="Z40" s="982" t="str">
        <f t="shared" si="13"/>
        <v>宗地面积</v>
      </c>
      <c r="AA40" s="982">
        <f t="shared" si="3"/>
        <v>1</v>
      </c>
      <c r="AB40" s="982">
        <f t="shared" si="4"/>
        <v>1.0101010101010102</v>
      </c>
      <c r="AC40" s="982">
        <f t="shared" si="5"/>
        <v>1</v>
      </c>
    </row>
    <row r="41" spans="1:29" ht="15">
      <c r="A41" s="3519"/>
      <c r="B41" s="3080" t="s">
        <v>1795</v>
      </c>
      <c r="C41" s="3120" t="s">
        <v>3671</v>
      </c>
      <c r="D41" s="3208">
        <v>100</v>
      </c>
      <c r="E41" s="3120" t="s">
        <v>3671</v>
      </c>
      <c r="F41" s="3184">
        <f>SUMIF(120:120,E41,121:121)-SUMIF(120:120,C41,121:121)+100</f>
        <v>100</v>
      </c>
      <c r="G41" s="3120" t="s">
        <v>3672</v>
      </c>
      <c r="H41" s="3184">
        <f>SUMIF(120:120,G41,121:121)-SUMIF(120:120,C41,121:121)+100</f>
        <v>98</v>
      </c>
      <c r="I41" s="3120" t="s">
        <v>3671</v>
      </c>
      <c r="J41" s="3184">
        <f>SUMIF(120:120,I41,121:121)-SUMIF(120:120,C41,121:121)+100</f>
        <v>100</v>
      </c>
      <c r="K41" s="3151">
        <v>2</v>
      </c>
      <c r="L41" s="2089"/>
      <c r="M41" s="2084"/>
      <c r="N41" s="2084"/>
      <c r="O41" s="2139"/>
      <c r="P41" s="4508"/>
      <c r="Q41" s="1592" t="str">
        <f t="shared" ref="Q41:Q47" si="14">B41</f>
        <v>宗地形状</v>
      </c>
      <c r="R41" s="3575" t="s">
        <v>13</v>
      </c>
      <c r="S41" s="3576">
        <f t="shared" si="10"/>
        <v>100</v>
      </c>
      <c r="T41" s="3575" t="s">
        <v>13</v>
      </c>
      <c r="U41" s="3576">
        <f t="shared" si="11"/>
        <v>98</v>
      </c>
      <c r="V41" s="3575" t="s">
        <v>13</v>
      </c>
      <c r="W41" s="3576">
        <f t="shared" si="12"/>
        <v>100</v>
      </c>
      <c r="X41" s="984"/>
      <c r="Y41" s="4398"/>
      <c r="Z41" s="982" t="str">
        <f t="shared" si="13"/>
        <v>宗地形状</v>
      </c>
      <c r="AA41" s="982">
        <f t="shared" si="3"/>
        <v>1</v>
      </c>
      <c r="AB41" s="982">
        <f t="shared" si="4"/>
        <v>1.0204081632653061</v>
      </c>
      <c r="AC41" s="982">
        <f t="shared" si="5"/>
        <v>1</v>
      </c>
    </row>
    <row r="42" spans="1:29" ht="15">
      <c r="A42" s="3519"/>
      <c r="B42" s="3080" t="s">
        <v>1796</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508"/>
      <c r="Q42" s="1592" t="str">
        <f t="shared" si="14"/>
        <v>临街宽度及深度</v>
      </c>
      <c r="R42" s="3575" t="s">
        <v>13</v>
      </c>
      <c r="S42" s="3576">
        <f t="shared" si="10"/>
        <v>100</v>
      </c>
      <c r="T42" s="3575" t="s">
        <v>13</v>
      </c>
      <c r="U42" s="3576">
        <f t="shared" si="11"/>
        <v>100</v>
      </c>
      <c r="V42" s="3575" t="s">
        <v>13</v>
      </c>
      <c r="W42" s="3576">
        <f t="shared" si="12"/>
        <v>100</v>
      </c>
      <c r="X42" s="984"/>
      <c r="Y42" s="4398"/>
      <c r="Z42" s="982" t="str">
        <f t="shared" si="13"/>
        <v>临街宽度及深度</v>
      </c>
      <c r="AA42" s="982">
        <f t="shared" si="3"/>
        <v>1</v>
      </c>
      <c r="AB42" s="982">
        <f t="shared" si="4"/>
        <v>1</v>
      </c>
      <c r="AC42" s="982">
        <f t="shared" si="5"/>
        <v>1</v>
      </c>
    </row>
    <row r="43" spans="1:29" s="61" customFormat="1" ht="15">
      <c r="A43" s="3521"/>
      <c r="B43" s="3080" t="s">
        <v>1797</v>
      </c>
      <c r="C43" s="3522" t="s">
        <v>3665</v>
      </c>
      <c r="D43" s="3206">
        <v>100</v>
      </c>
      <c r="E43" s="3522" t="s">
        <v>3665</v>
      </c>
      <c r="F43" s="3184">
        <f>SUMIF(124:124,E43,125:125)-SUMIF(124:124,C43,125:125)+100</f>
        <v>100</v>
      </c>
      <c r="G43" s="3522" t="s">
        <v>3667</v>
      </c>
      <c r="H43" s="3184">
        <f>SUMIF(124:124,G43,125:125)-SUMIF(124:124,C43,125:125)+100</f>
        <v>98</v>
      </c>
      <c r="I43" s="3522" t="s">
        <v>3667</v>
      </c>
      <c r="J43" s="3184">
        <f>SUMIF(124:124,I43,125:125)-SUMIF(124:124,C43,125:125)+100</f>
        <v>98</v>
      </c>
      <c r="K43" s="3151">
        <v>1</v>
      </c>
      <c r="L43" s="2085"/>
      <c r="M43" s="2036"/>
      <c r="N43" s="2036"/>
      <c r="O43" s="2137"/>
      <c r="P43" s="4508"/>
      <c r="Q43" s="1592" t="str">
        <f t="shared" si="14"/>
        <v>宗地开发程度</v>
      </c>
      <c r="R43" s="3573" t="s">
        <v>13</v>
      </c>
      <c r="S43" s="3574">
        <f t="shared" si="10"/>
        <v>100</v>
      </c>
      <c r="T43" s="3573" t="s">
        <v>13</v>
      </c>
      <c r="U43" s="3574">
        <f t="shared" si="11"/>
        <v>98</v>
      </c>
      <c r="V43" s="3573" t="s">
        <v>13</v>
      </c>
      <c r="W43" s="3574">
        <f t="shared" si="12"/>
        <v>98</v>
      </c>
      <c r="X43" s="513"/>
      <c r="Y43" s="4398"/>
      <c r="Z43" s="41" t="str">
        <f t="shared" si="13"/>
        <v>宗地开发程度</v>
      </c>
      <c r="AA43" s="41">
        <f t="shared" si="3"/>
        <v>1</v>
      </c>
      <c r="AB43" s="41">
        <f t="shared" si="4"/>
        <v>1.0204081632653061</v>
      </c>
      <c r="AC43" s="41">
        <f t="shared" si="5"/>
        <v>1.0204081632653061</v>
      </c>
    </row>
    <row r="44" spans="1:29" ht="15">
      <c r="A44" s="3519"/>
      <c r="B44" s="3080" t="s">
        <v>1798</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508" t="s">
        <v>1616</v>
      </c>
      <c r="Q44" s="1592" t="str">
        <f t="shared" si="14"/>
        <v>工程地质条件</v>
      </c>
      <c r="R44" s="3575" t="s">
        <v>13</v>
      </c>
      <c r="S44" s="3576">
        <f t="shared" si="10"/>
        <v>100</v>
      </c>
      <c r="T44" s="3575" t="s">
        <v>13</v>
      </c>
      <c r="U44" s="3576">
        <f t="shared" si="11"/>
        <v>100</v>
      </c>
      <c r="V44" s="3575" t="s">
        <v>13</v>
      </c>
      <c r="W44" s="3576">
        <f t="shared" si="12"/>
        <v>100</v>
      </c>
      <c r="X44" s="984"/>
      <c r="Y44" s="4398" t="s">
        <v>1616</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508"/>
      <c r="Q45" s="1592">
        <f t="shared" si="14"/>
        <v>111</v>
      </c>
      <c r="R45" s="3575" t="s">
        <v>13</v>
      </c>
      <c r="S45" s="3576">
        <f t="shared" si="10"/>
        <v>100</v>
      </c>
      <c r="T45" s="3575" t="s">
        <v>13</v>
      </c>
      <c r="U45" s="3576">
        <f t="shared" si="11"/>
        <v>100</v>
      </c>
      <c r="V45" s="3575" t="s">
        <v>13</v>
      </c>
      <c r="W45" s="3576">
        <f t="shared" si="12"/>
        <v>100</v>
      </c>
      <c r="X45" s="984"/>
      <c r="Y45" s="4398"/>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508"/>
      <c r="Q46" s="1592">
        <f t="shared" si="14"/>
        <v>111</v>
      </c>
      <c r="R46" s="3575" t="s">
        <v>13</v>
      </c>
      <c r="S46" s="3576">
        <f t="shared" si="10"/>
        <v>100</v>
      </c>
      <c r="T46" s="3575" t="s">
        <v>13</v>
      </c>
      <c r="U46" s="3576">
        <f t="shared" si="11"/>
        <v>100</v>
      </c>
      <c r="V46" s="3575" t="s">
        <v>13</v>
      </c>
      <c r="W46" s="3576">
        <f t="shared" si="12"/>
        <v>100</v>
      </c>
      <c r="X46" s="984"/>
      <c r="Y46" s="4398"/>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508"/>
      <c r="Q47" s="1592">
        <f t="shared" si="14"/>
        <v>111</v>
      </c>
      <c r="R47" s="3577" t="s">
        <v>13</v>
      </c>
      <c r="S47" s="3578">
        <f t="shared" si="10"/>
        <v>100</v>
      </c>
      <c r="T47" s="3577" t="s">
        <v>13</v>
      </c>
      <c r="U47" s="3578">
        <f t="shared" si="11"/>
        <v>100</v>
      </c>
      <c r="V47" s="3577" t="s">
        <v>13</v>
      </c>
      <c r="W47" s="3578">
        <f t="shared" si="12"/>
        <v>100</v>
      </c>
      <c r="X47" s="518"/>
      <c r="Y47" s="4398"/>
      <c r="Z47" s="519">
        <f t="shared" si="13"/>
        <v>111</v>
      </c>
      <c r="AA47" s="982">
        <f t="shared" si="3"/>
        <v>1</v>
      </c>
      <c r="AB47" s="982">
        <f t="shared" si="4"/>
        <v>1</v>
      </c>
      <c r="AC47" s="982">
        <f t="shared" si="5"/>
        <v>1</v>
      </c>
    </row>
    <row r="48" spans="1:29" ht="15">
      <c r="A48" s="305" t="s">
        <v>1764</v>
      </c>
      <c r="B48" s="1515" t="s">
        <v>1799</v>
      </c>
      <c r="C48" s="468" t="s">
        <v>0</v>
      </c>
      <c r="D48" s="307"/>
      <c r="E48" s="3566">
        <v>15648</v>
      </c>
      <c r="F48" s="3567"/>
      <c r="G48" s="3568">
        <v>12002</v>
      </c>
      <c r="H48" s="3569"/>
      <c r="I48" s="3566">
        <v>12711</v>
      </c>
      <c r="J48" s="3569"/>
      <c r="K48" s="3156"/>
      <c r="L48" s="2091"/>
      <c r="M48" s="2084"/>
      <c r="N48" s="2084"/>
      <c r="O48" s="2084"/>
      <c r="P48" s="4391" t="str">
        <f>A48</f>
        <v>成交单价</v>
      </c>
      <c r="Q48" s="4391"/>
      <c r="R48" s="4392">
        <f>E48</f>
        <v>15648</v>
      </c>
      <c r="S48" s="4392"/>
      <c r="T48" s="4392">
        <f>G48</f>
        <v>12002</v>
      </c>
      <c r="U48" s="4392"/>
      <c r="V48" s="4392">
        <f>I48</f>
        <v>12711</v>
      </c>
      <c r="W48" s="4392"/>
      <c r="X48" s="284"/>
      <c r="Y48" s="520"/>
      <c r="Z48" s="284"/>
      <c r="AA48" s="284"/>
      <c r="AB48" s="284"/>
      <c r="AC48" s="284"/>
    </row>
    <row r="49" spans="1:29" ht="15.75" thickBot="1">
      <c r="A49" s="308" t="s">
        <v>1713</v>
      </c>
      <c r="B49" s="469"/>
      <c r="C49" s="3570">
        <f>R50</f>
        <v>11713</v>
      </c>
      <c r="D49" s="1787" t="s">
        <v>2054</v>
      </c>
      <c r="E49" s="3570">
        <f>R49</f>
        <v>12325</v>
      </c>
      <c r="F49" s="3094"/>
      <c r="G49" s="3571">
        <f>T49</f>
        <v>11353</v>
      </c>
      <c r="H49" s="3094"/>
      <c r="I49" s="3570">
        <f>V49</f>
        <v>11461</v>
      </c>
      <c r="J49" s="3094"/>
      <c r="K49" s="3149">
        <f>F49+H49+J49</f>
        <v>0</v>
      </c>
      <c r="L49" s="2091"/>
      <c r="M49" s="2084"/>
      <c r="N49" s="2084"/>
      <c r="O49" s="2084"/>
      <c r="P49" s="4391" t="str">
        <f>A49</f>
        <v>比较价值（元/平方米）</v>
      </c>
      <c r="Q49" s="4391"/>
      <c r="R49" s="4523">
        <f>ROUND(PRODUCT(R48,AA9:AA47),0)</f>
        <v>12325</v>
      </c>
      <c r="S49" s="4523"/>
      <c r="T49" s="4523">
        <f>ROUND(PRODUCT(T48,AB9:AB47),0)</f>
        <v>11353</v>
      </c>
      <c r="U49" s="4523"/>
      <c r="V49" s="4523">
        <f>ROUND(PRODUCT(V48,AC9:AC47),0)</f>
        <v>11461</v>
      </c>
      <c r="W49" s="4523"/>
      <c r="X49" s="284"/>
      <c r="Y49" s="284"/>
      <c r="Z49" s="284"/>
      <c r="AA49" s="284"/>
      <c r="AB49" s="284"/>
      <c r="AC49" s="284"/>
    </row>
    <row r="50" spans="1:29" ht="15.75" thickBot="1">
      <c r="A50" s="310" t="s">
        <v>1800</v>
      </c>
      <c r="B50" s="311"/>
      <c r="C50" s="3572">
        <f>R50</f>
        <v>11713</v>
      </c>
      <c r="D50" s="312"/>
      <c r="E50" s="312"/>
      <c r="F50" s="312"/>
      <c r="G50" s="312"/>
      <c r="H50" s="312"/>
      <c r="I50" s="312"/>
      <c r="J50" s="312"/>
      <c r="K50" s="3538"/>
      <c r="L50" s="2091"/>
      <c r="M50" s="2084"/>
      <c r="N50" s="2084"/>
      <c r="O50" s="2084"/>
      <c r="P50" s="4388" t="str">
        <f>A50</f>
        <v>估价对象XX用房的比较价值（楼面单价，元/平方米）</v>
      </c>
      <c r="Q50" s="4389"/>
      <c r="R50" s="4524">
        <f>ROUND(IF(D49="简单平均",AVERAGE(R49:W49),R49*F49+T49*H49+V49*J49),0)</f>
        <v>11713</v>
      </c>
      <c r="S50" s="4524"/>
      <c r="T50" s="4524"/>
      <c r="U50" s="4524"/>
      <c r="V50" s="4524"/>
      <c r="W50" s="4524"/>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1715</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1716</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1717</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1801</v>
      </c>
      <c r="B57" s="471" t="s">
        <v>1802</v>
      </c>
      <c r="C57" s="1516" t="s">
        <v>1803</v>
      </c>
      <c r="D57" s="1517" t="s">
        <v>1804</v>
      </c>
      <c r="E57" s="472" t="s">
        <v>1805</v>
      </c>
      <c r="F57" s="630" t="s">
        <v>1806</v>
      </c>
      <c r="G57" s="4450" t="s">
        <v>1807</v>
      </c>
      <c r="H57" s="4525"/>
      <c r="I57" s="65" t="s">
        <v>1808</v>
      </c>
      <c r="J57" s="1518">
        <f>项目基本情况!F35</f>
        <v>0</v>
      </c>
      <c r="K57" s="1519" t="s">
        <v>1809</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1810</v>
      </c>
      <c r="B58" s="3473">
        <f>C50</f>
        <v>11713</v>
      </c>
      <c r="C58" s="3125">
        <v>1</v>
      </c>
      <c r="D58" s="3477">
        <v>1</v>
      </c>
      <c r="E58" s="3476">
        <f>'数据-汇总表'!E8+'数据-汇总表'!E9</f>
        <v>145.47</v>
      </c>
      <c r="F58" s="3498">
        <f t="shared" ref="F58:F66" si="15">ROUND(B58*E58/10000,0)</f>
        <v>170</v>
      </c>
      <c r="G58" s="4526"/>
      <c r="H58" s="4511"/>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1811</v>
      </c>
      <c r="B59" s="3474">
        <f>ROUND($C$50*C59*D59,0)</f>
        <v>0</v>
      </c>
      <c r="C59" s="3475">
        <f t="shared" ref="C59:C66" si="16">IF($C$57="北京市系数",I59,J59)</f>
        <v>0</v>
      </c>
      <c r="D59" s="3478">
        <v>0.25</v>
      </c>
      <c r="E59" s="3480">
        <v>594.01</v>
      </c>
      <c r="F59" s="3498">
        <f t="shared" si="15"/>
        <v>0</v>
      </c>
      <c r="G59" s="2300" t="s">
        <v>1812</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1813</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1814</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1815</v>
      </c>
      <c r="B62" s="3474">
        <f t="shared" si="17"/>
        <v>732</v>
      </c>
      <c r="C62" s="3475">
        <f t="shared" si="16"/>
        <v>0.25</v>
      </c>
      <c r="D62" s="3478">
        <v>0.25</v>
      </c>
      <c r="E62" s="3481">
        <f>'数据-汇总表'!E11</f>
        <v>0</v>
      </c>
      <c r="F62" s="3498">
        <f t="shared" si="15"/>
        <v>0</v>
      </c>
      <c r="G62" s="3490" t="s">
        <v>1816</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1817</v>
      </c>
      <c r="B63" s="3474">
        <f t="shared" si="17"/>
        <v>732</v>
      </c>
      <c r="C63" s="3475">
        <f t="shared" si="16"/>
        <v>0.25</v>
      </c>
      <c r="D63" s="3478">
        <v>0.25</v>
      </c>
      <c r="E63" s="3481">
        <f>'数据-汇总表'!E12</f>
        <v>0</v>
      </c>
      <c r="F63" s="3498">
        <f t="shared" si="15"/>
        <v>0</v>
      </c>
      <c r="G63" s="3491" t="s">
        <v>1818</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1819</v>
      </c>
      <c r="B64" s="3474">
        <f t="shared" si="17"/>
        <v>0</v>
      </c>
      <c r="C64" s="3475">
        <f t="shared" si="16"/>
        <v>0</v>
      </c>
      <c r="D64" s="3478">
        <v>0.25</v>
      </c>
      <c r="E64" s="3481">
        <f>'数据-汇总表'!E13</f>
        <v>0</v>
      </c>
      <c r="F64" s="3498">
        <f t="shared" si="15"/>
        <v>0</v>
      </c>
      <c r="G64" s="3491" t="s">
        <v>1820</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1821</v>
      </c>
      <c r="B65" s="3474">
        <f t="shared" si="17"/>
        <v>0</v>
      </c>
      <c r="C65" s="3475">
        <f t="shared" si="16"/>
        <v>0</v>
      </c>
      <c r="D65" s="3478">
        <v>0.25</v>
      </c>
      <c r="E65" s="3481">
        <f>'数据-汇总表'!E14</f>
        <v>0</v>
      </c>
      <c r="F65" s="3498">
        <f t="shared" si="15"/>
        <v>0</v>
      </c>
      <c r="G65" s="3490" t="s">
        <v>1812</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1822</v>
      </c>
      <c r="B66" s="3474">
        <f t="shared" si="17"/>
        <v>439</v>
      </c>
      <c r="C66" s="3475">
        <f t="shared" si="16"/>
        <v>0.15</v>
      </c>
      <c r="D66" s="3478">
        <v>0.25</v>
      </c>
      <c r="E66" s="3481">
        <f>'数据-汇总表'!E15</f>
        <v>0</v>
      </c>
      <c r="F66" s="3498">
        <f t="shared" si="15"/>
        <v>0</v>
      </c>
      <c r="G66" s="3492" t="s">
        <v>1816</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1823</v>
      </c>
      <c r="B67" s="478" t="s">
        <v>20</v>
      </c>
      <c r="C67" s="478" t="s">
        <v>21</v>
      </c>
      <c r="D67" s="3499" t="s">
        <v>386</v>
      </c>
      <c r="E67" s="3482">
        <f>IF(B48="楼面地价",SUM(E58:E66),'数据-汇总表'!D3)</f>
        <v>739.48</v>
      </c>
      <c r="F67" s="3483">
        <f>IF(B48="楼面地价",SUM(F58:F66),ROUND(C50*E67/10000,0))</f>
        <v>170</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1718</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1824</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1825</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1636</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1601</v>
      </c>
      <c r="B74" s="326"/>
      <c r="C74" s="338" t="s">
        <v>1696</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1639</v>
      </c>
      <c r="B76" s="341" t="s">
        <v>1605</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1608</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1609</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1610</v>
      </c>
      <c r="B89" s="341" t="s">
        <v>1640</v>
      </c>
      <c r="C89" s="383" t="s">
        <v>1641</v>
      </c>
      <c r="D89" s="383" t="s">
        <v>1642</v>
      </c>
      <c r="E89" s="383" t="s">
        <v>1643</v>
      </c>
      <c r="F89" s="383" t="s">
        <v>1644</v>
      </c>
      <c r="G89" s="383" t="s">
        <v>1645</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1826</v>
      </c>
      <c r="C91" s="387" t="s">
        <v>1641</v>
      </c>
      <c r="D91" s="387" t="s">
        <v>1642</v>
      </c>
      <c r="E91" s="387" t="s">
        <v>1643</v>
      </c>
      <c r="F91" s="387" t="s">
        <v>1644</v>
      </c>
      <c r="G91" s="387" t="s">
        <v>1645</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1741</v>
      </c>
      <c r="C93" s="387" t="s">
        <v>1641</v>
      </c>
      <c r="D93" s="387" t="s">
        <v>1642</v>
      </c>
      <c r="E93" s="387" t="s">
        <v>1643</v>
      </c>
      <c r="F93" s="387" t="s">
        <v>1644</v>
      </c>
      <c r="G93" s="387" t="s">
        <v>1645</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1646</v>
      </c>
      <c r="C95" s="387" t="s">
        <v>1641</v>
      </c>
      <c r="D95" s="387" t="s">
        <v>1642</v>
      </c>
      <c r="E95" s="387" t="s">
        <v>1643</v>
      </c>
      <c r="F95" s="387" t="s">
        <v>1644</v>
      </c>
      <c r="G95" s="387" t="s">
        <v>1645</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1827</v>
      </c>
      <c r="C97" s="387" t="s">
        <v>1641</v>
      </c>
      <c r="D97" s="387" t="s">
        <v>1642</v>
      </c>
      <c r="E97" s="387" t="s">
        <v>1643</v>
      </c>
      <c r="F97" s="387" t="s">
        <v>1644</v>
      </c>
      <c r="G97" s="387" t="s">
        <v>1645</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1828</v>
      </c>
      <c r="C99" s="383" t="s">
        <v>1641</v>
      </c>
      <c r="D99" s="383" t="s">
        <v>1642</v>
      </c>
      <c r="E99" s="383" t="s">
        <v>1643</v>
      </c>
      <c r="F99" s="383" t="s">
        <v>1644</v>
      </c>
      <c r="G99" s="383" t="s">
        <v>1645</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1698</v>
      </c>
      <c r="C101" s="383" t="s">
        <v>1641</v>
      </c>
      <c r="D101" s="383" t="s">
        <v>1642</v>
      </c>
      <c r="E101" s="383" t="s">
        <v>1643</v>
      </c>
      <c r="F101" s="383" t="s">
        <v>1644</v>
      </c>
      <c r="G101" s="383" t="s">
        <v>1645</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1699</v>
      </c>
      <c r="C103" s="454" t="s">
        <v>1719</v>
      </c>
      <c r="D103" s="454" t="s">
        <v>1720</v>
      </c>
      <c r="E103" s="454" t="s">
        <v>1721</v>
      </c>
      <c r="F103" s="454" t="s">
        <v>1722</v>
      </c>
      <c r="G103" s="454" t="s">
        <v>1723</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1829</v>
      </c>
      <c r="D105" s="351" t="s">
        <v>1830</v>
      </c>
      <c r="E105" s="351" t="s">
        <v>1831</v>
      </c>
      <c r="F105" s="351" t="s">
        <v>1832</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1735</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1793</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1614</v>
      </c>
      <c r="B117" s="341" t="s">
        <v>1833</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1834</v>
      </c>
      <c r="C120" s="391" t="s">
        <v>3670</v>
      </c>
      <c r="D120" s="391" t="s">
        <v>3671</v>
      </c>
      <c r="E120" s="391" t="s">
        <v>3672</v>
      </c>
      <c r="F120" s="391" t="s">
        <v>3673</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1835</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1836</v>
      </c>
      <c r="C124" s="366" t="s">
        <v>3665</v>
      </c>
      <c r="D124" s="366" t="s">
        <v>3666</v>
      </c>
      <c r="E124" s="366" t="s">
        <v>3667</v>
      </c>
      <c r="F124" s="366" t="s">
        <v>3668</v>
      </c>
      <c r="G124" s="366" t="s">
        <v>3669</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1837</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1787</v>
      </c>
      <c r="B1" s="250"/>
      <c r="C1" s="251" t="s">
        <v>1838</v>
      </c>
      <c r="D1" s="498"/>
      <c r="E1" s="498"/>
      <c r="F1" s="497" t="s">
        <v>1687</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1439</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1441</v>
      </c>
      <c r="B3" s="414" t="e">
        <f>ROUND(IF(D3="",B2*10000/'数据-汇总表'!E3,B2*10000/D3),0)</f>
        <v>#DIV/0!</v>
      </c>
      <c r="C3" s="117" t="s">
        <v>1789</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3683</v>
      </c>
      <c r="B4" s="3901" t="e">
        <f>IF(B43="单位面积地价",C45,ROUND(B2*10000/'数据-汇总表'!D3,0))</f>
        <v>#DIV/0!</v>
      </c>
      <c r="C4" s="1421" t="s">
        <v>3685</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3684</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1689</v>
      </c>
      <c r="B6" s="3581"/>
      <c r="C6" s="4407" t="s">
        <v>1690</v>
      </c>
      <c r="D6" s="4408"/>
      <c r="E6" s="4409" t="s">
        <v>1691</v>
      </c>
      <c r="F6" s="4410"/>
      <c r="G6" s="4407" t="s">
        <v>1692</v>
      </c>
      <c r="H6" s="4408"/>
      <c r="I6" s="4407" t="s">
        <v>1693</v>
      </c>
      <c r="J6" s="4408"/>
      <c r="K6" s="415" t="s">
        <v>1694</v>
      </c>
      <c r="L6" s="2083"/>
      <c r="M6" s="2084"/>
      <c r="N6" s="2084"/>
      <c r="O6" s="2084"/>
      <c r="P6" s="4411" t="s">
        <v>1695</v>
      </c>
      <c r="Q6" s="4412"/>
      <c r="R6" s="4417" t="s">
        <v>1691</v>
      </c>
      <c r="S6" s="4418"/>
      <c r="T6" s="4417" t="s">
        <v>1692</v>
      </c>
      <c r="U6" s="4418"/>
      <c r="V6" s="4423" t="s">
        <v>1693</v>
      </c>
      <c r="W6" s="4423"/>
      <c r="X6" s="984"/>
      <c r="Y6" s="4432" t="s">
        <v>1695</v>
      </c>
      <c r="Z6" s="4433"/>
      <c r="AA6" s="4404" t="s">
        <v>1691</v>
      </c>
      <c r="AB6" s="4405" t="s">
        <v>1692</v>
      </c>
      <c r="AC6" s="4404" t="s">
        <v>1693</v>
      </c>
    </row>
    <row r="7" spans="1:29" ht="15">
      <c r="A7" s="3509"/>
      <c r="B7" s="3582"/>
      <c r="C7" s="4426" t="s">
        <v>1593</v>
      </c>
      <c r="D7" s="4427"/>
      <c r="E7" s="4441" t="s">
        <v>1594</v>
      </c>
      <c r="F7" s="4442"/>
      <c r="G7" s="4426" t="s">
        <v>1595</v>
      </c>
      <c r="H7" s="4427"/>
      <c r="I7" s="4426" t="s">
        <v>1596</v>
      </c>
      <c r="J7" s="4427"/>
      <c r="K7" s="415"/>
      <c r="L7" s="2083"/>
      <c r="M7" s="2084"/>
      <c r="N7" s="2084"/>
      <c r="O7" s="2084"/>
      <c r="P7" s="4413"/>
      <c r="Q7" s="4414"/>
      <c r="R7" s="4419"/>
      <c r="S7" s="4420"/>
      <c r="T7" s="4419"/>
      <c r="U7" s="4420"/>
      <c r="V7" s="4423"/>
      <c r="W7" s="4423"/>
      <c r="X7" s="984"/>
      <c r="Y7" s="4434"/>
      <c r="Z7" s="4435"/>
      <c r="AA7" s="4405"/>
      <c r="AB7" s="4405"/>
      <c r="AC7" s="4405"/>
    </row>
    <row r="8" spans="1:29" ht="15.75" thickBot="1">
      <c r="A8" s="3583"/>
      <c r="B8" s="3584"/>
      <c r="C8" s="4527" t="s">
        <v>1839</v>
      </c>
      <c r="D8" s="4528"/>
      <c r="E8" s="4529" t="s">
        <v>1839</v>
      </c>
      <c r="F8" s="4530"/>
      <c r="G8" s="4527" t="s">
        <v>1839</v>
      </c>
      <c r="H8" s="4528"/>
      <c r="I8" s="4527" t="s">
        <v>1839</v>
      </c>
      <c r="J8" s="4528"/>
      <c r="K8" s="415" t="s">
        <v>1598</v>
      </c>
      <c r="L8" s="2083"/>
      <c r="M8" s="2084"/>
      <c r="N8" s="2084"/>
      <c r="O8" s="2084"/>
      <c r="P8" s="4415"/>
      <c r="Q8" s="4416"/>
      <c r="R8" s="4419"/>
      <c r="S8" s="4420"/>
      <c r="T8" s="4421"/>
      <c r="U8" s="4422"/>
      <c r="V8" s="4423"/>
      <c r="W8" s="4423"/>
      <c r="X8" s="984"/>
      <c r="Y8" s="4436"/>
      <c r="Z8" s="4437"/>
      <c r="AA8" s="4406"/>
      <c r="AB8" s="4406"/>
      <c r="AC8" s="4406"/>
    </row>
    <row r="9" spans="1:29" s="61" customFormat="1" ht="15.75" thickBot="1">
      <c r="A9" s="3501" t="s">
        <v>1599</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428" t="s">
        <v>1600</v>
      </c>
      <c r="Q9" s="4438"/>
      <c r="R9" s="3573" t="s">
        <v>13</v>
      </c>
      <c r="S9" s="3574">
        <f t="shared" ref="S9:S17" si="0">F9</f>
        <v>0</v>
      </c>
      <c r="T9" s="3573" t="s">
        <v>13</v>
      </c>
      <c r="U9" s="3574">
        <f t="shared" ref="U9:U17" si="1">H9</f>
        <v>0</v>
      </c>
      <c r="V9" s="3573" t="s">
        <v>13</v>
      </c>
      <c r="W9" s="3574">
        <f t="shared" ref="W9:W17" si="2">J9</f>
        <v>0</v>
      </c>
      <c r="X9" s="513"/>
      <c r="Y9" s="4430" t="s">
        <v>1600</v>
      </c>
      <c r="Z9" s="4431"/>
      <c r="AA9" s="41" t="e">
        <f>D9/F9</f>
        <v>#DIV/0!</v>
      </c>
      <c r="AB9" s="41" t="e">
        <f>D9/H9</f>
        <v>#DIV/0!</v>
      </c>
      <c r="AC9" s="41" t="e">
        <f>D9/J9</f>
        <v>#DIV/0!</v>
      </c>
    </row>
    <row r="10" spans="1:29" s="61" customFormat="1" ht="15.75" thickBot="1">
      <c r="A10" s="3501" t="s">
        <v>1601</v>
      </c>
      <c r="B10" s="3502"/>
      <c r="C10" s="3106" t="s">
        <v>1602</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428" t="s">
        <v>1603</v>
      </c>
      <c r="Q10" s="4429"/>
      <c r="R10" s="3573" t="s">
        <v>13</v>
      </c>
      <c r="S10" s="3574">
        <f t="shared" si="0"/>
        <v>0</v>
      </c>
      <c r="T10" s="3573" t="s">
        <v>13</v>
      </c>
      <c r="U10" s="3574">
        <f t="shared" si="1"/>
        <v>0</v>
      </c>
      <c r="V10" s="3573" t="s">
        <v>13</v>
      </c>
      <c r="W10" s="3574">
        <f t="shared" si="2"/>
        <v>0</v>
      </c>
      <c r="X10" s="513"/>
      <c r="Y10" s="4430" t="s">
        <v>1603</v>
      </c>
      <c r="Z10" s="4431"/>
      <c r="AA10" s="41" t="e">
        <f t="shared" ref="AA10:AA42" si="3">D10/F10</f>
        <v>#DIV/0!</v>
      </c>
      <c r="AB10" s="41" t="e">
        <f t="shared" ref="AB10:AB42" si="4">D10/H10</f>
        <v>#DIV/0!</v>
      </c>
      <c r="AC10" s="41" t="e">
        <f t="shared" ref="AC10:AC42" si="5">D10/J10</f>
        <v>#DIV/0!</v>
      </c>
    </row>
    <row r="11" spans="1:29" s="61" customFormat="1">
      <c r="A11" s="3434" t="s">
        <v>1604</v>
      </c>
      <c r="B11" s="3085" t="s">
        <v>1605</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91" t="s">
        <v>1606</v>
      </c>
      <c r="Q11" s="1792" t="str">
        <f t="shared" ref="Q11:Q17" si="6">B11</f>
        <v>用途</v>
      </c>
      <c r="R11" s="3573" t="s">
        <v>13</v>
      </c>
      <c r="S11" s="3574">
        <f t="shared" si="0"/>
        <v>100</v>
      </c>
      <c r="T11" s="3573" t="s">
        <v>13</v>
      </c>
      <c r="U11" s="3574">
        <f t="shared" si="1"/>
        <v>100</v>
      </c>
      <c r="V11" s="3573" t="s">
        <v>13</v>
      </c>
      <c r="W11" s="3574">
        <f t="shared" si="2"/>
        <v>100</v>
      </c>
      <c r="X11" s="513"/>
      <c r="Y11" s="4403" t="s">
        <v>1607</v>
      </c>
      <c r="Z11" s="41" t="str">
        <f t="shared" ref="Z11:Z17" si="7">Q11</f>
        <v>用途</v>
      </c>
      <c r="AA11" s="41">
        <f t="shared" si="3"/>
        <v>1</v>
      </c>
      <c r="AB11" s="41">
        <f t="shared" si="4"/>
        <v>1</v>
      </c>
      <c r="AC11" s="41">
        <f t="shared" si="5"/>
        <v>1</v>
      </c>
    </row>
    <row r="12" spans="1:29" s="272" customFormat="1" ht="27">
      <c r="A12" s="3504"/>
      <c r="B12" s="3080" t="s">
        <v>1608</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391"/>
      <c r="Q12" s="1792" t="str">
        <f t="shared" si="6"/>
        <v>土地使用年限（年）</v>
      </c>
      <c r="R12" s="3573" t="s">
        <v>13</v>
      </c>
      <c r="S12" s="3574">
        <f t="shared" si="0"/>
        <v>109</v>
      </c>
      <c r="T12" s="3573" t="s">
        <v>13</v>
      </c>
      <c r="U12" s="3574">
        <f t="shared" si="1"/>
        <v>109</v>
      </c>
      <c r="V12" s="3573" t="s">
        <v>13</v>
      </c>
      <c r="W12" s="3574">
        <f t="shared" si="2"/>
        <v>109</v>
      </c>
      <c r="X12" s="513"/>
      <c r="Y12" s="4403"/>
      <c r="Z12" s="41" t="str">
        <f t="shared" si="7"/>
        <v>土地使用年限（年）</v>
      </c>
      <c r="AA12" s="41">
        <f t="shared" si="3"/>
        <v>0.91743119266055051</v>
      </c>
      <c r="AB12" s="41">
        <f t="shared" si="4"/>
        <v>0.91743119266055051</v>
      </c>
      <c r="AC12" s="41">
        <f t="shared" si="5"/>
        <v>0.91743119266055051</v>
      </c>
    </row>
    <row r="13" spans="1:29" ht="15">
      <c r="A13" s="3505"/>
      <c r="B13" s="3080" t="s">
        <v>1609</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91"/>
      <c r="Q13" s="1792" t="str">
        <f t="shared" si="6"/>
        <v>容积率</v>
      </c>
      <c r="R13" s="3573" t="s">
        <v>13</v>
      </c>
      <c r="S13" s="3574" t="e">
        <f t="shared" si="0"/>
        <v>#N/A</v>
      </c>
      <c r="T13" s="3573" t="s">
        <v>13</v>
      </c>
      <c r="U13" s="3574" t="e">
        <f t="shared" si="1"/>
        <v>#N/A</v>
      </c>
      <c r="V13" s="3573" t="s">
        <v>13</v>
      </c>
      <c r="W13" s="3574" t="e">
        <f t="shared" si="2"/>
        <v>#N/A</v>
      </c>
      <c r="X13" s="513"/>
      <c r="Y13" s="4403"/>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91"/>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91"/>
      <c r="Q15" s="1792">
        <f t="shared" si="6"/>
        <v>111</v>
      </c>
      <c r="R15" s="3573" t="s">
        <v>13</v>
      </c>
      <c r="S15" s="3574">
        <f t="shared" si="0"/>
        <v>100</v>
      </c>
      <c r="T15" s="3573" t="s">
        <v>13</v>
      </c>
      <c r="U15" s="3574">
        <f t="shared" si="1"/>
        <v>100</v>
      </c>
      <c r="V15" s="3573" t="s">
        <v>13</v>
      </c>
      <c r="W15" s="3574">
        <f t="shared" si="2"/>
        <v>100</v>
      </c>
      <c r="X15" s="513"/>
      <c r="Y15" s="4403"/>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91"/>
      <c r="Q16" s="1792">
        <f t="shared" si="6"/>
        <v>111</v>
      </c>
      <c r="R16" s="3573" t="s">
        <v>13</v>
      </c>
      <c r="S16" s="3574">
        <f t="shared" si="0"/>
        <v>100</v>
      </c>
      <c r="T16" s="3573" t="s">
        <v>13</v>
      </c>
      <c r="U16" s="3574">
        <f t="shared" si="1"/>
        <v>100</v>
      </c>
      <c r="V16" s="3573" t="s">
        <v>13</v>
      </c>
      <c r="W16" s="3574">
        <f t="shared" si="2"/>
        <v>100</v>
      </c>
      <c r="X16" s="513"/>
      <c r="Y16" s="4403"/>
      <c r="Z16" s="41">
        <f t="shared" si="7"/>
        <v>111</v>
      </c>
      <c r="AA16" s="41">
        <f t="shared" si="3"/>
        <v>1</v>
      </c>
      <c r="AB16" s="41">
        <f t="shared" si="4"/>
        <v>1</v>
      </c>
      <c r="AC16" s="41">
        <f t="shared" si="5"/>
        <v>1</v>
      </c>
    </row>
    <row r="17" spans="1:29" ht="15">
      <c r="A17" s="3508" t="s">
        <v>1610</v>
      </c>
      <c r="B17" s="3585" t="s">
        <v>1840</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505" t="s">
        <v>1611</v>
      </c>
      <c r="Q17" s="1592" t="str">
        <f t="shared" si="6"/>
        <v>产业集聚程度</v>
      </c>
      <c r="R17" s="3575" t="s">
        <v>13</v>
      </c>
      <c r="S17" s="3576">
        <f t="shared" si="0"/>
        <v>100</v>
      </c>
      <c r="T17" s="3575" t="s">
        <v>13</v>
      </c>
      <c r="U17" s="3576">
        <f t="shared" si="1"/>
        <v>100</v>
      </c>
      <c r="V17" s="3575" t="s">
        <v>13</v>
      </c>
      <c r="W17" s="3576">
        <f t="shared" si="2"/>
        <v>100</v>
      </c>
      <c r="X17" s="984"/>
      <c r="Y17" s="4393" t="s">
        <v>1611</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506"/>
      <c r="Q18" s="1592"/>
      <c r="R18" s="3575"/>
      <c r="S18" s="3576"/>
      <c r="T18" s="3575"/>
      <c r="U18" s="3576"/>
      <c r="V18" s="3575"/>
      <c r="W18" s="3576"/>
      <c r="X18" s="984"/>
      <c r="Y18" s="4394"/>
      <c r="Z18" s="982"/>
      <c r="AA18" s="982">
        <v>1</v>
      </c>
      <c r="AB18" s="982">
        <v>1</v>
      </c>
      <c r="AC18" s="982">
        <v>1</v>
      </c>
    </row>
    <row r="19" spans="1:29" ht="15">
      <c r="A19" s="3505"/>
      <c r="B19" s="3587" t="s">
        <v>1753</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506"/>
      <c r="Q19" s="1592" t="str">
        <f>B19</f>
        <v>交通便捷度</v>
      </c>
      <c r="R19" s="3575" t="s">
        <v>13</v>
      </c>
      <c r="S19" s="3576">
        <f>F19</f>
        <v>100</v>
      </c>
      <c r="T19" s="3575" t="s">
        <v>13</v>
      </c>
      <c r="U19" s="3576">
        <f>H19</f>
        <v>100</v>
      </c>
      <c r="V19" s="3575" t="s">
        <v>13</v>
      </c>
      <c r="W19" s="3576">
        <f>J19</f>
        <v>100</v>
      </c>
      <c r="X19" s="984"/>
      <c r="Y19" s="4394"/>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506"/>
      <c r="Q20" s="1592"/>
      <c r="R20" s="3575"/>
      <c r="S20" s="3576"/>
      <c r="T20" s="3575"/>
      <c r="U20" s="3576"/>
      <c r="V20" s="3575"/>
      <c r="W20" s="3576"/>
      <c r="X20" s="984"/>
      <c r="Y20" s="4394"/>
      <c r="Z20" s="982"/>
      <c r="AA20" s="982">
        <v>1</v>
      </c>
      <c r="AB20" s="982">
        <v>1</v>
      </c>
      <c r="AC20" s="982">
        <v>1</v>
      </c>
    </row>
    <row r="21" spans="1:29" ht="15">
      <c r="A21" s="3505"/>
      <c r="B21" s="3587" t="s">
        <v>1791</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506"/>
      <c r="Q21" s="1592" t="str">
        <f t="shared" ref="Q21:Q35" si="8">B21</f>
        <v>区域土地利用方向</v>
      </c>
      <c r="R21" s="3575" t="s">
        <v>13</v>
      </c>
      <c r="S21" s="3576">
        <f>F21</f>
        <v>100</v>
      </c>
      <c r="T21" s="3575" t="s">
        <v>13</v>
      </c>
      <c r="U21" s="3576">
        <f>H21</f>
        <v>100</v>
      </c>
      <c r="V21" s="3575" t="s">
        <v>13</v>
      </c>
      <c r="W21" s="3576">
        <f>J21</f>
        <v>100</v>
      </c>
      <c r="X21" s="984"/>
      <c r="Y21" s="4394"/>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506"/>
      <c r="Q22" s="1592"/>
      <c r="R22" s="3575"/>
      <c r="S22" s="3576"/>
      <c r="T22" s="3575"/>
      <c r="U22" s="3576"/>
      <c r="V22" s="3575"/>
      <c r="W22" s="3576"/>
      <c r="X22" s="984"/>
      <c r="Y22" s="4394"/>
      <c r="Z22" s="982"/>
      <c r="AA22" s="982"/>
      <c r="AB22" s="982"/>
      <c r="AC22" s="982"/>
    </row>
    <row r="23" spans="1:29" ht="15">
      <c r="A23" s="3509"/>
      <c r="B23" s="3587" t="s">
        <v>1841</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506"/>
      <c r="Q23" s="1592" t="str">
        <f t="shared" si="8"/>
        <v>环境状况</v>
      </c>
      <c r="R23" s="3575" t="s">
        <v>13</v>
      </c>
      <c r="S23" s="3576">
        <f>F23</f>
        <v>100</v>
      </c>
      <c r="T23" s="3575" t="s">
        <v>13</v>
      </c>
      <c r="U23" s="3576">
        <f>H23</f>
        <v>100</v>
      </c>
      <c r="V23" s="3575" t="s">
        <v>13</v>
      </c>
      <c r="W23" s="3576">
        <f>J23</f>
        <v>100</v>
      </c>
      <c r="X23" s="984"/>
      <c r="Y23" s="4394"/>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506"/>
      <c r="Q24" s="1592"/>
      <c r="R24" s="3575"/>
      <c r="S24" s="3576"/>
      <c r="T24" s="3575"/>
      <c r="U24" s="3576"/>
      <c r="V24" s="3575"/>
      <c r="W24" s="3576"/>
      <c r="X24" s="984"/>
      <c r="Y24" s="4394"/>
      <c r="Z24" s="982"/>
      <c r="AA24" s="982">
        <v>1</v>
      </c>
      <c r="AB24" s="982">
        <v>1</v>
      </c>
      <c r="AC24" s="982">
        <v>1</v>
      </c>
    </row>
    <row r="25" spans="1:29" s="61" customFormat="1" ht="15">
      <c r="A25" s="3511"/>
      <c r="B25" s="3589" t="s">
        <v>1698</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506"/>
      <c r="Q25" s="1792" t="str">
        <f t="shared" si="8"/>
        <v>公共配套设施</v>
      </c>
      <c r="R25" s="3573" t="s">
        <v>13</v>
      </c>
      <c r="S25" s="3574">
        <f>F25</f>
        <v>100</v>
      </c>
      <c r="T25" s="3573" t="s">
        <v>13</v>
      </c>
      <c r="U25" s="3574">
        <f>H25</f>
        <v>100</v>
      </c>
      <c r="V25" s="3573" t="s">
        <v>13</v>
      </c>
      <c r="W25" s="3574">
        <f>J25</f>
        <v>100</v>
      </c>
      <c r="X25" s="513"/>
      <c r="Y25" s="4394"/>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506"/>
      <c r="Q26" s="1792"/>
      <c r="R26" s="3573"/>
      <c r="S26" s="3574"/>
      <c r="T26" s="3573"/>
      <c r="U26" s="3574"/>
      <c r="V26" s="3573"/>
      <c r="W26" s="3574"/>
      <c r="X26" s="513"/>
      <c r="Y26" s="4394"/>
      <c r="Z26" s="41"/>
      <c r="AA26" s="41">
        <v>1</v>
      </c>
      <c r="AB26" s="41">
        <v>1</v>
      </c>
      <c r="AC26" s="41">
        <v>1</v>
      </c>
    </row>
    <row r="27" spans="1:29" s="61" customFormat="1" ht="15">
      <c r="A27" s="3511"/>
      <c r="B27" s="3589" t="s">
        <v>1699</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506"/>
      <c r="Q27" s="1792" t="str">
        <f t="shared" ref="Q27" si="9">B27</f>
        <v>基础设施水平</v>
      </c>
      <c r="R27" s="3573" t="s">
        <v>13</v>
      </c>
      <c r="S27" s="3574">
        <f>F27</f>
        <v>100</v>
      </c>
      <c r="T27" s="3573" t="s">
        <v>13</v>
      </c>
      <c r="U27" s="3574">
        <f>H27</f>
        <v>100</v>
      </c>
      <c r="V27" s="3573" t="s">
        <v>13</v>
      </c>
      <c r="W27" s="3574">
        <f>J27</f>
        <v>100</v>
      </c>
      <c r="X27" s="513"/>
      <c r="Y27" s="4394"/>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506"/>
      <c r="Q28" s="1792"/>
      <c r="R28" s="3573"/>
      <c r="S28" s="3574"/>
      <c r="T28" s="3573"/>
      <c r="U28" s="3574"/>
      <c r="V28" s="3573"/>
      <c r="W28" s="3574"/>
      <c r="X28" s="513"/>
      <c r="Y28" s="4394"/>
      <c r="Z28" s="41"/>
      <c r="AA28" s="41">
        <v>1</v>
      </c>
      <c r="AB28" s="41">
        <v>1</v>
      </c>
      <c r="AC28" s="41">
        <v>1</v>
      </c>
    </row>
    <row r="29" spans="1:29" ht="15">
      <c r="A29" s="3505"/>
      <c r="B29" s="3588" t="s">
        <v>1700</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506"/>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94"/>
      <c r="Z29" s="982" t="str">
        <f t="shared" ref="Z29:Z42" si="13">Q29</f>
        <v>临街状况</v>
      </c>
      <c r="AA29" s="982">
        <f t="shared" si="3"/>
        <v>1</v>
      </c>
      <c r="AB29" s="982">
        <f t="shared" si="4"/>
        <v>1</v>
      </c>
      <c r="AC29" s="982">
        <f t="shared" si="5"/>
        <v>1</v>
      </c>
    </row>
    <row r="30" spans="1:29" ht="27">
      <c r="A30" s="3505"/>
      <c r="B30" s="3589" t="s">
        <v>1735</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506"/>
      <c r="Q30" s="1592" t="str">
        <f t="shared" si="8"/>
        <v>毗邻道路的类型与等级</v>
      </c>
      <c r="R30" s="3575" t="s">
        <v>13</v>
      </c>
      <c r="S30" s="3576">
        <f t="shared" si="10"/>
        <v>100</v>
      </c>
      <c r="T30" s="3575" t="s">
        <v>13</v>
      </c>
      <c r="U30" s="3576">
        <f t="shared" si="11"/>
        <v>100</v>
      </c>
      <c r="V30" s="3575" t="s">
        <v>13</v>
      </c>
      <c r="W30" s="3576">
        <f t="shared" si="12"/>
        <v>100</v>
      </c>
      <c r="X30" s="984"/>
      <c r="Y30" s="4394"/>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506"/>
      <c r="Q31" s="1592"/>
      <c r="R31" s="3575"/>
      <c r="S31" s="3576"/>
      <c r="T31" s="3575"/>
      <c r="U31" s="3576"/>
      <c r="V31" s="3575"/>
      <c r="W31" s="3576"/>
      <c r="X31" s="984"/>
      <c r="Y31" s="4394"/>
      <c r="Z31" s="982"/>
      <c r="AA31" s="982">
        <v>1</v>
      </c>
      <c r="AB31" s="982">
        <v>1</v>
      </c>
      <c r="AC31" s="982">
        <v>1</v>
      </c>
    </row>
    <row r="32" spans="1:29" ht="15">
      <c r="A32" s="3505"/>
      <c r="B32" s="3590" t="s">
        <v>1793</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506"/>
      <c r="Q32" s="1592" t="str">
        <f t="shared" si="8"/>
        <v>土地级别</v>
      </c>
      <c r="R32" s="3575" t="s">
        <v>13</v>
      </c>
      <c r="S32" s="3576">
        <f t="shared" si="10"/>
        <v>100</v>
      </c>
      <c r="T32" s="3575" t="s">
        <v>13</v>
      </c>
      <c r="U32" s="3576">
        <f t="shared" si="11"/>
        <v>100</v>
      </c>
      <c r="V32" s="3575" t="s">
        <v>13</v>
      </c>
      <c r="W32" s="3576">
        <f t="shared" si="12"/>
        <v>100</v>
      </c>
      <c r="X32" s="984"/>
      <c r="Y32" s="4394"/>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506"/>
      <c r="Q33" s="1592">
        <f t="shared" si="8"/>
        <v>111</v>
      </c>
      <c r="R33" s="3575" t="s">
        <v>13</v>
      </c>
      <c r="S33" s="3576">
        <f t="shared" si="10"/>
        <v>100</v>
      </c>
      <c r="T33" s="3575" t="s">
        <v>13</v>
      </c>
      <c r="U33" s="3576">
        <f t="shared" si="11"/>
        <v>100</v>
      </c>
      <c r="V33" s="3575" t="s">
        <v>13</v>
      </c>
      <c r="W33" s="3576">
        <f t="shared" si="12"/>
        <v>100</v>
      </c>
      <c r="X33" s="984"/>
      <c r="Y33" s="4394"/>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507" t="s">
        <v>1616</v>
      </c>
      <c r="Q34" s="1592">
        <f t="shared" si="8"/>
        <v>111</v>
      </c>
      <c r="R34" s="3575" t="s">
        <v>13</v>
      </c>
      <c r="S34" s="3576">
        <f t="shared" si="10"/>
        <v>100</v>
      </c>
      <c r="T34" s="3575" t="s">
        <v>13</v>
      </c>
      <c r="U34" s="3576">
        <f t="shared" si="11"/>
        <v>100</v>
      </c>
      <c r="V34" s="3575" t="s">
        <v>13</v>
      </c>
      <c r="W34" s="3576">
        <f t="shared" si="12"/>
        <v>100</v>
      </c>
      <c r="X34" s="984"/>
      <c r="Y34" s="4398" t="s">
        <v>1616</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508"/>
      <c r="Q35" s="1592">
        <f t="shared" si="8"/>
        <v>111</v>
      </c>
      <c r="R35" s="3577" t="s">
        <v>13</v>
      </c>
      <c r="S35" s="3578">
        <f t="shared" si="10"/>
        <v>100</v>
      </c>
      <c r="T35" s="3577" t="s">
        <v>13</v>
      </c>
      <c r="U35" s="3578">
        <f t="shared" si="11"/>
        <v>100</v>
      </c>
      <c r="V35" s="3577" t="s">
        <v>13</v>
      </c>
      <c r="W35" s="3578">
        <f t="shared" si="12"/>
        <v>100</v>
      </c>
      <c r="X35" s="518"/>
      <c r="Y35" s="4398"/>
      <c r="Z35" s="519">
        <f t="shared" si="13"/>
        <v>111</v>
      </c>
      <c r="AA35" s="982">
        <f t="shared" si="3"/>
        <v>1</v>
      </c>
      <c r="AB35" s="982">
        <f t="shared" si="4"/>
        <v>1</v>
      </c>
      <c r="AC35" s="982">
        <f t="shared" si="5"/>
        <v>1</v>
      </c>
    </row>
    <row r="36" spans="1:31" ht="15">
      <c r="A36" s="3508" t="s">
        <v>1614</v>
      </c>
      <c r="B36" s="3091" t="s">
        <v>1794</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508"/>
      <c r="Q36" s="1592" t="str">
        <f>B36</f>
        <v>宗地面积</v>
      </c>
      <c r="R36" s="3575" t="s">
        <v>13</v>
      </c>
      <c r="S36" s="3576" t="e">
        <f t="shared" si="10"/>
        <v>#N/A</v>
      </c>
      <c r="T36" s="3575" t="s">
        <v>13</v>
      </c>
      <c r="U36" s="3576" t="e">
        <f t="shared" si="11"/>
        <v>#N/A</v>
      </c>
      <c r="V36" s="3575" t="s">
        <v>13</v>
      </c>
      <c r="W36" s="3576" t="e">
        <f t="shared" si="12"/>
        <v>#N/A</v>
      </c>
      <c r="X36" s="984"/>
      <c r="Y36" s="4398"/>
      <c r="Z36" s="982" t="str">
        <f t="shared" si="13"/>
        <v>宗地面积</v>
      </c>
      <c r="AA36" s="982" t="e">
        <f t="shared" si="3"/>
        <v>#N/A</v>
      </c>
      <c r="AB36" s="982" t="e">
        <f t="shared" si="4"/>
        <v>#N/A</v>
      </c>
      <c r="AC36" s="982" t="e">
        <f t="shared" si="5"/>
        <v>#N/A</v>
      </c>
    </row>
    <row r="37" spans="1:31" ht="15">
      <c r="A37" s="3519"/>
      <c r="B37" s="3080" t="s">
        <v>1795</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508"/>
      <c r="Q37" s="1592" t="str">
        <f t="shared" ref="Q37:Q42" si="14">B37</f>
        <v>宗地形状</v>
      </c>
      <c r="R37" s="3575" t="s">
        <v>13</v>
      </c>
      <c r="S37" s="3576">
        <f t="shared" si="10"/>
        <v>100</v>
      </c>
      <c r="T37" s="3575" t="s">
        <v>13</v>
      </c>
      <c r="U37" s="3576">
        <f t="shared" si="11"/>
        <v>100</v>
      </c>
      <c r="V37" s="3575" t="s">
        <v>13</v>
      </c>
      <c r="W37" s="3576">
        <f t="shared" si="12"/>
        <v>100</v>
      </c>
      <c r="X37" s="984"/>
      <c r="Y37" s="4398"/>
      <c r="Z37" s="982" t="str">
        <f t="shared" si="13"/>
        <v>宗地形状</v>
      </c>
      <c r="AA37" s="982">
        <f t="shared" si="3"/>
        <v>1</v>
      </c>
      <c r="AB37" s="982">
        <f t="shared" si="4"/>
        <v>1</v>
      </c>
      <c r="AC37" s="982">
        <f t="shared" si="5"/>
        <v>1</v>
      </c>
    </row>
    <row r="38" spans="1:31" s="61" customFormat="1" ht="15">
      <c r="A38" s="3521"/>
      <c r="B38" s="3080" t="s">
        <v>1797</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508"/>
      <c r="Q38" s="1592" t="str">
        <f t="shared" si="14"/>
        <v>宗地开发程度</v>
      </c>
      <c r="R38" s="3573" t="s">
        <v>13</v>
      </c>
      <c r="S38" s="3574">
        <f t="shared" si="10"/>
        <v>100</v>
      </c>
      <c r="T38" s="3573" t="s">
        <v>13</v>
      </c>
      <c r="U38" s="3574">
        <f t="shared" si="11"/>
        <v>100</v>
      </c>
      <c r="V38" s="3573" t="s">
        <v>13</v>
      </c>
      <c r="W38" s="3574">
        <f t="shared" si="12"/>
        <v>100</v>
      </c>
      <c r="X38" s="513"/>
      <c r="Y38" s="4398"/>
      <c r="Z38" s="41" t="str">
        <f t="shared" si="13"/>
        <v>宗地开发程度</v>
      </c>
      <c r="AA38" s="41">
        <f t="shared" si="3"/>
        <v>1</v>
      </c>
      <c r="AB38" s="41">
        <f t="shared" si="4"/>
        <v>1</v>
      </c>
      <c r="AC38" s="41">
        <f t="shared" si="5"/>
        <v>1</v>
      </c>
    </row>
    <row r="39" spans="1:31" ht="15">
      <c r="A39" s="3519"/>
      <c r="B39" s="3080" t="s">
        <v>1798</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508" t="s">
        <v>1616</v>
      </c>
      <c r="Q39" s="1592" t="str">
        <f t="shared" si="14"/>
        <v>工程地质条件</v>
      </c>
      <c r="R39" s="3575" t="s">
        <v>13</v>
      </c>
      <c r="S39" s="3576">
        <f t="shared" si="10"/>
        <v>100</v>
      </c>
      <c r="T39" s="3575" t="s">
        <v>13</v>
      </c>
      <c r="U39" s="3576">
        <f t="shared" si="11"/>
        <v>100</v>
      </c>
      <c r="V39" s="3575" t="s">
        <v>13</v>
      </c>
      <c r="W39" s="3576">
        <f t="shared" si="12"/>
        <v>100</v>
      </c>
      <c r="X39" s="984"/>
      <c r="Y39" s="4398" t="s">
        <v>1616</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508"/>
      <c r="Q40" s="1592">
        <f t="shared" si="14"/>
        <v>111</v>
      </c>
      <c r="R40" s="3575" t="s">
        <v>13</v>
      </c>
      <c r="S40" s="3576">
        <f t="shared" si="10"/>
        <v>100</v>
      </c>
      <c r="T40" s="3575" t="s">
        <v>13</v>
      </c>
      <c r="U40" s="3576">
        <f t="shared" si="11"/>
        <v>100</v>
      </c>
      <c r="V40" s="3575" t="s">
        <v>13</v>
      </c>
      <c r="W40" s="3576">
        <f t="shared" si="12"/>
        <v>100</v>
      </c>
      <c r="X40" s="984"/>
      <c r="Y40" s="4398"/>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508"/>
      <c r="Q41" s="1592">
        <f t="shared" si="14"/>
        <v>111</v>
      </c>
      <c r="R41" s="3575" t="s">
        <v>13</v>
      </c>
      <c r="S41" s="3576">
        <f t="shared" si="10"/>
        <v>100</v>
      </c>
      <c r="T41" s="3575" t="s">
        <v>13</v>
      </c>
      <c r="U41" s="3576">
        <f t="shared" si="11"/>
        <v>100</v>
      </c>
      <c r="V41" s="3575" t="s">
        <v>13</v>
      </c>
      <c r="W41" s="3576">
        <f t="shared" si="12"/>
        <v>100</v>
      </c>
      <c r="X41" s="984"/>
      <c r="Y41" s="4398"/>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508"/>
      <c r="Q42" s="1592">
        <f t="shared" si="14"/>
        <v>111</v>
      </c>
      <c r="R42" s="3577" t="s">
        <v>13</v>
      </c>
      <c r="S42" s="3578">
        <f t="shared" si="10"/>
        <v>100</v>
      </c>
      <c r="T42" s="3577" t="s">
        <v>13</v>
      </c>
      <c r="U42" s="3578">
        <f t="shared" si="11"/>
        <v>100</v>
      </c>
      <c r="V42" s="3577" t="s">
        <v>13</v>
      </c>
      <c r="W42" s="3578">
        <f t="shared" si="12"/>
        <v>100</v>
      </c>
      <c r="X42" s="518"/>
      <c r="Y42" s="4398"/>
      <c r="Z42" s="519">
        <f t="shared" si="13"/>
        <v>111</v>
      </c>
      <c r="AA42" s="982">
        <f t="shared" si="3"/>
        <v>1</v>
      </c>
      <c r="AB42" s="982">
        <f t="shared" si="4"/>
        <v>1</v>
      </c>
      <c r="AC42" s="982">
        <f t="shared" si="5"/>
        <v>1</v>
      </c>
    </row>
    <row r="43" spans="1:31" ht="15">
      <c r="A43" s="305" t="s">
        <v>1764</v>
      </c>
      <c r="B43" s="1515" t="s">
        <v>1842</v>
      </c>
      <c r="C43" s="468" t="s">
        <v>0</v>
      </c>
      <c r="D43" s="3596"/>
      <c r="E43" s="3566"/>
      <c r="F43" s="3567"/>
      <c r="G43" s="3568"/>
      <c r="H43" s="3569"/>
      <c r="I43" s="3566"/>
      <c r="J43" s="3569"/>
      <c r="K43" s="3156"/>
      <c r="L43" s="2091"/>
      <c r="M43" s="2084"/>
      <c r="N43" s="2084"/>
      <c r="O43" s="2084"/>
      <c r="P43" s="4391" t="str">
        <f>A43</f>
        <v>成交单价</v>
      </c>
      <c r="Q43" s="4391"/>
      <c r="R43" s="4392">
        <f>E43</f>
        <v>0</v>
      </c>
      <c r="S43" s="4392"/>
      <c r="T43" s="4392">
        <f>G43</f>
        <v>0</v>
      </c>
      <c r="U43" s="4392"/>
      <c r="V43" s="4392">
        <f>I43</f>
        <v>0</v>
      </c>
      <c r="W43" s="4392"/>
      <c r="X43" s="284"/>
      <c r="Y43" s="520"/>
      <c r="Z43" s="284"/>
      <c r="AA43" s="284"/>
      <c r="AB43" s="284"/>
      <c r="AC43" s="284"/>
    </row>
    <row r="44" spans="1:31" ht="15.75" thickBot="1">
      <c r="A44" s="308" t="s">
        <v>1713</v>
      </c>
      <c r="B44" s="469"/>
      <c r="C44" s="3570" t="e">
        <f>R45</f>
        <v>#DIV/0!</v>
      </c>
      <c r="D44" s="3597" t="s">
        <v>2054</v>
      </c>
      <c r="E44" s="3570" t="e">
        <f>R44</f>
        <v>#DIV/0!</v>
      </c>
      <c r="F44" s="3094"/>
      <c r="G44" s="3571" t="e">
        <f>T44</f>
        <v>#DIV/0!</v>
      </c>
      <c r="H44" s="3094"/>
      <c r="I44" s="3570" t="e">
        <f>V44</f>
        <v>#DIV/0!</v>
      </c>
      <c r="J44" s="3094"/>
      <c r="K44" s="3149">
        <f>F44+H44+J44</f>
        <v>0</v>
      </c>
      <c r="L44" s="2091"/>
      <c r="M44" s="2084"/>
      <c r="N44" s="2084"/>
      <c r="O44" s="2084"/>
      <c r="P44" s="4391" t="str">
        <f>A44</f>
        <v>比较价值（元/平方米）</v>
      </c>
      <c r="Q44" s="4391"/>
      <c r="R44" s="4523" t="e">
        <f>ROUND(PRODUCT(R43,AA9:AA42),0)</f>
        <v>#DIV/0!</v>
      </c>
      <c r="S44" s="4523"/>
      <c r="T44" s="4523" t="e">
        <f>ROUND(PRODUCT(T43,AB9:AB42),0)</f>
        <v>#DIV/0!</v>
      </c>
      <c r="U44" s="4523"/>
      <c r="V44" s="4523" t="e">
        <f>ROUND(PRODUCT(V43,AC9:AC42),0)</f>
        <v>#DIV/0!</v>
      </c>
      <c r="W44" s="4523"/>
      <c r="X44" s="284"/>
      <c r="Y44" s="284"/>
      <c r="Z44" s="284"/>
      <c r="AA44" s="284"/>
      <c r="AB44" s="284"/>
      <c r="AC44" s="284"/>
    </row>
    <row r="45" spans="1:31" ht="15.75" thickBot="1">
      <c r="A45" s="310" t="s">
        <v>1714</v>
      </c>
      <c r="B45" s="311"/>
      <c r="C45" s="3572" t="e">
        <f>R45</f>
        <v>#DIV/0!</v>
      </c>
      <c r="D45" s="3572"/>
      <c r="E45" s="3572"/>
      <c r="F45" s="3572"/>
      <c r="G45" s="3572"/>
      <c r="H45" s="3572"/>
      <c r="I45" s="3572"/>
      <c r="J45" s="3572"/>
      <c r="K45" s="3598"/>
      <c r="L45" s="2091"/>
      <c r="M45" s="2084"/>
      <c r="N45" s="2084"/>
      <c r="O45" s="2084"/>
      <c r="P45" s="4388" t="str">
        <f>A45</f>
        <v>估价对象XX用房的比较价值（楼面单价，元/平方米）</v>
      </c>
      <c r="Q45" s="4389"/>
      <c r="R45" s="4524" t="e">
        <f>ROUND(IF(D44="简单平均",AVERAGE(R44:W44),R44*F44+T44*H44+V44*J44),0)</f>
        <v>#DIV/0!</v>
      </c>
      <c r="S45" s="4524"/>
      <c r="T45" s="4524"/>
      <c r="U45" s="4524"/>
      <c r="V45" s="4524"/>
      <c r="W45" s="4524"/>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1715</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1716</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1717</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1801</v>
      </c>
      <c r="B52" s="471" t="s">
        <v>1802</v>
      </c>
      <c r="C52" s="1516" t="s">
        <v>1803</v>
      </c>
      <c r="D52" s="1517" t="s">
        <v>1804</v>
      </c>
      <c r="E52" s="472" t="s">
        <v>1805</v>
      </c>
      <c r="F52" s="473" t="s">
        <v>1806</v>
      </c>
      <c r="G52" s="4450" t="s">
        <v>1807</v>
      </c>
      <c r="H52" s="4525"/>
      <c r="I52" s="3435" t="s">
        <v>1843</v>
      </c>
      <c r="J52" s="3435">
        <f>项目基本情况!F35</f>
        <v>0</v>
      </c>
      <c r="K52" s="1519" t="s">
        <v>1809</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1810</v>
      </c>
      <c r="B53" s="3473" t="e">
        <f>C45</f>
        <v>#DIV/0!</v>
      </c>
      <c r="C53" s="3500">
        <v>1</v>
      </c>
      <c r="D53" s="3477">
        <v>1</v>
      </c>
      <c r="E53" s="3476">
        <f>'数据-汇总表'!E8+'数据-汇总表'!E9</f>
        <v>145.47</v>
      </c>
      <c r="F53" s="3479" t="e">
        <f t="shared" ref="F53:F62" si="15">ROUND(B53*E53/10000,0)</f>
        <v>#DIV/0!</v>
      </c>
      <c r="G53" s="4526"/>
      <c r="H53" s="4511"/>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1811</v>
      </c>
      <c r="B54" s="3474" t="e">
        <f>ROUND($C$45*C54*D54,0)</f>
        <v>#DIV/0!</v>
      </c>
      <c r="C54" s="3475">
        <f t="shared" ref="C54:C62" si="16">IF($C$52="北京市系数",I54,J54)</f>
        <v>0</v>
      </c>
      <c r="D54" s="3478">
        <v>0.25</v>
      </c>
      <c r="E54" s="3480"/>
      <c r="F54" s="3479" t="e">
        <f t="shared" si="15"/>
        <v>#DIV/0!</v>
      </c>
      <c r="G54" s="3487" t="s">
        <v>1812</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1813</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1814</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1815</v>
      </c>
      <c r="B58" s="3474" t="e">
        <f t="shared" si="17"/>
        <v>#DIV/0!</v>
      </c>
      <c r="C58" s="3475">
        <f t="shared" si="16"/>
        <v>0.25</v>
      </c>
      <c r="D58" s="3478">
        <v>0.25</v>
      </c>
      <c r="E58" s="3481">
        <f>'数据-汇总表'!E11</f>
        <v>0</v>
      </c>
      <c r="F58" s="3479" t="e">
        <f t="shared" si="15"/>
        <v>#DIV/0!</v>
      </c>
      <c r="G58" s="3490" t="s">
        <v>1816</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1817</v>
      </c>
      <c r="B59" s="3474" t="e">
        <f t="shared" si="17"/>
        <v>#DIV/0!</v>
      </c>
      <c r="C59" s="3475">
        <f t="shared" si="16"/>
        <v>0.25</v>
      </c>
      <c r="D59" s="3478">
        <v>0.25</v>
      </c>
      <c r="E59" s="3481">
        <f>'数据-汇总表'!E12</f>
        <v>0</v>
      </c>
      <c r="F59" s="3479" t="e">
        <f t="shared" si="15"/>
        <v>#DIV/0!</v>
      </c>
      <c r="G59" s="3491" t="s">
        <v>1818</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1819</v>
      </c>
      <c r="B60" s="3474" t="e">
        <f t="shared" si="17"/>
        <v>#DIV/0!</v>
      </c>
      <c r="C60" s="3475">
        <f t="shared" si="16"/>
        <v>0</v>
      </c>
      <c r="D60" s="3478">
        <v>0.25</v>
      </c>
      <c r="E60" s="3481">
        <f>'数据-汇总表'!E13</f>
        <v>0</v>
      </c>
      <c r="F60" s="3479" t="e">
        <f t="shared" si="15"/>
        <v>#DIV/0!</v>
      </c>
      <c r="G60" s="3491" t="s">
        <v>1820</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1821</v>
      </c>
      <c r="B61" s="3474" t="e">
        <f t="shared" si="17"/>
        <v>#DIV/0!</v>
      </c>
      <c r="C61" s="3475">
        <f t="shared" si="16"/>
        <v>0</v>
      </c>
      <c r="D61" s="3478">
        <v>0.25</v>
      </c>
      <c r="E61" s="3481">
        <f>'数据-汇总表'!E14</f>
        <v>0</v>
      </c>
      <c r="F61" s="3479" t="e">
        <f t="shared" si="15"/>
        <v>#DIV/0!</v>
      </c>
      <c r="G61" s="3490" t="s">
        <v>1812</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1822</v>
      </c>
      <c r="B62" s="3474" t="e">
        <f t="shared" si="17"/>
        <v>#DIV/0!</v>
      </c>
      <c r="C62" s="3475">
        <f t="shared" si="16"/>
        <v>0.15</v>
      </c>
      <c r="D62" s="3478">
        <v>0.25</v>
      </c>
      <c r="E62" s="3481">
        <f>'数据-汇总表'!E15</f>
        <v>0</v>
      </c>
      <c r="F62" s="3479" t="e">
        <f t="shared" si="15"/>
        <v>#DIV/0!</v>
      </c>
      <c r="G62" s="3492" t="s">
        <v>1816</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1823</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1718</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1824</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1844</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1636</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1601</v>
      </c>
      <c r="B70" s="326"/>
      <c r="C70" s="338" t="s">
        <v>1696</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1639</v>
      </c>
      <c r="B72" s="341" t="s">
        <v>1605</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1608</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1609</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1610</v>
      </c>
      <c r="B85" s="341" t="s">
        <v>1749</v>
      </c>
      <c r="C85" s="383" t="s">
        <v>1641</v>
      </c>
      <c r="D85" s="383" t="s">
        <v>1642</v>
      </c>
      <c r="E85" s="383" t="s">
        <v>1643</v>
      </c>
      <c r="F85" s="383" t="s">
        <v>1644</v>
      </c>
      <c r="G85" s="383" t="s">
        <v>1645</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1646</v>
      </c>
      <c r="C87" s="387" t="s">
        <v>1641</v>
      </c>
      <c r="D87" s="387" t="s">
        <v>1642</v>
      </c>
      <c r="E87" s="387" t="s">
        <v>1643</v>
      </c>
      <c r="F87" s="387" t="s">
        <v>1644</v>
      </c>
      <c r="G87" s="387" t="s">
        <v>1645</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1827</v>
      </c>
      <c r="C89" s="383" t="s">
        <v>1641</v>
      </c>
      <c r="D89" s="383" t="s">
        <v>1642</v>
      </c>
      <c r="E89" s="383" t="s">
        <v>1643</v>
      </c>
      <c r="F89" s="383" t="s">
        <v>1644</v>
      </c>
      <c r="G89" s="383" t="s">
        <v>1645</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1828</v>
      </c>
      <c r="C91" s="383" t="s">
        <v>1641</v>
      </c>
      <c r="D91" s="383" t="s">
        <v>1642</v>
      </c>
      <c r="E91" s="383" t="s">
        <v>1643</v>
      </c>
      <c r="F91" s="383" t="s">
        <v>1644</v>
      </c>
      <c r="G91" s="383" t="s">
        <v>1645</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1698</v>
      </c>
      <c r="C93" s="383" t="s">
        <v>1641</v>
      </c>
      <c r="D93" s="383" t="s">
        <v>1642</v>
      </c>
      <c r="E93" s="383" t="s">
        <v>1643</v>
      </c>
      <c r="F93" s="383" t="s">
        <v>1644</v>
      </c>
      <c r="G93" s="383" t="s">
        <v>1645</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1845</v>
      </c>
      <c r="C95" s="454" t="s">
        <v>1719</v>
      </c>
      <c r="D95" s="454" t="s">
        <v>1720</v>
      </c>
      <c r="E95" s="454" t="s">
        <v>1721</v>
      </c>
      <c r="F95" s="454" t="s">
        <v>1722</v>
      </c>
      <c r="G95" s="454" t="s">
        <v>1723</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1829</v>
      </c>
      <c r="D97" s="351" t="s">
        <v>1830</v>
      </c>
      <c r="E97" s="351" t="s">
        <v>1831</v>
      </c>
      <c r="F97" s="351" t="s">
        <v>1832</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1735</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1793</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1614</v>
      </c>
      <c r="B109" s="341" t="s">
        <v>1833</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1834</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1836</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1837</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1541</v>
      </c>
      <c r="B1" s="62"/>
      <c r="C1" s="852"/>
      <c r="D1" s="851"/>
      <c r="E1" s="2161"/>
      <c r="F1" s="2161"/>
      <c r="G1" s="2045"/>
      <c r="H1" s="2161"/>
      <c r="I1" s="2161"/>
      <c r="J1" s="2161"/>
      <c r="K1" s="2162">
        <f>MATCH(C1,'数据-取费表'!A6:A16,0)+5</f>
        <v>7</v>
      </c>
    </row>
    <row r="2" spans="1:33" ht="18" customHeight="1">
      <c r="A2" s="115" t="s">
        <v>1439</v>
      </c>
      <c r="B2" s="2683">
        <f ca="1">IF(D2="含税",C37,C36)</f>
        <v>0</v>
      </c>
      <c r="C2" s="190" t="s">
        <v>1542</v>
      </c>
      <c r="D2" s="3834"/>
      <c r="E2" s="2161"/>
      <c r="G2" s="2161"/>
      <c r="H2" s="2161"/>
      <c r="I2" s="2161"/>
      <c r="J2" s="2161"/>
      <c r="K2" s="2161"/>
    </row>
    <row r="3" spans="1:33" ht="18" customHeight="1">
      <c r="A3" s="117" t="s">
        <v>1441</v>
      </c>
      <c r="B3" s="2683">
        <f ca="1">ROUND(B2*10000/IF(C1="",'数据-汇总表'!E3,INDIRECT("'数据-取费表'!K"&amp;$K$1)),0)</f>
        <v>0</v>
      </c>
      <c r="C3" s="190" t="s">
        <v>1543</v>
      </c>
      <c r="E3" s="566"/>
      <c r="I3" s="2161"/>
      <c r="J3" s="2161"/>
      <c r="K3" s="2161"/>
    </row>
    <row r="4" spans="1:33" ht="18" customHeight="1">
      <c r="A4" s="3891" t="s">
        <v>3680</v>
      </c>
      <c r="B4" s="3896" t="e">
        <f ca="1">ROUND(B2*10000/IF(C1="",'数据-汇总表'!D3,INDIRECT("'数据-取费表'!R"&amp;$K$1)),0)</f>
        <v>#DIV/0!</v>
      </c>
      <c r="C4" s="3895" t="s">
        <v>1543</v>
      </c>
      <c r="E4" s="566"/>
      <c r="I4" s="2161"/>
      <c r="J4" s="2161"/>
      <c r="K4" s="2161"/>
    </row>
    <row r="5" spans="1:33" ht="18" customHeight="1" thickBot="1">
      <c r="A5" s="113"/>
      <c r="B5" s="3892" t="e">
        <f ca="1">ROUND(B2/(IF(C1="",'数据-汇总表'!D3,INDIRECT("'数据-取费表'!R"&amp;$K$1))/666.67),0)</f>
        <v>#DIV/0!</v>
      </c>
      <c r="C5" s="3894" t="s">
        <v>3678</v>
      </c>
      <c r="E5" s="566"/>
      <c r="I5" s="2161"/>
      <c r="J5" s="2161"/>
      <c r="K5" s="2161"/>
    </row>
    <row r="6" spans="1:33" s="567" customFormat="1" ht="16.5" customHeight="1">
      <c r="A6" s="2908" t="s">
        <v>3404</v>
      </c>
      <c r="B6" s="2907"/>
      <c r="C6" s="4531" t="s">
        <v>3406</v>
      </c>
      <c r="D6" s="4531"/>
      <c r="E6" s="4531"/>
      <c r="F6" s="4531"/>
      <c r="G6" s="4531"/>
      <c r="H6" s="4531"/>
      <c r="I6" s="4531"/>
      <c r="J6" s="4531"/>
      <c r="K6" s="4532"/>
    </row>
    <row r="7" spans="1:33" s="570" customFormat="1" ht="15">
      <c r="A7" s="2648" t="s">
        <v>1544</v>
      </c>
      <c r="B7" s="2915" t="s">
        <v>1545</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1546</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1547</v>
      </c>
      <c r="B9" s="9" t="s">
        <v>1548</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1549</v>
      </c>
      <c r="B10" s="2918" t="s">
        <v>3403</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35" t="s">
        <v>3419</v>
      </c>
      <c r="B11" s="4536"/>
      <c r="C11" s="4536"/>
      <c r="D11" s="4536"/>
      <c r="E11" s="4536"/>
      <c r="F11" s="4536"/>
      <c r="G11" s="4536"/>
      <c r="H11" s="4536"/>
      <c r="I11" s="4536"/>
      <c r="J11" s="4536"/>
      <c r="K11" s="4537"/>
    </row>
    <row r="12" spans="1:33" s="573" customFormat="1" ht="13.5" customHeight="1">
      <c r="A12" s="3658" t="s">
        <v>3561</v>
      </c>
      <c r="B12" s="2932" t="s">
        <v>1550</v>
      </c>
      <c r="C12" s="2933" t="s">
        <v>1551</v>
      </c>
      <c r="D12" s="1245" t="s">
        <v>1552</v>
      </c>
      <c r="E12" s="1245" t="s">
        <v>1553</v>
      </c>
      <c r="F12" s="1245" t="s">
        <v>1554</v>
      </c>
      <c r="G12" s="2974" t="s">
        <v>3430</v>
      </c>
      <c r="H12" s="2932"/>
      <c r="I12" s="2932"/>
      <c r="J12" s="2932"/>
      <c r="K12" s="2934"/>
    </row>
    <row r="13" spans="1:33" s="573" customFormat="1" ht="13.5" customHeight="1">
      <c r="A13" s="2648">
        <v>1</v>
      </c>
      <c r="B13" s="2935" t="s">
        <v>3405</v>
      </c>
      <c r="C13" s="2919">
        <f>SUM(C10:K10)</f>
        <v>0</v>
      </c>
      <c r="D13" s="572"/>
      <c r="E13" s="572"/>
      <c r="F13" s="572"/>
      <c r="G13" s="2936"/>
      <c r="H13" s="2936"/>
      <c r="I13" s="2936"/>
      <c r="J13" s="2936"/>
      <c r="K13" s="2937"/>
    </row>
    <row r="14" spans="1:33" s="575" customFormat="1" ht="13.5" customHeight="1">
      <c r="A14" s="2648">
        <v>2</v>
      </c>
      <c r="B14" s="582" t="s">
        <v>1565</v>
      </c>
      <c r="C14" s="2959" t="str">
        <f>F14&amp;"V"</f>
        <v>0.0305V</v>
      </c>
      <c r="D14" s="192"/>
      <c r="E14" s="192"/>
      <c r="F14" s="2927">
        <f>IF(项目基本情况!B8="出让",0,'数据-取费表'!B49+'数据-取费表'!B50)</f>
        <v>3.0499999999999999E-2</v>
      </c>
      <c r="G14" s="3674" t="s">
        <v>3722</v>
      </c>
      <c r="H14" s="38"/>
      <c r="I14" s="38"/>
      <c r="J14" s="38"/>
      <c r="K14" s="40"/>
    </row>
    <row r="15" spans="1:33" s="575" customFormat="1" ht="13.5" customHeight="1">
      <c r="A15" s="2648">
        <v>3</v>
      </c>
      <c r="B15" s="2910" t="s">
        <v>3407</v>
      </c>
      <c r="C15" s="2920">
        <f ca="1">SUM(C16:C19)+C25+C26</f>
        <v>9.0599999999999792E-2</v>
      </c>
      <c r="D15" s="582"/>
      <c r="E15" s="192"/>
      <c r="F15" s="2920"/>
      <c r="G15" s="2977" t="s">
        <v>3723</v>
      </c>
      <c r="H15" s="72"/>
      <c r="I15" s="72"/>
      <c r="J15" s="72"/>
      <c r="K15" s="2938"/>
    </row>
    <row r="16" spans="1:33" s="575" customFormat="1" ht="13.5" customHeight="1">
      <c r="A16" s="571" t="s">
        <v>355</v>
      </c>
      <c r="B16" s="2952" t="s">
        <v>3420</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1547</v>
      </c>
      <c r="B17" s="2952" t="s">
        <v>3421</v>
      </c>
      <c r="C17" s="2961">
        <f ca="1">ROUND(C16*F17,0)</f>
        <v>0</v>
      </c>
      <c r="D17" s="574"/>
      <c r="E17" s="72"/>
      <c r="F17" s="2928">
        <f>'数据-取费表'!B33</f>
        <v>0.05</v>
      </c>
      <c r="G17" s="3960" t="s">
        <v>3734</v>
      </c>
      <c r="H17" s="2936"/>
      <c r="I17" s="2936"/>
      <c r="J17" s="2936"/>
      <c r="K17" s="2937"/>
    </row>
    <row r="18" spans="1:33" s="575" customFormat="1" ht="13.5" customHeight="1">
      <c r="A18" s="571" t="s">
        <v>1549</v>
      </c>
      <c r="B18" s="2952" t="s">
        <v>3422</v>
      </c>
      <c r="C18" s="2961">
        <f ca="1">ROUND(IF(C1="",SUMIF('数据-取费表'!C:C,"住宅",'数据-取费表'!P:P)*F18,IF(INDIRECT("'数据-取费表'!c"&amp;$K$1)="住宅",INDIRECT("'数据-取费表'!P"&amp;$K$1)*F18,0)),0)</f>
        <v>0</v>
      </c>
      <c r="D18" s="591"/>
      <c r="E18" s="72"/>
      <c r="F18" s="2928">
        <f>'数据-取费表'!B34</f>
        <v>0</v>
      </c>
      <c r="G18" s="2936" t="s">
        <v>1555</v>
      </c>
      <c r="H18" s="2936"/>
      <c r="I18" s="2936"/>
      <c r="J18" s="2936"/>
      <c r="K18" s="2937"/>
    </row>
    <row r="19" spans="1:33" s="575" customFormat="1" ht="13.5" customHeight="1">
      <c r="A19" s="571" t="s">
        <v>3409</v>
      </c>
      <c r="B19" s="2952" t="s">
        <v>3423</v>
      </c>
      <c r="C19" s="2961">
        <f ca="1">C20+C23+C24</f>
        <v>9.0599999999999792E-2</v>
      </c>
      <c r="D19" s="591"/>
      <c r="E19" s="72"/>
      <c r="F19" s="2928"/>
      <c r="G19" s="2936"/>
      <c r="H19" s="2936"/>
      <c r="I19" s="2936"/>
      <c r="J19" s="2936"/>
      <c r="K19" s="2937"/>
    </row>
    <row r="20" spans="1:33" s="575" customFormat="1" ht="13.5" customHeight="1">
      <c r="A20" s="2911" t="s">
        <v>3412</v>
      </c>
      <c r="B20" s="2939" t="s">
        <v>1560</v>
      </c>
      <c r="C20" s="2961">
        <f ca="1">C21+C22-IF(C1="",'数据-取费表'!B29,IF(G20="已全部缴纳",C21+C22,H20))</f>
        <v>9.0599999999999792E-2</v>
      </c>
      <c r="D20" s="591"/>
      <c r="E20" s="18"/>
      <c r="F20" s="2929"/>
      <c r="G20" s="2940"/>
      <c r="H20" s="2941"/>
      <c r="I20" s="2942" t="s">
        <v>1561</v>
      </c>
      <c r="J20" s="72"/>
      <c r="K20" s="2938"/>
    </row>
    <row r="21" spans="1:33" s="575" customFormat="1" ht="13.5" customHeight="1">
      <c r="A21" s="2954" t="s">
        <v>3415</v>
      </c>
      <c r="B21" s="2955" t="s">
        <v>3426</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3416</v>
      </c>
      <c r="B22" s="2955" t="s">
        <v>3427</v>
      </c>
      <c r="C22" s="2962">
        <f ca="1">ROUND(D22*E22/10000,0)</f>
        <v>3</v>
      </c>
      <c r="D22" s="2964">
        <f ca="1">IF(C1="",'数据-汇总表'!E6,IF(INDIRECT("'数据-取费表'!c"&amp;$K$1)="住宅",INDIRECT("'数据-取费表'!s"&amp;$K$1),INDIRECT("'数据-取费表'!k"&amp;$K$1)+INDIRECT("'数据-取费表'!s"&amp;$K$1)))</f>
        <v>145.47</v>
      </c>
      <c r="E22" s="2962">
        <f>'数据-取费表'!B28</f>
        <v>200</v>
      </c>
      <c r="F22" s="2956"/>
      <c r="G22" s="205"/>
      <c r="H22" s="205"/>
      <c r="I22" s="205"/>
      <c r="J22" s="205"/>
      <c r="K22" s="1968"/>
    </row>
    <row r="23" spans="1:33" s="576" customFormat="1" ht="13.5" customHeight="1">
      <c r="A23" s="2911" t="s">
        <v>3413</v>
      </c>
      <c r="B23" s="2939" t="s">
        <v>1556</v>
      </c>
      <c r="C23" s="2961">
        <f ca="1">ROUND(D23*E23*F16/10000,0)</f>
        <v>0</v>
      </c>
      <c r="D23" s="2965">
        <f ca="1">IF(C1="",'数据-汇总表'!E3,INDIRECT("'数据-取费表'!K"&amp;$K$1)+INDIRECT("'数据-取费表'!S"&amp;$K$1))</f>
        <v>145.47</v>
      </c>
      <c r="E23" s="2961">
        <f>'数据-取费表'!B35</f>
        <v>200</v>
      </c>
      <c r="F23" s="2929"/>
      <c r="G23" s="2935" t="s">
        <v>3724</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3414</v>
      </c>
      <c r="B24" s="2939" t="s">
        <v>1558</v>
      </c>
      <c r="C24" s="2961">
        <f ca="1">ROUND(D24*E24/10000,0)</f>
        <v>0</v>
      </c>
      <c r="D24" s="2965">
        <f ca="1">D23</f>
        <v>145.47</v>
      </c>
      <c r="E24" s="2961">
        <f>'数据-取费表'!B32</f>
        <v>0</v>
      </c>
      <c r="F24" s="2924"/>
      <c r="G24" s="72" t="s">
        <v>1559</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3410</v>
      </c>
      <c r="B25" s="2953" t="s">
        <v>3424</v>
      </c>
      <c r="C25" s="2923">
        <f ca="1">ROUND(C16*F25,0)</f>
        <v>0</v>
      </c>
      <c r="D25" s="2912"/>
      <c r="E25" s="2913"/>
      <c r="F25" s="2928">
        <f>'数据-取费表'!B36</f>
        <v>0.01</v>
      </c>
      <c r="G25" s="2912"/>
      <c r="H25" s="2912"/>
      <c r="I25" s="2912"/>
      <c r="J25" s="2912"/>
      <c r="K25" s="2943"/>
    </row>
    <row r="26" spans="1:33" s="576" customFormat="1" ht="13.5" customHeight="1">
      <c r="A26" s="2909" t="s">
        <v>3411</v>
      </c>
      <c r="B26" s="2952" t="s">
        <v>3425</v>
      </c>
      <c r="C26" s="2924">
        <f ca="1">ROUND(C16*F26,0)</f>
        <v>0</v>
      </c>
      <c r="D26" s="577"/>
      <c r="E26" s="581"/>
      <c r="F26" s="2928">
        <f>'数据-取费表'!B37</f>
        <v>0.01</v>
      </c>
      <c r="G26" s="72" t="s">
        <v>1557</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1562</v>
      </c>
      <c r="C27" s="2920">
        <f ca="1">ROUND(C15*F27,0)</f>
        <v>0</v>
      </c>
      <c r="D27" s="192"/>
      <c r="E27" s="192"/>
      <c r="F27" s="2927">
        <f>'数据-取费表'!B38</f>
        <v>0.02</v>
      </c>
      <c r="G27" s="2936" t="s">
        <v>1563</v>
      </c>
      <c r="H27" s="2936"/>
      <c r="I27" s="2936"/>
      <c r="J27" s="2936"/>
      <c r="K27" s="2937"/>
    </row>
    <row r="28" spans="1:33" s="575" customFormat="1" ht="13.5" customHeight="1">
      <c r="A28" s="2648">
        <v>5</v>
      </c>
      <c r="B28" s="582" t="s">
        <v>1564</v>
      </c>
      <c r="C28" s="2920">
        <f ca="1">ROUND(C13*F28*F16,0)</f>
        <v>0</v>
      </c>
      <c r="D28" s="192"/>
      <c r="E28" s="192"/>
      <c r="F28" s="2927">
        <f>'数据-取费表'!B39</f>
        <v>0.02</v>
      </c>
      <c r="G28" s="2936" t="s">
        <v>3725</v>
      </c>
      <c r="H28" s="2936"/>
      <c r="I28" s="2936"/>
      <c r="J28" s="2936"/>
      <c r="K28" s="2937"/>
    </row>
    <row r="29" spans="1:33" s="575" customFormat="1" ht="13.5" customHeight="1">
      <c r="A29" s="2648">
        <v>6</v>
      </c>
      <c r="B29" s="2910" t="s">
        <v>3408</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1566</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1547</v>
      </c>
      <c r="B31" s="2939" t="s">
        <v>3428</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1570</v>
      </c>
      <c r="C32" s="2944">
        <f>ROUND(C13*F32/(1+'数据-取费表'!C43),0)</f>
        <v>0</v>
      </c>
      <c r="D32" s="2936"/>
      <c r="E32" s="2948"/>
      <c r="F32" s="2945"/>
      <c r="G32" s="4533" t="s">
        <v>3418</v>
      </c>
      <c r="H32" s="4533"/>
      <c r="I32" s="4533"/>
      <c r="J32" s="4533"/>
      <c r="K32" s="4534"/>
    </row>
    <row r="33" spans="1:11" s="195" customFormat="1" ht="13.5" customHeight="1">
      <c r="A33" s="2648">
        <v>8</v>
      </c>
      <c r="B33" s="2914" t="s">
        <v>1567</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1568</v>
      </c>
      <c r="C34" s="2925">
        <f ca="1">ROUND((1+F14)*F33*'数据-取费表'!B24/'数据-取费表'!B22,4)</f>
        <v>0</v>
      </c>
      <c r="D34" s="193"/>
      <c r="E34" s="577"/>
      <c r="F34" s="2930"/>
      <c r="G34" s="72" t="s">
        <v>1569</v>
      </c>
      <c r="H34" s="72"/>
      <c r="I34" s="72"/>
      <c r="J34" s="72"/>
      <c r="K34" s="2938"/>
    </row>
    <row r="35" spans="1:11" s="196" customFormat="1" ht="13.5" customHeight="1">
      <c r="A35" s="2958" t="s">
        <v>1547</v>
      </c>
      <c r="B35" s="2939" t="s">
        <v>3428</v>
      </c>
      <c r="C35" s="2926">
        <f ca="1">ROUND((C15+C27+C28)*F33,0)</f>
        <v>0</v>
      </c>
      <c r="D35" s="193"/>
      <c r="E35" s="577"/>
      <c r="F35" s="2930"/>
      <c r="G35" s="72"/>
      <c r="H35" s="72"/>
      <c r="I35" s="72"/>
      <c r="J35" s="72"/>
      <c r="K35" s="2938"/>
    </row>
    <row r="36" spans="1:11" s="573" customFormat="1" ht="15">
      <c r="A36" s="2648">
        <v>9</v>
      </c>
      <c r="B36" s="2935" t="s">
        <v>3417</v>
      </c>
      <c r="C36" s="2919">
        <f ca="1">ROUND((C13-C15-C27-C28-C31-C35-C32)/(1+F14+C30+C34),0)</f>
        <v>0</v>
      </c>
      <c r="D36" s="2936"/>
      <c r="E36" s="2936"/>
      <c r="F36" s="191"/>
      <c r="G36" s="2973" t="s">
        <v>3429</v>
      </c>
      <c r="H36" s="2936"/>
      <c r="I36" s="2936"/>
      <c r="J36" s="2936"/>
      <c r="K36" s="2937"/>
    </row>
    <row r="37" spans="1:11" s="3079" customFormat="1" ht="15.75" thickBot="1">
      <c r="A37" s="2949">
        <v>10</v>
      </c>
      <c r="B37" s="2950" t="s">
        <v>3524</v>
      </c>
      <c r="C37" s="3076">
        <f ca="1">ROUND(C36*(1+F37),0)</f>
        <v>0</v>
      </c>
      <c r="D37" s="3077"/>
      <c r="E37" s="3078"/>
      <c r="F37" s="2951">
        <v>0.09</v>
      </c>
      <c r="G37" s="2935" t="s">
        <v>3525</v>
      </c>
      <c r="H37" s="2936"/>
      <c r="I37" s="2936"/>
      <c r="J37" s="2936"/>
      <c r="K37" s="2937"/>
    </row>
    <row r="38" spans="1:11" ht="12.75" customHeight="1"/>
    <row r="44" spans="1:11" s="3656" customFormat="1" ht="19.5" thickBot="1">
      <c r="A44" s="3661" t="s">
        <v>3534</v>
      </c>
      <c r="B44" s="1961"/>
      <c r="C44" s="3662"/>
      <c r="D44" s="1961"/>
      <c r="E44" s="1961"/>
      <c r="F44" s="1961"/>
      <c r="G44" s="1961"/>
    </row>
    <row r="45" spans="1:11" s="3656" customFormat="1" ht="15">
      <c r="A45" s="3658" t="s">
        <v>3561</v>
      </c>
      <c r="B45" s="2932" t="s">
        <v>1550</v>
      </c>
      <c r="C45" s="2933" t="s">
        <v>1551</v>
      </c>
      <c r="D45" s="1245" t="s">
        <v>1552</v>
      </c>
      <c r="E45" s="1245" t="s">
        <v>1553</v>
      </c>
      <c r="F45" s="1245" t="s">
        <v>1554</v>
      </c>
      <c r="G45" s="2974" t="s">
        <v>3430</v>
      </c>
    </row>
    <row r="46" spans="1:11" s="3656" customFormat="1">
      <c r="A46" s="679">
        <v>1</v>
      </c>
      <c r="B46" s="2953" t="s">
        <v>3535</v>
      </c>
      <c r="C46" s="2923">
        <f>C13</f>
        <v>0</v>
      </c>
      <c r="D46" s="679"/>
      <c r="E46" s="679"/>
      <c r="F46" s="679"/>
      <c r="G46" s="679"/>
    </row>
    <row r="47" spans="1:11" s="3656" customFormat="1">
      <c r="A47" s="679">
        <v>2</v>
      </c>
      <c r="B47" s="2953" t="s">
        <v>3537</v>
      </c>
      <c r="C47" s="2923" t="str">
        <f>C14</f>
        <v>0.0305V</v>
      </c>
      <c r="D47" s="679"/>
      <c r="E47" s="679"/>
      <c r="F47" s="679"/>
      <c r="G47" s="679"/>
    </row>
    <row r="48" spans="1:11" s="3656" customFormat="1">
      <c r="A48" s="679">
        <v>3</v>
      </c>
      <c r="B48" s="2953" t="s">
        <v>3536</v>
      </c>
      <c r="C48" s="2923" t="e">
        <f ca="1">C49+C59+C60+C63</f>
        <v>#VALUE!</v>
      </c>
      <c r="D48" s="679"/>
      <c r="E48" s="679"/>
      <c r="F48" s="679"/>
      <c r="G48" s="679"/>
    </row>
    <row r="49" spans="1:7" s="3656" customFormat="1">
      <c r="A49" s="3659" t="s">
        <v>355</v>
      </c>
      <c r="B49" s="2953" t="s">
        <v>3546</v>
      </c>
      <c r="C49" s="2923">
        <f ca="1">C50+C51+C52+C53+C57+C58</f>
        <v>9.0599999999999792E-2</v>
      </c>
      <c r="D49" s="679"/>
      <c r="E49" s="679"/>
      <c r="F49" s="679"/>
      <c r="G49" s="679"/>
    </row>
    <row r="50" spans="1:7" s="3656" customFormat="1">
      <c r="A50" s="3660" t="s">
        <v>3547</v>
      </c>
      <c r="B50" s="2953" t="s">
        <v>3551</v>
      </c>
      <c r="C50" s="2923">
        <f ca="1">C16</f>
        <v>0</v>
      </c>
      <c r="D50" s="679"/>
      <c r="E50" s="679"/>
      <c r="F50" s="679"/>
      <c r="G50" s="679"/>
    </row>
    <row r="51" spans="1:7" s="3656" customFormat="1">
      <c r="A51" s="3660" t="s">
        <v>3562</v>
      </c>
      <c r="B51" s="679" t="s">
        <v>3548</v>
      </c>
      <c r="C51" s="2923">
        <f t="shared" ref="C51:C53" ca="1" si="0">C17</f>
        <v>0</v>
      </c>
      <c r="D51" s="679"/>
      <c r="E51" s="679"/>
      <c r="F51" s="679"/>
      <c r="G51" s="679"/>
    </row>
    <row r="52" spans="1:7" s="3656" customFormat="1">
      <c r="A52" s="3660" t="s">
        <v>3563</v>
      </c>
      <c r="B52" s="679" t="s">
        <v>3549</v>
      </c>
      <c r="C52" s="2923">
        <f t="shared" ca="1" si="0"/>
        <v>0</v>
      </c>
      <c r="D52" s="679"/>
      <c r="E52" s="679"/>
      <c r="F52" s="679"/>
      <c r="G52" s="679"/>
    </row>
    <row r="53" spans="1:7" s="3656" customFormat="1">
      <c r="A53" s="3660" t="s">
        <v>3564</v>
      </c>
      <c r="B53" s="679" t="s">
        <v>3550</v>
      </c>
      <c r="C53" s="2923">
        <f t="shared" ca="1" si="0"/>
        <v>9.0599999999999792E-2</v>
      </c>
      <c r="D53" s="679"/>
      <c r="E53" s="679"/>
      <c r="F53" s="679"/>
      <c r="G53" s="679"/>
    </row>
    <row r="54" spans="1:7" s="3656" customFormat="1">
      <c r="A54" s="3955" t="s">
        <v>3415</v>
      </c>
      <c r="B54" s="3956" t="s">
        <v>3554</v>
      </c>
      <c r="C54" s="3957">
        <f ca="1">C20</f>
        <v>9.0599999999999792E-2</v>
      </c>
      <c r="D54" s="679"/>
      <c r="E54" s="679"/>
      <c r="F54" s="679"/>
      <c r="G54" s="679"/>
    </row>
    <row r="55" spans="1:7" s="3656" customFormat="1">
      <c r="A55" s="3955" t="s">
        <v>3416</v>
      </c>
      <c r="B55" s="3956" t="s">
        <v>3555</v>
      </c>
      <c r="C55" s="3957">
        <f ca="1">C23</f>
        <v>0</v>
      </c>
      <c r="D55" s="679"/>
      <c r="E55" s="679"/>
      <c r="F55" s="679"/>
      <c r="G55" s="679"/>
    </row>
    <row r="56" spans="1:7" s="3656" customFormat="1">
      <c r="A56" s="3955" t="s">
        <v>3719</v>
      </c>
      <c r="B56" s="3956" t="s">
        <v>3556</v>
      </c>
      <c r="C56" s="3957">
        <f ca="1">C24</f>
        <v>0</v>
      </c>
      <c r="D56" s="679"/>
      <c r="E56" s="679"/>
      <c r="F56" s="679"/>
      <c r="G56" s="679"/>
    </row>
    <row r="57" spans="1:7" s="3656" customFormat="1">
      <c r="A57" s="3660" t="s">
        <v>3565</v>
      </c>
      <c r="B57" s="679" t="s">
        <v>3552</v>
      </c>
      <c r="C57" s="2923">
        <f ca="1">C25</f>
        <v>0</v>
      </c>
      <c r="D57" s="679"/>
      <c r="E57" s="679"/>
      <c r="F57" s="679"/>
      <c r="G57" s="679"/>
    </row>
    <row r="58" spans="1:7" s="3656" customFormat="1">
      <c r="A58" s="3660" t="s">
        <v>3566</v>
      </c>
      <c r="B58" s="679" t="s">
        <v>3553</v>
      </c>
      <c r="C58" s="2923">
        <f ca="1">C26</f>
        <v>0</v>
      </c>
      <c r="D58" s="679"/>
      <c r="E58" s="679"/>
      <c r="F58" s="679"/>
      <c r="G58" s="679"/>
    </row>
    <row r="59" spans="1:7" s="3656" customFormat="1">
      <c r="A59" s="3659" t="s">
        <v>3545</v>
      </c>
      <c r="B59" s="2953" t="s">
        <v>3539</v>
      </c>
      <c r="C59" s="2923">
        <f ca="1">C27</f>
        <v>0</v>
      </c>
      <c r="D59" s="679"/>
      <c r="E59" s="679"/>
      <c r="F59" s="679"/>
      <c r="G59" s="679"/>
    </row>
    <row r="60" spans="1:7" s="3656" customFormat="1">
      <c r="A60" s="3659" t="s">
        <v>3557</v>
      </c>
      <c r="B60" s="2953" t="s">
        <v>3558</v>
      </c>
      <c r="C60" s="2923">
        <f ca="1">C61+C62</f>
        <v>0</v>
      </c>
      <c r="D60" s="679"/>
      <c r="E60" s="679"/>
      <c r="F60" s="679"/>
      <c r="G60" s="679"/>
    </row>
    <row r="61" spans="1:7" s="3656" customFormat="1">
      <c r="A61" s="3660" t="s">
        <v>3547</v>
      </c>
      <c r="B61" s="2953" t="s">
        <v>3542</v>
      </c>
      <c r="C61" s="2923">
        <f ca="1">C28</f>
        <v>0</v>
      </c>
      <c r="D61" s="679"/>
      <c r="E61" s="679"/>
      <c r="F61" s="679"/>
      <c r="G61" s="679"/>
    </row>
    <row r="62" spans="1:7" s="3656" customFormat="1">
      <c r="A62" s="3660" t="s">
        <v>3559</v>
      </c>
      <c r="B62" s="2953" t="s">
        <v>3541</v>
      </c>
      <c r="C62" s="2923">
        <f>C32</f>
        <v>0</v>
      </c>
      <c r="D62" s="679"/>
      <c r="E62" s="679"/>
      <c r="F62" s="679"/>
      <c r="G62" s="679"/>
    </row>
    <row r="63" spans="1:7" s="3656" customFormat="1">
      <c r="A63" s="3659" t="s">
        <v>3560</v>
      </c>
      <c r="B63" s="2953" t="s">
        <v>3540</v>
      </c>
      <c r="C63" s="2923" t="str">
        <f ca="1">C29</f>
        <v>0+0V</v>
      </c>
      <c r="D63" s="679"/>
      <c r="E63" s="679"/>
      <c r="F63" s="679"/>
      <c r="G63" s="679"/>
    </row>
    <row r="64" spans="1:7" s="3656" customFormat="1">
      <c r="A64" s="679">
        <v>4</v>
      </c>
      <c r="B64" s="2953" t="s">
        <v>3543</v>
      </c>
      <c r="C64" s="2923" t="str">
        <f ca="1">C33</f>
        <v>0+0V</v>
      </c>
      <c r="D64" s="679"/>
      <c r="E64" s="679"/>
      <c r="F64" s="679"/>
      <c r="G64" s="679"/>
    </row>
    <row r="65" spans="1:7" s="3656" customFormat="1">
      <c r="A65" s="679">
        <v>5</v>
      </c>
      <c r="B65" s="2953" t="s">
        <v>3544</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2001</v>
      </c>
      <c r="B1" s="4"/>
      <c r="C1" s="4"/>
      <c r="D1" s="4"/>
      <c r="E1" s="4"/>
      <c r="F1" s="2141"/>
      <c r="G1" s="2141"/>
      <c r="H1" s="2141"/>
      <c r="I1" s="2141"/>
      <c r="J1" s="2141"/>
      <c r="K1" s="2141"/>
      <c r="L1" s="2141"/>
      <c r="M1" s="2141"/>
      <c r="N1" s="2141"/>
      <c r="O1" s="2141"/>
      <c r="P1" s="2141"/>
    </row>
    <row r="2" spans="1:16" ht="15.75">
      <c r="A2" s="1662" t="s">
        <v>1993</v>
      </c>
      <c r="B2" s="3272">
        <f ca="1">SUMIF(B6:B13,"&lt;&gt;#ref!",B6:B13)</f>
        <v>126</v>
      </c>
      <c r="C2" s="1662" t="s">
        <v>1994</v>
      </c>
      <c r="D2" s="1662" t="s">
        <v>1995</v>
      </c>
      <c r="E2" s="3273">
        <f ca="1">SUMIF(E6:E13,"&lt;&gt;#ref!",E6:E13)</f>
        <v>145.47</v>
      </c>
      <c r="F2" s="2141"/>
      <c r="G2" s="2141"/>
      <c r="H2" s="2141"/>
      <c r="I2" s="2141"/>
      <c r="J2" s="2141"/>
      <c r="K2" s="2141"/>
      <c r="L2" s="2141"/>
      <c r="M2" s="2141"/>
      <c r="N2" s="2141"/>
      <c r="O2" s="2141"/>
      <c r="P2" s="2141"/>
    </row>
    <row r="3" spans="1:16" ht="15.75">
      <c r="A3" s="1662" t="s">
        <v>1996</v>
      </c>
      <c r="B3" s="3272">
        <f ca="1">ROUND(B2*10000/E2,0)</f>
        <v>8662</v>
      </c>
      <c r="C3" s="1662" t="s">
        <v>2002</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1997</v>
      </c>
      <c r="B5" s="1995" t="s">
        <v>1998</v>
      </c>
      <c r="C5" s="1663"/>
      <c r="D5" s="2141"/>
      <c r="E5" s="1996" t="s">
        <v>1999</v>
      </c>
      <c r="F5" s="2141"/>
      <c r="G5" s="2141"/>
      <c r="H5" s="2141"/>
      <c r="I5" s="2141"/>
      <c r="J5" s="2141"/>
      <c r="K5" s="2141"/>
      <c r="L5" s="2141"/>
      <c r="M5" s="2141"/>
      <c r="N5" s="2141"/>
      <c r="O5" s="2141"/>
      <c r="P5" s="2141"/>
    </row>
    <row r="6" spans="1:16" ht="15.75">
      <c r="A6" s="1994" t="s">
        <v>2000</v>
      </c>
      <c r="B6" s="3272">
        <f ca="1">SUMIF(INDIRECT("'"&amp;A6&amp;"'"&amp;"!A:A"),"总价",INDIRECT("'"&amp;A6&amp;"'"&amp;"!B:B"))</f>
        <v>126</v>
      </c>
      <c r="C6" s="1662" t="s">
        <v>1994</v>
      </c>
      <c r="D6" s="2141"/>
      <c r="E6" s="3273">
        <f ca="1">SUMIF(INDIRECT("'"&amp;A6&amp;"'"&amp;"!C:C"),"建筑面积",INDIRECT("'"&amp;A6&amp;"'"&amp;"!D:D"))</f>
        <v>145.47</v>
      </c>
      <c r="F6" s="2141"/>
      <c r="G6" s="2141"/>
      <c r="H6" s="2141"/>
      <c r="I6" s="2141"/>
      <c r="J6" s="2141"/>
      <c r="K6" s="2141"/>
      <c r="L6" s="2141"/>
      <c r="M6" s="2141"/>
      <c r="N6" s="2141"/>
      <c r="O6" s="2141"/>
      <c r="P6" s="2141"/>
    </row>
    <row r="7" spans="1:16" ht="15.75">
      <c r="A7" s="1994"/>
      <c r="B7" s="3272" t="e">
        <f ca="1">SUMIF(INDIRECT("'"&amp;A7&amp;"'"&amp;"!A:A"),"总价",INDIRECT("'"&amp;A7&amp;"'"&amp;"!B:B"))</f>
        <v>#REF!</v>
      </c>
      <c r="C7" s="1662" t="s">
        <v>1994</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1994</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1994</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1994</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1994</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1994</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1994</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888</v>
      </c>
    </row>
    <row r="2" spans="1:5" ht="78" customHeight="1">
      <c r="A2" s="4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5"/>
      <c r="C2" s="4155"/>
      <c r="D2" s="4155"/>
      <c r="E2" s="4155"/>
    </row>
    <row r="3" spans="1:5" ht="18">
      <c r="A3" s="4156" t="str">
        <f>IF(项目基本情况!B9="房地产市场价值","估价结果一览表（市场价值不需“结果表-1”）","估价结果一览表")</f>
        <v>估价结果一览表</v>
      </c>
      <c r="B3" s="4156"/>
      <c r="C3" s="4156"/>
      <c r="D3" s="4156"/>
      <c r="E3" s="4156"/>
    </row>
    <row r="4" spans="1:5" ht="19.5" thickBot="1">
      <c r="A4" s="1111"/>
      <c r="B4" s="4154" t="s">
        <v>897</v>
      </c>
      <c r="C4" s="4154"/>
      <c r="D4" s="4154"/>
      <c r="E4" s="1111"/>
    </row>
    <row r="5" spans="1:5" ht="16.5" thickTop="1">
      <c r="B5" s="4152" t="s">
        <v>889</v>
      </c>
      <c r="C5" s="1112" t="s">
        <v>890</v>
      </c>
      <c r="D5" s="592">
        <f ca="1">结果表!H101</f>
        <v>276</v>
      </c>
    </row>
    <row r="6" spans="1:5" ht="15.75">
      <c r="B6" s="4152"/>
      <c r="C6" s="1112" t="s">
        <v>891</v>
      </c>
      <c r="D6" s="592" t="str">
        <f ca="1">NUMBERSTRING(INT(D5*10000),2)&amp;"元整"</f>
        <v>贰佰柒拾陆万元整</v>
      </c>
    </row>
    <row r="7" spans="1:5" ht="15.75">
      <c r="B7" s="4157"/>
      <c r="C7" s="1113" t="s">
        <v>892</v>
      </c>
      <c r="D7" s="593">
        <f ca="1">结果表!H102</f>
        <v>1304255</v>
      </c>
    </row>
    <row r="8" spans="1:5" ht="15.75">
      <c r="B8" s="4158" t="str">
        <f>结果表!E103</f>
        <v>2.估价师知悉的法定优先受偿款</v>
      </c>
      <c r="C8" s="1114" t="s">
        <v>893</v>
      </c>
      <c r="D8" s="593">
        <f>结果表!H103</f>
        <v>0</v>
      </c>
    </row>
    <row r="9" spans="1:5" ht="15.75">
      <c r="B9" s="4160"/>
      <c r="C9" s="1112" t="s">
        <v>891</v>
      </c>
      <c r="D9" s="592" t="str">
        <f>NUMBERSTRING(INT(D8*10000),2)&amp;"元整"</f>
        <v>零元整</v>
      </c>
    </row>
    <row r="10" spans="1:5" ht="15">
      <c r="B10" s="1115" t="s">
        <v>896</v>
      </c>
      <c r="C10" s="1116" t="s">
        <v>894</v>
      </c>
      <c r="D10" s="594">
        <f>结果表!H104</f>
        <v>0</v>
      </c>
    </row>
    <row r="11" spans="1:5" ht="15">
      <c r="B11" s="1115" t="s">
        <v>898</v>
      </c>
      <c r="C11" s="1116" t="s">
        <v>899</v>
      </c>
      <c r="D11" s="594">
        <f>结果表!H105</f>
        <v>0</v>
      </c>
    </row>
    <row r="12" spans="1:5" ht="15">
      <c r="B12" s="1115" t="s">
        <v>900</v>
      </c>
      <c r="C12" s="1116" t="s">
        <v>899</v>
      </c>
      <c r="D12" s="594">
        <f>结果表!H106</f>
        <v>0</v>
      </c>
    </row>
    <row r="13" spans="1:5" ht="15.75">
      <c r="B13" s="4151" t="str">
        <f>结果表!E107</f>
        <v>3.房地产抵押价值</v>
      </c>
      <c r="C13" s="1117" t="s">
        <v>890</v>
      </c>
      <c r="D13" s="595">
        <f ca="1">结果表!H107</f>
        <v>276</v>
      </c>
    </row>
    <row r="14" spans="1:5" ht="15.75">
      <c r="B14" s="4152"/>
      <c r="C14" s="1112" t="s">
        <v>891</v>
      </c>
      <c r="D14" s="592" t="str">
        <f ca="1">NUMBERSTRING(INT(D13*10000),2)&amp;"元整"</f>
        <v>贰佰柒拾陆万元整</v>
      </c>
    </row>
    <row r="15" spans="1:5" ht="15">
      <c r="B15" s="4157"/>
      <c r="C15" s="1113" t="s">
        <v>901</v>
      </c>
      <c r="D15" s="600">
        <f ca="1">结果表!H108</f>
        <v>1304255</v>
      </c>
    </row>
    <row r="16" spans="1:5" ht="15">
      <c r="B16" s="4158" t="str">
        <f>结果表!E109</f>
        <v>——</v>
      </c>
      <c r="C16" s="1117" t="s">
        <v>902</v>
      </c>
      <c r="D16" s="1118" t="str">
        <f>结果表!H109</f>
        <v>——</v>
      </c>
    </row>
    <row r="17" spans="1:5" ht="15.75">
      <c r="B17" s="4159"/>
      <c r="C17" s="1112" t="s">
        <v>903</v>
      </c>
      <c r="D17" s="592" t="e">
        <f>NUMBERSTRING(INT(D16*10000),2)&amp;"元整"</f>
        <v>#VALUE!</v>
      </c>
    </row>
    <row r="18" spans="1:5" ht="15">
      <c r="B18" s="4160"/>
      <c r="C18" s="1113" t="s">
        <v>892</v>
      </c>
      <c r="D18" s="600" t="str">
        <f>结果表!H110</f>
        <v>——</v>
      </c>
    </row>
    <row r="19" spans="1:5" ht="15.75">
      <c r="B19" s="4151" t="str">
        <f>结果表!E111</f>
        <v>——</v>
      </c>
      <c r="C19" s="1117" t="s">
        <v>890</v>
      </c>
      <c r="D19" s="593" t="str">
        <f>结果表!H111</f>
        <v>——</v>
      </c>
    </row>
    <row r="20" spans="1:5" ht="15.75">
      <c r="B20" s="4152"/>
      <c r="C20" s="1112" t="s">
        <v>903</v>
      </c>
      <c r="D20" s="592" t="e">
        <f>NUMBERSTRING(INT(D19*10000),2)&amp;"元整"</f>
        <v>#VALUE!</v>
      </c>
    </row>
    <row r="21" spans="1:5" ht="15.75" thickBot="1">
      <c r="B21" s="4153"/>
      <c r="C21" s="1119" t="s">
        <v>901</v>
      </c>
      <c r="D21" s="601" t="str">
        <f>结果表!H112</f>
        <v>——</v>
      </c>
    </row>
    <row r="22" spans="1:5" ht="15" thickTop="1">
      <c r="B22" s="1120" t="s">
        <v>904</v>
      </c>
    </row>
    <row r="24" spans="1:5" ht="18.75">
      <c r="A24" s="1121"/>
      <c r="B24" s="1122" t="s">
        <v>895</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1438</v>
      </c>
      <c r="B1" s="3122"/>
      <c r="C1" s="3833" t="s">
        <v>3740</v>
      </c>
      <c r="D1" s="1426" t="s">
        <v>1510</v>
      </c>
      <c r="E1" s="112"/>
      <c r="F1" s="112"/>
      <c r="G1" s="820">
        <f>MATCH(B1,'数据-取费表'!A6:A16,0)+5</f>
        <v>7</v>
      </c>
      <c r="H1" s="3395" t="str">
        <f>IF(ISERROR(FIND("住宅",B1)),"非住宅","住宅")</f>
        <v>非住宅</v>
      </c>
    </row>
    <row r="2" spans="1:10" s="114" customFormat="1" ht="15.75">
      <c r="A2" s="115" t="s">
        <v>1439</v>
      </c>
      <c r="B2" s="3430">
        <f ca="1">ROUND(D3/10000,4)</f>
        <v>252.863</v>
      </c>
      <c r="C2" s="113" t="s">
        <v>1440</v>
      </c>
      <c r="D2" s="1420" t="s">
        <v>41</v>
      </c>
      <c r="E2" s="2668">
        <f ca="1">IF(D2="——",0,SUMIF(INDIRECT("'"&amp;G2&amp;"'"&amp;"!A:A"),"承租人权益价值",INDIRECT("'"&amp;G2&amp;"'"&amp;"!c:c")))</f>
        <v>0</v>
      </c>
      <c r="F2" s="1421" t="s">
        <v>1440</v>
      </c>
      <c r="G2" s="1422"/>
    </row>
    <row r="3" spans="1:10" s="114" customFormat="1" ht="16.5" thickBot="1">
      <c r="A3" s="117" t="s">
        <v>666</v>
      </c>
      <c r="B3" s="2683">
        <f ca="1">ROUND(D3/(IF(B1="",'数据-汇总表'!E3,INDIRECT("'数据-取费表'!k"&amp;$G$1))),0)</f>
        <v>17382</v>
      </c>
      <c r="C3" s="113" t="s">
        <v>1442</v>
      </c>
      <c r="D3" s="113">
        <f ca="1">IF(C1="含税",E2+C33,E2+C32)</f>
        <v>2528630</v>
      </c>
      <c r="E3" s="2669"/>
      <c r="F3" s="113"/>
      <c r="G3" s="113"/>
    </row>
    <row r="4" spans="1:10" s="114" customFormat="1" ht="16.5" thickBot="1">
      <c r="A4" s="2730" t="s">
        <v>3350</v>
      </c>
      <c r="B4" s="2731" t="s">
        <v>3351</v>
      </c>
      <c r="C4" s="2666" t="s">
        <v>3352</v>
      </c>
      <c r="D4" s="2704" t="s">
        <v>3358</v>
      </c>
      <c r="E4" s="2705" t="s">
        <v>3359</v>
      </c>
      <c r="F4" s="2705" t="s">
        <v>3360</v>
      </c>
      <c r="G4" s="2667" t="s">
        <v>3353</v>
      </c>
    </row>
    <row r="5" spans="1:10" s="122" customFormat="1" ht="15.75">
      <c r="A5" s="2706" t="s">
        <v>3349</v>
      </c>
      <c r="B5" s="2707" t="s">
        <v>3354</v>
      </c>
      <c r="C5" s="2679">
        <f ca="1">ROUND((C6+C9+C21+C24+C25+C28)/(1-F22-C26-C29),0)</f>
        <v>2469032</v>
      </c>
      <c r="D5" s="2708"/>
      <c r="E5" s="2708"/>
      <c r="F5" s="2708"/>
      <c r="G5" s="2957" t="s">
        <v>3517</v>
      </c>
      <c r="J5" s="114"/>
    </row>
    <row r="6" spans="1:10" s="2693" customFormat="1" ht="15">
      <c r="A6" s="2671" t="s">
        <v>3361</v>
      </c>
      <c r="B6" s="2734" t="s">
        <v>3362</v>
      </c>
      <c r="C6" s="2709">
        <f>C7+C8</f>
        <v>1294445.45</v>
      </c>
      <c r="D6" s="2670"/>
      <c r="E6" s="2670"/>
      <c r="F6" s="2670"/>
      <c r="G6" s="2710"/>
      <c r="J6" s="114"/>
    </row>
    <row r="7" spans="1:10" s="128" customFormat="1" ht="15">
      <c r="A7" s="2711" t="s">
        <v>344</v>
      </c>
      <c r="B7" s="2735" t="s">
        <v>1450</v>
      </c>
      <c r="C7" s="3396">
        <f>基准地价修正!C33*基准地价修正!D33</f>
        <v>1256133.45</v>
      </c>
      <c r="D7" s="2712"/>
      <c r="E7" s="2713"/>
      <c r="F7" s="2713"/>
      <c r="G7" s="175"/>
      <c r="J7" s="114"/>
    </row>
    <row r="8" spans="1:10" s="128" customFormat="1" ht="15">
      <c r="A8" s="2711" t="s">
        <v>345</v>
      </c>
      <c r="B8" s="2735" t="s">
        <v>1452</v>
      </c>
      <c r="C8" s="2681">
        <f>ROUND(C7*F8,0)</f>
        <v>38312</v>
      </c>
      <c r="D8" s="163"/>
      <c r="E8" s="2713"/>
      <c r="F8" s="2714">
        <f>IF(项目基本情况!B8="出让",0,'数据-取费表'!B49+'数据-取费表'!B50)</f>
        <v>3.0499999999999999E-2</v>
      </c>
      <c r="G8" s="175"/>
      <c r="J8" s="114"/>
    </row>
    <row r="9" spans="1:10" s="2693" customFormat="1" ht="15">
      <c r="A9" s="2715" t="s">
        <v>336</v>
      </c>
      <c r="B9" s="2736" t="s">
        <v>3307</v>
      </c>
      <c r="C9" s="2694">
        <f ca="1">C10+C11+C12+C13+C19+C20</f>
        <v>671631.9094</v>
      </c>
      <c r="D9" s="2716"/>
      <c r="E9" s="2717"/>
      <c r="F9" s="2718"/>
      <c r="G9" s="2719"/>
      <c r="J9" s="114"/>
    </row>
    <row r="10" spans="1:10" s="128" customFormat="1" ht="15">
      <c r="A10" s="2737" t="s">
        <v>344</v>
      </c>
      <c r="B10" s="2738" t="s">
        <v>3343</v>
      </c>
      <c r="C10" s="2681">
        <f ca="1">ROUND(IF(B1="",SUMPRODUCT('数据-取费表'!K6:K14,'数据-取费表'!L6:L14),INDIRECT("'数据-取费表'!l"&amp;$G$1)*INDIRECT("'数据-取费表'!k"&amp;$G$1)+'数据-取费表'!L14*INDIRECT("'数据-取费表'!S"&amp;$G$1)),0)</f>
        <v>600500</v>
      </c>
      <c r="D10" s="2712"/>
      <c r="E10" s="163"/>
      <c r="F10" s="2720">
        <f ca="1">IF('数据-取费表'!B24=0,1,IF(B1="",'数据-取费表'!N16,INDIRECT("'数据-取费表'!n"&amp;$G$1)))</f>
        <v>1</v>
      </c>
      <c r="G10" s="175" t="s">
        <v>1477</v>
      </c>
      <c r="J10" s="114"/>
    </row>
    <row r="11" spans="1:10" s="128" customFormat="1" ht="15">
      <c r="A11" s="2737" t="s">
        <v>349</v>
      </c>
      <c r="B11" s="2738" t="s">
        <v>3344</v>
      </c>
      <c r="C11" s="2681">
        <f ca="1">ROUND(C10*F11,0)</f>
        <v>30025</v>
      </c>
      <c r="D11" s="163"/>
      <c r="E11" s="163"/>
      <c r="F11" s="2692">
        <f>'数据-取费表'!B33</f>
        <v>0.05</v>
      </c>
      <c r="G11" s="175" t="s">
        <v>1479</v>
      </c>
      <c r="J11" s="114"/>
    </row>
    <row r="12" spans="1:10" s="128" customFormat="1" ht="15">
      <c r="A12" s="2737" t="s">
        <v>350</v>
      </c>
      <c r="B12" s="2738" t="s">
        <v>3345</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1481</v>
      </c>
      <c r="J12" s="114"/>
    </row>
    <row r="13" spans="1:10" s="128" customFormat="1" ht="15">
      <c r="A13" s="2737" t="s">
        <v>3308</v>
      </c>
      <c r="B13" s="2738" t="s">
        <v>3346</v>
      </c>
      <c r="C13" s="2681">
        <f ca="1">C14+C17+C18</f>
        <v>29096.9094</v>
      </c>
      <c r="D13" s="163"/>
      <c r="E13" s="2713"/>
      <c r="F13" s="2714"/>
      <c r="G13" s="175"/>
      <c r="J13" s="114"/>
    </row>
    <row r="14" spans="1:10" s="137" customFormat="1" ht="15">
      <c r="A14" s="2664" t="s">
        <v>3309</v>
      </c>
      <c r="B14" s="2739" t="s">
        <v>3342</v>
      </c>
      <c r="C14" s="2681">
        <f ca="1">IF(G14="已包含在土地购买价格中","0",IF(B1="",'数据-取费表'!B29,IF(G15="全部缴纳",C15+C16,H15)))</f>
        <v>2.9094000000000002</v>
      </c>
      <c r="D14" s="2721"/>
      <c r="E14" s="163"/>
      <c r="F14" s="2714"/>
      <c r="G14" s="1423" t="s">
        <v>3774</v>
      </c>
      <c r="J14" s="114"/>
    </row>
    <row r="15" spans="1:10" s="128" customFormat="1" ht="15">
      <c r="A15" s="2740" t="s">
        <v>353</v>
      </c>
      <c r="B15" s="2741" t="s">
        <v>1455</v>
      </c>
      <c r="C15" s="2722">
        <f ca="1">ROUND(D15*E15,0)</f>
        <v>0</v>
      </c>
      <c r="D15" s="2722">
        <f ca="1">IF(B1="",'数据-汇总表'!E5,IF(INDIRECT("'数据-取费表'!c"&amp;$G$1)="住宅",INDIRECT("'数据-取费表'!k"&amp;$G$1),0))</f>
        <v>0</v>
      </c>
      <c r="E15" s="2722">
        <f>'数据-取费表'!B27</f>
        <v>160</v>
      </c>
      <c r="F15" s="2714"/>
      <c r="G15" s="1424" t="s">
        <v>3775</v>
      </c>
      <c r="H15" s="826"/>
      <c r="I15" s="1425" t="s">
        <v>1456</v>
      </c>
      <c r="J15" s="114"/>
    </row>
    <row r="16" spans="1:10" s="128" customFormat="1" ht="15">
      <c r="A16" s="2740" t="s">
        <v>354</v>
      </c>
      <c r="B16" s="2741" t="s">
        <v>1457</v>
      </c>
      <c r="C16" s="2722">
        <f ca="1">ROUND(D16*E16,0)</f>
        <v>29094</v>
      </c>
      <c r="D16" s="2722">
        <f ca="1">IF(B1="",'数据-汇总表'!E6,IF(INDIRECT("'数据-取费表'!c"&amp;$G$1)="住宅",INDIRECT("'数据-取费表'!s"&amp;$G$1),INDIRECT("'数据-取费表'!k"&amp;$G$1)+INDIRECT("'数据-取费表'!s"&amp;$G$1)))</f>
        <v>145.47</v>
      </c>
      <c r="E16" s="2722">
        <f>'数据-取费表'!B28</f>
        <v>200</v>
      </c>
      <c r="F16" s="2714"/>
      <c r="G16" s="140"/>
      <c r="J16" s="114"/>
    </row>
    <row r="17" spans="1:10" s="128" customFormat="1" ht="15">
      <c r="A17" s="2664" t="s">
        <v>3310</v>
      </c>
      <c r="B17" s="2742" t="s">
        <v>3315</v>
      </c>
      <c r="C17" s="2681" t="str">
        <f>IF(G17="已包含在土地取得成本中","0",ROUND(D17*E17,0))</f>
        <v>0</v>
      </c>
      <c r="D17" s="2723">
        <f ca="1">D15+D16</f>
        <v>145.47</v>
      </c>
      <c r="E17" s="2723">
        <f>'数据-取费表'!B31</f>
        <v>200</v>
      </c>
      <c r="F17" s="2689"/>
      <c r="G17" s="1423" t="s">
        <v>3776</v>
      </c>
      <c r="J17" s="114"/>
    </row>
    <row r="18" spans="1:10" s="128" customFormat="1" ht="15">
      <c r="A18" s="2743" t="s">
        <v>3311</v>
      </c>
      <c r="B18" s="2742" t="s">
        <v>1482</v>
      </c>
      <c r="C18" s="2681">
        <f ca="1">ROUND(E18*D18*F10,0)</f>
        <v>29094</v>
      </c>
      <c r="D18" s="2681">
        <f ca="1">D17</f>
        <v>145.47</v>
      </c>
      <c r="E18" s="2681">
        <f>'数据-取费表'!B35</f>
        <v>200</v>
      </c>
      <c r="F18" s="2692"/>
      <c r="G18" s="175" t="s">
        <v>1483</v>
      </c>
      <c r="J18" s="114"/>
    </row>
    <row r="19" spans="1:10" s="128" customFormat="1" ht="15">
      <c r="A19" s="2737" t="s">
        <v>352</v>
      </c>
      <c r="B19" s="2738" t="s">
        <v>3347</v>
      </c>
      <c r="C19" s="2681">
        <f ca="1">ROUND(C10*F19,0)</f>
        <v>6005</v>
      </c>
      <c r="D19" s="163"/>
      <c r="E19" s="163"/>
      <c r="F19" s="2692">
        <f>'数据-取费表'!B36</f>
        <v>0.01</v>
      </c>
      <c r="G19" s="175" t="s">
        <v>1479</v>
      </c>
      <c r="J19" s="114"/>
    </row>
    <row r="20" spans="1:10" s="128" customFormat="1" ht="15">
      <c r="A20" s="2737" t="s">
        <v>3312</v>
      </c>
      <c r="B20" s="2738" t="s">
        <v>3348</v>
      </c>
      <c r="C20" s="2681">
        <f ca="1">ROUND(C10*F20,0)</f>
        <v>6005</v>
      </c>
      <c r="D20" s="2724"/>
      <c r="E20" s="159"/>
      <c r="F20" s="2692">
        <f>'数据-取费表'!B37</f>
        <v>0.01</v>
      </c>
      <c r="G20" s="175" t="s">
        <v>1479</v>
      </c>
      <c r="J20" s="114"/>
    </row>
    <row r="21" spans="1:10" s="2693" customFormat="1" ht="15">
      <c r="A21" s="2671" t="s">
        <v>3363</v>
      </c>
      <c r="B21" s="2734" t="s">
        <v>3364</v>
      </c>
      <c r="C21" s="2694">
        <f ca="1">ROUND((C6+C9)*F21,0)</f>
        <v>39322</v>
      </c>
      <c r="D21" s="2695"/>
      <c r="E21" s="2695"/>
      <c r="F21" s="2699">
        <f>'数据-取费表'!B38</f>
        <v>0.02</v>
      </c>
      <c r="G21" s="2696" t="s">
        <v>3365</v>
      </c>
      <c r="J21" s="114"/>
    </row>
    <row r="22" spans="1:10" s="2693" customFormat="1" ht="15">
      <c r="A22" s="2671" t="s">
        <v>3366</v>
      </c>
      <c r="B22" s="2734" t="s">
        <v>3367</v>
      </c>
      <c r="C22" s="2697" t="str">
        <f>F22&amp;"V"</f>
        <v>0.02V</v>
      </c>
      <c r="D22" s="315"/>
      <c r="E22" s="2695"/>
      <c r="F22" s="2699">
        <f>'数据-取费表'!B39</f>
        <v>0.02</v>
      </c>
      <c r="G22" s="2696" t="s">
        <v>3368</v>
      </c>
      <c r="J22" s="114"/>
    </row>
    <row r="23" spans="1:10" s="2693" customFormat="1" ht="15">
      <c r="A23" s="2671" t="s">
        <v>3369</v>
      </c>
      <c r="B23" s="2736" t="s">
        <v>3316</v>
      </c>
      <c r="C23" s="2672" t="str">
        <f ca="1">SUM(C24:C25)&amp;"+"&amp;C26&amp;"V"</f>
        <v>104553+0.0006V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1460</v>
      </c>
      <c r="C24" s="2687">
        <f ca="1">ROUND(IF('数据-取费表'!B22&lt;=1,C6*F23*'数据-取费表'!B23,C6*(POWER((1+F23),'数据-取费表'!B23)-1)),0)</f>
        <v>82300</v>
      </c>
      <c r="D24" s="152"/>
      <c r="E24" s="152"/>
      <c r="F24" s="2688"/>
      <c r="G24" s="154" t="s">
        <v>1461</v>
      </c>
      <c r="J24" s="114"/>
    </row>
    <row r="25" spans="1:10" s="128" customFormat="1" ht="15">
      <c r="A25" s="2744" t="s">
        <v>345</v>
      </c>
      <c r="B25" s="2742" t="s">
        <v>3317</v>
      </c>
      <c r="C25" s="2687">
        <f ca="1">ROUND(IF('数据-取费表'!B22&lt;=1,(C9+C21)*F23*'数据-取费表'!B23/2,(C9+C21)*(POWER((1+F23),'数据-取费表'!B23/2)-1)),0)</f>
        <v>22253</v>
      </c>
      <c r="D25" s="152"/>
      <c r="E25" s="152"/>
      <c r="F25" s="2688"/>
      <c r="G25" s="154" t="s">
        <v>1463</v>
      </c>
      <c r="J25" s="114"/>
    </row>
    <row r="26" spans="1:10" s="128" customFormat="1" ht="15">
      <c r="A26" s="2744" t="s">
        <v>348</v>
      </c>
      <c r="B26" s="2742" t="s">
        <v>1464</v>
      </c>
      <c r="C26" s="2684">
        <f ca="1">ROUND(IF('数据-取费表'!B22&lt;=1,F22*F23*'数据-取费表'!B23/2,F22*(POWER((1+F23),'数据-取费表'!B23/2)-1)),4)</f>
        <v>5.9999999999999995E-4</v>
      </c>
      <c r="D26" s="152"/>
      <c r="E26" s="155"/>
      <c r="F26" s="2688"/>
      <c r="G26" s="157"/>
      <c r="J26" s="114"/>
    </row>
    <row r="27" spans="1:10" s="2693" customFormat="1" ht="15">
      <c r="A27" s="2671" t="s">
        <v>3370</v>
      </c>
      <c r="B27" s="2736" t="s">
        <v>3318</v>
      </c>
      <c r="C27" s="2700" t="str">
        <f ca="1">C28&amp;"+"&amp;C29&amp;"V"</f>
        <v>300810+0.003V</v>
      </c>
      <c r="D27" s="2698"/>
      <c r="E27" s="315"/>
      <c r="F27" s="2701">
        <f ca="1">IF(B1="",'数据-取费表'!Q16,INDIRECT("'数据-取费表'!q"&amp;$G$1))</f>
        <v>0.15</v>
      </c>
      <c r="G27" s="2696" t="s">
        <v>3371</v>
      </c>
      <c r="J27" s="114"/>
    </row>
    <row r="28" spans="1:10" s="128" customFormat="1" ht="15">
      <c r="A28" s="2737" t="s">
        <v>344</v>
      </c>
      <c r="B28" s="2742" t="s">
        <v>1469</v>
      </c>
      <c r="C28" s="3436">
        <f ca="1">ROUND(C6*F27*'数据-取费表'!B23/'数据-取费表'!B22+(C9+C21)*F27,0)</f>
        <v>300810</v>
      </c>
      <c r="D28" s="149"/>
      <c r="E28" s="150"/>
      <c r="F28" s="2689"/>
      <c r="G28" s="161"/>
      <c r="J28" s="114"/>
    </row>
    <row r="29" spans="1:10" s="128" customFormat="1" ht="15">
      <c r="A29" s="2737" t="s">
        <v>345</v>
      </c>
      <c r="B29" s="2742" t="s">
        <v>1470</v>
      </c>
      <c r="C29" s="2684">
        <f ca="1">ROUND(F22*F27,4)</f>
        <v>3.0000000000000001E-3</v>
      </c>
      <c r="D29" s="149"/>
      <c r="E29" s="150"/>
      <c r="F29" s="2689"/>
      <c r="G29" s="161"/>
      <c r="J29" s="114"/>
    </row>
    <row r="30" spans="1:10" s="2693" customFormat="1" ht="15">
      <c r="A30" s="2671" t="s">
        <v>3372</v>
      </c>
      <c r="B30" s="2734" t="s">
        <v>3373</v>
      </c>
      <c r="C30" s="2702">
        <v>0</v>
      </c>
      <c r="D30" s="315"/>
      <c r="E30" s="2673"/>
      <c r="F30" s="2699"/>
      <c r="G30" s="2703" t="s">
        <v>3319</v>
      </c>
      <c r="J30" s="114"/>
    </row>
    <row r="31" spans="1:10" s="128" customFormat="1" ht="15.75">
      <c r="A31" s="2745">
        <v>2</v>
      </c>
      <c r="B31" s="2746" t="s">
        <v>3320</v>
      </c>
      <c r="C31" s="2685">
        <f ca="1">C57</f>
        <v>149188</v>
      </c>
      <c r="D31" s="2675"/>
      <c r="E31" s="2675"/>
      <c r="F31" s="2690">
        <f>IF('数据-取费表'!B24=0,'数据-取费表'!N16,1)</f>
        <v>0.82</v>
      </c>
      <c r="G31" s="2676" t="s">
        <v>3356</v>
      </c>
      <c r="J31" s="114"/>
    </row>
    <row r="32" spans="1:10" s="128" customFormat="1" ht="15.75">
      <c r="A32" s="2663" t="s">
        <v>3321</v>
      </c>
      <c r="B32" s="2662" t="s">
        <v>3322</v>
      </c>
      <c r="C32" s="2685">
        <f ca="1">C5-C31</f>
        <v>2319844</v>
      </c>
      <c r="D32" s="2675"/>
      <c r="E32" s="2675"/>
      <c r="F32" s="2674"/>
      <c r="G32" s="2677" t="s">
        <v>3355</v>
      </c>
      <c r="J32" s="114"/>
    </row>
    <row r="33" spans="1:10" s="128" customFormat="1" ht="16.5" thickBot="1">
      <c r="A33" s="2747">
        <v>4</v>
      </c>
      <c r="B33" s="2748" t="s">
        <v>3357</v>
      </c>
      <c r="C33" s="2686">
        <f ca="1">ROUND(C32*(1+F33),0)</f>
        <v>2528630</v>
      </c>
      <c r="D33" s="2678"/>
      <c r="E33" s="2678"/>
      <c r="F33" s="2691">
        <f>IF(G33="其他类型公式—成本价值×（1+9%）",9%,3%)</f>
        <v>0.09</v>
      </c>
      <c r="G33" s="3624" t="s">
        <v>3777</v>
      </c>
      <c r="J33" s="114"/>
    </row>
    <row r="34" spans="1:10" s="137" customFormat="1" ht="15">
      <c r="J34" s="114"/>
    </row>
    <row r="35" spans="1:10" s="128" customFormat="1"/>
    <row r="36" spans="1:10" s="128" customFormat="1"/>
    <row r="37" spans="1:10" s="128" customFormat="1"/>
    <row r="38" spans="1:10" ht="15.75" thickBot="1">
      <c r="A38" s="3054" t="s">
        <v>3323</v>
      </c>
      <c r="B38" s="3055"/>
      <c r="C38" s="3055"/>
      <c r="D38" s="3055"/>
      <c r="E38" s="3055"/>
      <c r="F38" s="3055"/>
      <c r="G38" s="3056"/>
    </row>
    <row r="39" spans="1:10" ht="15.75" thickBot="1">
      <c r="A39" s="3057" t="s">
        <v>3350</v>
      </c>
      <c r="B39" s="3058" t="s">
        <v>3351</v>
      </c>
      <c r="C39" s="3059" t="s">
        <v>3352</v>
      </c>
      <c r="D39" s="3060" t="s">
        <v>3497</v>
      </c>
      <c r="E39" s="3061" t="s">
        <v>3498</v>
      </c>
      <c r="F39" s="3061" t="s">
        <v>3499</v>
      </c>
      <c r="G39" s="3062" t="s">
        <v>3353</v>
      </c>
    </row>
    <row r="40" spans="1:10" ht="15">
      <c r="A40" s="3063" t="s">
        <v>3500</v>
      </c>
      <c r="B40" s="3064" t="s">
        <v>3324</v>
      </c>
      <c r="C40" s="3065">
        <f ca="1">SUM(C41:C46)</f>
        <v>671629</v>
      </c>
      <c r="D40" s="3063"/>
      <c r="E40" s="3063"/>
      <c r="F40" s="3063"/>
      <c r="G40" s="3063"/>
    </row>
    <row r="41" spans="1:10" ht="15.75">
      <c r="A41" s="2729" t="s">
        <v>3325</v>
      </c>
      <c r="B41" s="2880" t="str">
        <f t="shared" ref="B41:C43" si="0">B10</f>
        <v xml:space="preserve">  建安费用</v>
      </c>
      <c r="C41" s="2660">
        <f t="shared" ca="1" si="0"/>
        <v>600500</v>
      </c>
      <c r="D41" s="2655"/>
      <c r="E41" s="2655"/>
      <c r="F41" s="2656"/>
      <c r="G41" s="2656"/>
    </row>
    <row r="42" spans="1:10" ht="15.75">
      <c r="A42" s="2729" t="s">
        <v>3326</v>
      </c>
      <c r="B42" s="2880" t="str">
        <f t="shared" si="0"/>
        <v xml:space="preserve">  前期费用</v>
      </c>
      <c r="C42" s="2660">
        <f t="shared" ca="1" si="0"/>
        <v>30025</v>
      </c>
      <c r="D42" s="2655"/>
      <c r="E42" s="2655"/>
      <c r="F42" s="2656"/>
      <c r="G42" s="2656"/>
    </row>
    <row r="43" spans="1:10" ht="15.75">
      <c r="A43" s="2729" t="s">
        <v>3399</v>
      </c>
      <c r="B43" s="2733" t="str">
        <f t="shared" si="0"/>
        <v xml:space="preserve">  公共配套设施费用</v>
      </c>
      <c r="C43" s="2660">
        <f t="shared" ca="1" si="0"/>
        <v>0</v>
      </c>
      <c r="D43" s="2655"/>
      <c r="E43" s="2655"/>
      <c r="F43" s="2656"/>
      <c r="G43" s="2656"/>
    </row>
    <row r="44" spans="1:10" ht="15.75">
      <c r="A44" s="2729" t="s">
        <v>3308</v>
      </c>
      <c r="B44" s="2733" t="str">
        <f>B18</f>
        <v>红线内市政费用</v>
      </c>
      <c r="C44" s="2660">
        <f ca="1">C18</f>
        <v>29094</v>
      </c>
      <c r="D44" s="2655"/>
      <c r="E44" s="2655"/>
      <c r="F44" s="2656"/>
      <c r="G44" s="2656"/>
    </row>
    <row r="45" spans="1:10" ht="15.75">
      <c r="A45" s="2744" t="s">
        <v>3327</v>
      </c>
      <c r="B45" s="2739" t="str">
        <f>B19</f>
        <v xml:space="preserve">  其他工程费</v>
      </c>
      <c r="C45" s="2665">
        <f ca="1">C19</f>
        <v>6005</v>
      </c>
      <c r="D45" s="2879"/>
      <c r="E45" s="2879"/>
      <c r="F45" s="2668"/>
      <c r="G45" s="2668"/>
    </row>
    <row r="46" spans="1:10" ht="15.75">
      <c r="A46" s="2744" t="s">
        <v>3398</v>
      </c>
      <c r="B46" s="2739" t="s">
        <v>3328</v>
      </c>
      <c r="C46" s="2665">
        <f ca="1">C20</f>
        <v>6005</v>
      </c>
      <c r="D46" s="2879"/>
      <c r="E46" s="2879"/>
      <c r="F46" s="2668"/>
      <c r="G46" s="2668"/>
    </row>
    <row r="47" spans="1:10" ht="15">
      <c r="A47" s="2881" t="s">
        <v>3501</v>
      </c>
      <c r="B47" s="2882" t="s">
        <v>3502</v>
      </c>
      <c r="C47" s="2883">
        <f ca="1">ROUND(C40*F47,0)</f>
        <v>13433</v>
      </c>
      <c r="D47" s="2884"/>
      <c r="E47" s="2884"/>
      <c r="F47" s="2885">
        <f>F21</f>
        <v>0.02</v>
      </c>
      <c r="G47" s="2886" t="s">
        <v>3503</v>
      </c>
    </row>
    <row r="48" spans="1:10" ht="15">
      <c r="A48" s="2881" t="s">
        <v>3504</v>
      </c>
      <c r="B48" s="2882" t="s">
        <v>3505</v>
      </c>
      <c r="C48" s="2887" t="str">
        <f>F48&amp;"V建1"</f>
        <v>0.02V建1</v>
      </c>
      <c r="D48" s="2884"/>
      <c r="E48" s="2884"/>
      <c r="F48" s="2885">
        <f>F22</f>
        <v>0.02</v>
      </c>
      <c r="G48" s="2886" t="s">
        <v>3506</v>
      </c>
    </row>
    <row r="49" spans="1:7" ht="15">
      <c r="A49" s="2881" t="s">
        <v>3507</v>
      </c>
      <c r="B49" s="2888" t="s">
        <v>3397</v>
      </c>
      <c r="C49" s="2694" t="str">
        <f ca="1">C50&amp;"+"&amp;C51&amp;"V建1"</f>
        <v>21442+0.0006V建1</v>
      </c>
      <c r="D49" s="315"/>
      <c r="E49" s="315"/>
      <c r="F49" s="2889">
        <f ca="1">F23</f>
        <v>3.1300000000000001E-2</v>
      </c>
      <c r="G49" s="3066" t="str">
        <f>IF('数据-取费表'!B22&lt;=1,"单利计息","复利计息")</f>
        <v>复利计息</v>
      </c>
    </row>
    <row r="50" spans="1:7">
      <c r="A50" s="2729" t="s">
        <v>3325</v>
      </c>
      <c r="B50" s="2732" t="s">
        <v>3401</v>
      </c>
      <c r="C50" s="2905">
        <f ca="1">ROUND(IF('数据-取费表'!B22&lt;=1,(C40+C47)*F49*'数据-取费表'!B22/2,(C40+C47)*(POWER((1+F49),'数据-取费表'!B22/2)-1)),0)</f>
        <v>21442</v>
      </c>
      <c r="D50" s="1087"/>
      <c r="E50" s="1087"/>
      <c r="F50" s="1070"/>
      <c r="G50" s="4365" t="s">
        <v>3341</v>
      </c>
    </row>
    <row r="51" spans="1:7">
      <c r="A51" s="2729" t="s">
        <v>3326</v>
      </c>
      <c r="B51" s="2733" t="s">
        <v>3331</v>
      </c>
      <c r="C51" s="2906">
        <f ca="1">ROUND(IF('数据-取费表'!B22&lt;=1,F48*F23*'数据-取费表'!B22/2,F48*(POWER((1+F23),'数据-取费表'!B22/2)-1)),4)</f>
        <v>5.9999999999999995E-4</v>
      </c>
      <c r="D51" s="1087"/>
      <c r="E51" s="1087"/>
      <c r="F51" s="1070"/>
      <c r="G51" s="4366"/>
    </row>
    <row r="52" spans="1:7" ht="15">
      <c r="A52" s="2881" t="s">
        <v>3508</v>
      </c>
      <c r="B52" s="2890" t="s">
        <v>3332</v>
      </c>
      <c r="C52" s="2891" t="str">
        <f ca="1">C53&amp;"+"&amp;C54&amp;"V建1"</f>
        <v>102759+0.003V建1</v>
      </c>
      <c r="D52" s="2892"/>
      <c r="E52" s="2884"/>
      <c r="F52" s="2893">
        <f ca="1">F27</f>
        <v>0.15</v>
      </c>
      <c r="G52" s="2894" t="s">
        <v>3509</v>
      </c>
    </row>
    <row r="53" spans="1:7">
      <c r="A53" s="2729" t="s">
        <v>3325</v>
      </c>
      <c r="B53" s="2732" t="s">
        <v>3333</v>
      </c>
      <c r="C53" s="2660">
        <f ca="1">ROUND((C40+C47)*F27,0)</f>
        <v>102759</v>
      </c>
      <c r="D53" s="2661"/>
      <c r="E53" s="2657"/>
      <c r="F53" s="2658"/>
      <c r="G53" s="2659"/>
    </row>
    <row r="54" spans="1:7">
      <c r="A54" s="2729" t="s">
        <v>3326</v>
      </c>
      <c r="B54" s="2732" t="s">
        <v>3334</v>
      </c>
      <c r="C54" s="2728">
        <f ca="1">ROUND(F48*F27,4)</f>
        <v>3.0000000000000001E-3</v>
      </c>
      <c r="D54" s="2661"/>
      <c r="E54" s="2657"/>
      <c r="F54" s="2658"/>
      <c r="G54" s="2659"/>
    </row>
    <row r="55" spans="1:7" ht="15">
      <c r="A55" s="2671" t="s">
        <v>3510</v>
      </c>
      <c r="B55" s="2895" t="s">
        <v>3511</v>
      </c>
      <c r="C55" s="2896">
        <v>0</v>
      </c>
      <c r="D55" s="2698"/>
      <c r="E55" s="315"/>
      <c r="F55" s="2889"/>
      <c r="G55" s="2897" t="s">
        <v>3337</v>
      </c>
    </row>
    <row r="56" spans="1:7" ht="16.5">
      <c r="A56" s="2671" t="s">
        <v>3516</v>
      </c>
      <c r="B56" s="2895" t="s">
        <v>3512</v>
      </c>
      <c r="C56" s="2694">
        <f ca="1">ROUND((C40+C47+C50+C53)/(1-F48-C51-C54),0)</f>
        <v>828823</v>
      </c>
      <c r="D56" s="315"/>
      <c r="E56" s="315"/>
      <c r="F56" s="2898"/>
      <c r="G56" s="2897" t="s">
        <v>3338</v>
      </c>
    </row>
    <row r="57" spans="1:7" ht="15">
      <c r="A57" s="2671" t="s">
        <v>3472</v>
      </c>
      <c r="B57" s="2899" t="s">
        <v>3320</v>
      </c>
      <c r="C57" s="2694">
        <f ca="1">ROUND(C56*(1-F57),0)</f>
        <v>149188</v>
      </c>
      <c r="D57" s="315"/>
      <c r="E57" s="315"/>
      <c r="F57" s="2898">
        <f>F31</f>
        <v>0.82</v>
      </c>
      <c r="G57" s="2897" t="s">
        <v>3339</v>
      </c>
    </row>
    <row r="58" spans="1:7" ht="16.5">
      <c r="A58" s="2671" t="s">
        <v>3513</v>
      </c>
      <c r="B58" s="2895" t="s">
        <v>3514</v>
      </c>
      <c r="C58" s="2694">
        <f ca="1">C56-C57</f>
        <v>679635</v>
      </c>
      <c r="D58" s="315"/>
      <c r="E58" s="315"/>
      <c r="F58" s="2898"/>
      <c r="G58" s="2897" t="s">
        <v>3340</v>
      </c>
    </row>
    <row r="59" spans="1:7" ht="15">
      <c r="A59" s="2900" t="s">
        <v>3400</v>
      </c>
      <c r="B59" s="2901" t="s">
        <v>3336</v>
      </c>
      <c r="C59" s="2902">
        <f ca="1">ROUND(C58*(1+F59),0)</f>
        <v>740802</v>
      </c>
      <c r="D59" s="2903"/>
      <c r="E59" s="2903"/>
      <c r="F59" s="2904">
        <f>F33</f>
        <v>0.09</v>
      </c>
      <c r="G59" s="2903" t="s">
        <v>3515</v>
      </c>
    </row>
    <row r="60" spans="1:7" ht="14.25">
      <c r="A60" s="2653"/>
      <c r="B60" s="2654"/>
    </row>
    <row r="62" spans="1:7" ht="21" customHeight="1">
      <c r="B62" s="2725" t="s">
        <v>1509</v>
      </c>
      <c r="C62" s="185"/>
    </row>
    <row r="63" spans="1:7" ht="21" customHeight="1">
      <c r="B63" s="72" t="s">
        <v>782</v>
      </c>
      <c r="C63" s="2726">
        <f ca="1">1-C64</f>
        <v>0.70700000000000007</v>
      </c>
    </row>
    <row r="64" spans="1:7" ht="21" customHeight="1">
      <c r="B64" s="72" t="s">
        <v>783</v>
      </c>
      <c r="C64" s="2727">
        <f ca="1">ROUND(C58/C32,3)</f>
        <v>0.29299999999999998</v>
      </c>
      <c r="D64" s="183" t="s">
        <v>3402</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2700-000000000000}">
      <formula1>"含税,不含税"</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15" xr:uid="{00000000-0002-0000-2700-000003000000}">
      <formula1>"部分缴纳,全部缴纳"</formula1>
    </dataValidation>
    <dataValidation type="list" allowBlank="1" showInputMessage="1" showErrorMessage="1" sqref="B1" xr:uid="{00000000-0002-0000-2700-000004000000}">
      <formula1>项目类型</formula1>
    </dataValidation>
    <dataValidation type="list" allowBlank="1" showInputMessage="1" showErrorMessage="1" sqref="G17" xr:uid="{00000000-0002-0000-2700-000005000000}">
      <formula1>"已包含在土地取得成本中,未包含在土地取得成本中"</formula1>
    </dataValidation>
    <dataValidation type="list" allowBlank="1" showInputMessage="1" showErrorMessage="1" sqref="G14" xr:uid="{00000000-0002-0000-2700-000006000000}">
      <formula1>"已包含在土地购买价格中,未包含在土地购买价格中"</formula1>
    </dataValidation>
    <dataValidation type="list" allowBlank="1" showInputMessage="1" showErrorMessage="1" sqref="G33" xr:uid="{00000000-0002-0000-27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1846</v>
      </c>
      <c r="B1" s="111"/>
      <c r="C1" s="115" t="s">
        <v>1847</v>
      </c>
      <c r="D1" s="243">
        <f>SUM(D33:D34,D37:D42)</f>
        <v>145.47</v>
      </c>
      <c r="E1" s="1522"/>
      <c r="F1" s="1522"/>
      <c r="G1" s="1522"/>
      <c r="H1" s="1522"/>
      <c r="I1" s="1522"/>
      <c r="J1" s="1522"/>
      <c r="K1" s="814"/>
      <c r="L1" s="1523" t="s">
        <v>1848</v>
      </c>
      <c r="M1" s="604">
        <f>SUMPRODUCT((区片价!B5:B9=I2)*(区片价!C3:G3=E2)*(区片价!C5:G9))</f>
        <v>0</v>
      </c>
      <c r="N1" s="607">
        <f>SUMPRODUCT((因素修正幅度!B5:B9=I2)*(因素修正幅度!C3:G3=E2)*(因素修正幅度!C5:G9))</f>
        <v>0</v>
      </c>
      <c r="O1" s="1524"/>
      <c r="P1" s="1524"/>
      <c r="Q1" s="814"/>
      <c r="R1" s="870" t="s">
        <v>1849</v>
      </c>
      <c r="S1" s="870" t="s">
        <v>1850</v>
      </c>
      <c r="T1" s="870" t="s">
        <v>1851</v>
      </c>
      <c r="U1" s="870" t="s">
        <v>1852</v>
      </c>
      <c r="V1" s="870" t="s">
        <v>1853</v>
      </c>
      <c r="W1" s="874"/>
      <c r="X1" s="874"/>
      <c r="Y1" s="874"/>
      <c r="Z1" s="874"/>
      <c r="AA1" s="874"/>
      <c r="AB1" s="874"/>
      <c r="AC1" s="875"/>
      <c r="AD1" s="876"/>
      <c r="AE1" s="876"/>
      <c r="AF1" s="876"/>
      <c r="AG1" s="876"/>
      <c r="AH1" s="876"/>
      <c r="AI1" s="876"/>
      <c r="AJ1" s="877"/>
    </row>
    <row r="2" spans="1:36" ht="15.75">
      <c r="A2" s="115" t="s">
        <v>1854</v>
      </c>
      <c r="B2" s="2683">
        <f>C30</f>
        <v>126</v>
      </c>
      <c r="C2" s="1526" t="s">
        <v>1855</v>
      </c>
      <c r="D2" s="86" t="s">
        <v>1856</v>
      </c>
      <c r="E2" s="2619" t="s">
        <v>19</v>
      </c>
      <c r="F2" s="86" t="s">
        <v>1857</v>
      </c>
      <c r="G2" s="87" t="str">
        <f>IF(E2="商业",项目基本情况!B37,IF(E2="办公",项目基本情况!C37,IF(E2="住宅",项目基本情况!D37,IF(E2="工业",项目基本情况!E37,项目基本情况!F37))))</f>
        <v>七级</v>
      </c>
      <c r="H2" s="86" t="s">
        <v>1858</v>
      </c>
      <c r="I2" s="87" t="str">
        <f>IF(E2="商业",项目基本情况!B38,IF(E2="办公",项目基本情况!C38,IF(E2="住宅",项目基本情况!D38,IF(E2="工业",项目基本情况!E38,项目基本情况!F38))))</f>
        <v>Ⅶ-昌3</v>
      </c>
      <c r="J2" s="1522"/>
      <c r="K2" s="814"/>
      <c r="L2" s="1527" t="s">
        <v>1859</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1860</v>
      </c>
      <c r="B3" s="2683">
        <f>ROUND(B2*10000/D1,0)</f>
        <v>8662</v>
      </c>
      <c r="C3" s="1526" t="s">
        <v>1861</v>
      </c>
      <c r="D3" s="86" t="s">
        <v>1862</v>
      </c>
      <c r="E3" s="2617" t="s">
        <v>3299</v>
      </c>
      <c r="F3" s="1528" t="s">
        <v>3767</v>
      </c>
      <c r="G3" s="3274">
        <f>IF(F3="宗地容积率",'数据-汇总表'!I4,IF(F3="估价对象容积率",'数据-汇总表'!I6,'数据-汇总表'!I7))</f>
        <v>2.5</v>
      </c>
      <c r="H3" s="86" t="s">
        <v>1863</v>
      </c>
      <c r="I3" s="560"/>
      <c r="J3" s="1522" t="s">
        <v>1864</v>
      </c>
      <c r="K3" s="814"/>
      <c r="L3" s="1527" t="s">
        <v>1865</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3686</v>
      </c>
      <c r="B4" s="3906" t="e">
        <f>ROUND(B2*10000/F1,0)</f>
        <v>#DIV/0!</v>
      </c>
      <c r="C4" s="3905" t="s">
        <v>3687</v>
      </c>
      <c r="D4" s="3906" t="e">
        <f>ROUND(B2/(F1/666.67),0)</f>
        <v>#DIV/0!</v>
      </c>
      <c r="E4" s="3905" t="s">
        <v>3688</v>
      </c>
      <c r="F4" s="3903"/>
      <c r="G4" s="3903"/>
      <c r="H4" s="3903"/>
      <c r="I4" s="3903"/>
      <c r="J4" s="3904"/>
      <c r="K4" s="814"/>
      <c r="L4" s="1527" t="s">
        <v>1866</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1867</v>
      </c>
      <c r="C5" s="3275">
        <f>ROUND(IF(E2="商业",C6*C7*C17+C20,(IF(E2="住宅",C6*C13*C17+C20,IF(E2="办公",C6*C12*C17+C20,C6+C20)))),0)</f>
        <v>8980</v>
      </c>
      <c r="D5" s="3276">
        <f>ROUND(C6*C17+C20,0)</f>
        <v>8980</v>
      </c>
      <c r="E5" s="970"/>
      <c r="F5" s="1531"/>
      <c r="G5" s="1532"/>
      <c r="H5" s="1532"/>
      <c r="I5" s="1532"/>
      <c r="J5" s="1533"/>
      <c r="K5" s="1534"/>
      <c r="L5" s="1527" t="s">
        <v>1868</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1869</v>
      </c>
      <c r="B6" s="1540" t="s">
        <v>1870</v>
      </c>
      <c r="C6" s="3277">
        <f>SUMIF(L1:L12,G2,M1:M12)</f>
        <v>8980</v>
      </c>
      <c r="D6" s="1541"/>
      <c r="E6" s="1542"/>
      <c r="F6" s="1542"/>
      <c r="G6" s="1543"/>
      <c r="H6" s="1543"/>
      <c r="I6" s="1543"/>
      <c r="J6" s="1544"/>
      <c r="K6" s="1011"/>
      <c r="L6" s="1527" t="s">
        <v>1871</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3144</v>
      </c>
      <c r="B7" s="1545" t="s">
        <v>1872</v>
      </c>
      <c r="C7" s="3279">
        <f>IF(C8="不临65条商业街",1,ROUND(1+(1.6*E8+1.2*E9+0.8*E10+0.4*E11)*C9,4))</f>
        <v>1</v>
      </c>
      <c r="D7" s="1546" t="s">
        <v>1873</v>
      </c>
      <c r="E7" s="561"/>
      <c r="F7" s="1547"/>
      <c r="G7" s="1548"/>
      <c r="H7" s="1548"/>
      <c r="I7" s="1548"/>
      <c r="J7" s="1549"/>
      <c r="K7" s="1011"/>
      <c r="L7" s="1527" t="s">
        <v>1874</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1875</v>
      </c>
      <c r="X7" s="872" t="str">
        <f>G2</f>
        <v>七级</v>
      </c>
      <c r="Y7" s="872" t="s">
        <v>1876</v>
      </c>
      <c r="Z7" s="873">
        <f>G3</f>
        <v>2.5</v>
      </c>
      <c r="AA7" s="874"/>
      <c r="AB7" s="874"/>
      <c r="AC7" s="875"/>
      <c r="AD7" s="876"/>
      <c r="AE7" s="876"/>
      <c r="AF7" s="876"/>
      <c r="AG7" s="876"/>
      <c r="AH7" s="876"/>
      <c r="AI7" s="876"/>
      <c r="AJ7" s="877"/>
    </row>
    <row r="8" spans="1:36" ht="25.5">
      <c r="A8" s="2514"/>
      <c r="B8" s="86" t="s">
        <v>1877</v>
      </c>
      <c r="C8" s="1550" t="s">
        <v>3768</v>
      </c>
      <c r="D8" s="547" t="s">
        <v>110</v>
      </c>
      <c r="E8" s="548" t="e">
        <f>ROUND(C11/E7,4)</f>
        <v>#DIV/0!</v>
      </c>
      <c r="F8" s="1551" t="s">
        <v>1878</v>
      </c>
      <c r="G8" s="1552"/>
      <c r="H8" s="1552"/>
      <c r="I8" s="1552"/>
      <c r="J8" s="1553"/>
      <c r="K8" s="814"/>
      <c r="L8" s="1527" t="s">
        <v>1879</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42" t="s">
        <v>1880</v>
      </c>
      <c r="X8" s="4543"/>
      <c r="Y8" s="878" t="s">
        <v>1881</v>
      </c>
      <c r="Z8" s="878" t="s">
        <v>1882</v>
      </c>
      <c r="AA8" s="878" t="s">
        <v>1883</v>
      </c>
      <c r="AB8" s="878" t="s">
        <v>1884</v>
      </c>
      <c r="AC8" s="878" t="s">
        <v>1885</v>
      </c>
      <c r="AD8" s="878" t="s">
        <v>1886</v>
      </c>
      <c r="AE8" s="878" t="s">
        <v>1887</v>
      </c>
      <c r="AF8" s="878" t="s">
        <v>1888</v>
      </c>
      <c r="AG8" s="878" t="s">
        <v>1889</v>
      </c>
      <c r="AH8" s="878" t="s">
        <v>1890</v>
      </c>
      <c r="AI8" s="878" t="s">
        <v>1891</v>
      </c>
      <c r="AJ8" s="878" t="s">
        <v>1892</v>
      </c>
    </row>
    <row r="9" spans="1:36" ht="15">
      <c r="A9" s="2514"/>
      <c r="B9" s="86" t="s">
        <v>1893</v>
      </c>
      <c r="C9" s="549">
        <f>SUMIF(修正!C73:C140,C8,修正!E73:E140)</f>
        <v>0</v>
      </c>
      <c r="D9" s="87" t="s">
        <v>111</v>
      </c>
      <c r="E9" s="87" t="e">
        <f>ROUND(C11/E7,4)</f>
        <v>#DIV/0!</v>
      </c>
      <c r="F9" s="1551" t="s">
        <v>1894</v>
      </c>
      <c r="G9" s="1552"/>
      <c r="H9" s="1552"/>
      <c r="I9" s="1552"/>
      <c r="J9" s="1553"/>
      <c r="K9" s="814"/>
      <c r="L9" s="1527" t="s">
        <v>1895</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44"/>
      <c r="X9" s="2563" t="s">
        <v>3173</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1896</v>
      </c>
      <c r="C10" s="3239">
        <f>SUMIF(修正!C73:C140,C8,修正!F73:F140)</f>
        <v>0</v>
      </c>
      <c r="D10" s="87" t="s">
        <v>112</v>
      </c>
      <c r="E10" s="87" t="e">
        <f>ROUND(C11/E7,4)</f>
        <v>#DIV/0!</v>
      </c>
      <c r="F10" s="1551" t="s">
        <v>1897</v>
      </c>
      <c r="G10" s="1552"/>
      <c r="H10" s="1552"/>
      <c r="I10" s="1552"/>
      <c r="J10" s="1553"/>
      <c r="K10" s="814"/>
      <c r="L10" s="1527" t="s">
        <v>1898</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44"/>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1899</v>
      </c>
      <c r="C11" s="3246">
        <f>C10/4</f>
        <v>0</v>
      </c>
      <c r="D11" s="550" t="s">
        <v>113</v>
      </c>
      <c r="E11" s="550" t="e">
        <f>ROUND(C11/E7,4)</f>
        <v>#DIV/0!</v>
      </c>
      <c r="F11" s="1555" t="s">
        <v>1900</v>
      </c>
      <c r="G11" s="1556"/>
      <c r="H11" s="1556"/>
      <c r="I11" s="1556"/>
      <c r="J11" s="1557"/>
      <c r="K11" s="814"/>
      <c r="L11" s="1527" t="s">
        <v>1901</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3145</v>
      </c>
      <c r="B12" s="2518" t="s">
        <v>3146</v>
      </c>
      <c r="C12" s="3280">
        <v>1</v>
      </c>
      <c r="D12" s="2519" t="s">
        <v>3147</v>
      </c>
      <c r="E12" s="2520" t="s">
        <v>3148</v>
      </c>
      <c r="F12" s="2521"/>
      <c r="G12" s="2522"/>
      <c r="H12" s="2522"/>
      <c r="I12" s="2522"/>
      <c r="J12" s="2523"/>
      <c r="K12" s="814"/>
      <c r="L12" s="1485" t="s">
        <v>1904</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3149</v>
      </c>
      <c r="B13" s="1558" t="s">
        <v>1902</v>
      </c>
      <c r="C13" s="3278">
        <f>ROUND(C16*D16*E16*F16*G16*H16*I16*J16,4)</f>
        <v>0</v>
      </c>
      <c r="D13" s="1559" t="s">
        <v>1903</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1905</v>
      </c>
      <c r="C14" s="1564" t="s">
        <v>1906</v>
      </c>
      <c r="D14" s="979" t="s">
        <v>1907</v>
      </c>
      <c r="E14" s="24" t="s">
        <v>1908</v>
      </c>
      <c r="F14" s="2524" t="s">
        <v>3150</v>
      </c>
      <c r="G14" s="2524" t="s">
        <v>3150</v>
      </c>
      <c r="H14" s="2524" t="s">
        <v>3150</v>
      </c>
      <c r="I14" s="2524" t="s">
        <v>3150</v>
      </c>
      <c r="J14" s="2524" t="s">
        <v>3150</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3151</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1909</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3152</v>
      </c>
      <c r="B17" s="2529" t="s">
        <v>3153</v>
      </c>
      <c r="C17" s="3283">
        <f>ROUND(IF(OR(E2="工业",E2="公共服务"),1,IF(AND(E18=0,E19=0),1,IF(AND(E18=J24,E19=G19),0.8,IF(E19=0,1+E17*(-0.2),1+E17*G17*(-0.2))))),4)</f>
        <v>1</v>
      </c>
      <c r="D17" s="2530" t="s">
        <v>3154</v>
      </c>
      <c r="E17" s="2537">
        <f>ROUND(G18/I18,2)</f>
        <v>0</v>
      </c>
      <c r="F17" s="2530" t="s">
        <v>3157</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3155</v>
      </c>
      <c r="E18" s="2783"/>
      <c r="F18" s="2532" t="s">
        <v>3158</v>
      </c>
      <c r="G18" s="2535">
        <f>ROUND(1-(1/(POWER(1+G24,E18))),4)</f>
        <v>0</v>
      </c>
      <c r="H18" s="2532" t="s">
        <v>3160</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3156</v>
      </c>
      <c r="E19" s="3284"/>
      <c r="F19" s="2544" t="s">
        <v>3159</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45" t="s">
        <v>3161</v>
      </c>
      <c r="B20" s="84" t="s">
        <v>1914</v>
      </c>
      <c r="C20" s="3285">
        <f>ROUND(IF(F21="与级别开发程度一致",0,(G21-E21)/C21),0)</f>
        <v>0</v>
      </c>
      <c r="D20" s="2546" t="s">
        <v>1918</v>
      </c>
      <c r="E20" s="2547"/>
      <c r="F20" s="4551" t="s">
        <v>1915</v>
      </c>
      <c r="G20" s="4552"/>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46"/>
      <c r="B21" s="1679" t="s">
        <v>1917</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3769</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1920</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1921</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1922</v>
      </c>
      <c r="E23" s="552">
        <v>44197</v>
      </c>
      <c r="F23" s="1576" t="s">
        <v>1923</v>
      </c>
      <c r="G23" s="553">
        <f>'数据-取费表'!B2</f>
        <v>46031</v>
      </c>
      <c r="H23" s="2548" t="s">
        <v>3770</v>
      </c>
      <c r="I23" s="2549" t="str">
        <f>IF(H23="季度增幅（自定义）",SUMIF(N25:N28,E2,O25:O28),"")</f>
        <v/>
      </c>
      <c r="J23" s="2638" t="s">
        <v>3771</v>
      </c>
      <c r="K23" s="819"/>
      <c r="L23" s="1577" t="s">
        <v>1924</v>
      </c>
      <c r="M23" s="961">
        <f>ROUND(SUMIF(地价!B2:G2,E2,地价!B16:G16),0)</f>
        <v>350</v>
      </c>
      <c r="N23" s="1578" t="s">
        <v>1925</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1926</v>
      </c>
      <c r="C24" s="555">
        <f>ROUND(POWER(1+G24,J24-I24)*(POWER(1+G24,I24)-1)/(POWER(1+G24,J24)-1),4)</f>
        <v>0.92789999999999995</v>
      </c>
      <c r="D24" s="1582" t="s">
        <v>1927</v>
      </c>
      <c r="E24" s="966">
        <f>存贷款利率!E28/100</f>
        <v>4.3499999999999997E-2</v>
      </c>
      <c r="F24" s="1582" t="s">
        <v>1919</v>
      </c>
      <c r="G24" s="557">
        <f>SUMIF(M30:Q30,E2,M33:Q33)</f>
        <v>5.5E-2</v>
      </c>
      <c r="H24" s="1582" t="s">
        <v>1928</v>
      </c>
      <c r="I24" s="558">
        <f>SUMIF('数据-取费表'!C6:C15,E2,'数据-取费表'!F6:F15)/COUNTIF('数据-取费表'!C6:C15,E2)</f>
        <v>37.270000000000003</v>
      </c>
      <c r="J24" s="559">
        <f>IF(E2="住宅",70,IF(E2="商业",40,50))</f>
        <v>50</v>
      </c>
      <c r="K24" s="819"/>
      <c r="L24" s="1583" t="s">
        <v>1929</v>
      </c>
      <c r="M24" s="962">
        <f>ROUND(SUMPRODUCT((地价!A4:A16=YEAR(G23)&amp;"-"&amp;ROUNDUP(MONTH(G23)/3,0))*(地价!B2:G2=E2)*(地价!B4:G16)),0)</f>
        <v>0</v>
      </c>
      <c r="N24" s="1584" t="s">
        <v>1930</v>
      </c>
      <c r="O24" s="1585" t="s">
        <v>1931</v>
      </c>
      <c r="P24" s="1586" t="s">
        <v>1932</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3772</v>
      </c>
      <c r="C25" s="342">
        <f>IF(B25="容积率修正",IF(G3&lt;10,D26,J26),C27)</f>
        <v>1</v>
      </c>
      <c r="D25" s="1589"/>
      <c r="E25" s="1589"/>
      <c r="F25" s="1589"/>
      <c r="G25" s="1589"/>
      <c r="H25" s="1589"/>
      <c r="I25" s="1589"/>
      <c r="J25" s="1590"/>
      <c r="K25" s="819"/>
      <c r="L25" s="2148"/>
      <c r="M25" s="2148"/>
      <c r="N25" s="1591" t="s">
        <v>1933</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1934</v>
      </c>
      <c r="B26" s="1592" t="s">
        <v>1935</v>
      </c>
      <c r="C26" s="1592" t="s">
        <v>3162</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3163</v>
      </c>
      <c r="J26" s="3221" t="str">
        <f>IF(G3&gt;=10,D115,"——")</f>
        <v>——</v>
      </c>
      <c r="K26" s="819"/>
      <c r="L26" s="2148"/>
      <c r="M26" s="2148"/>
      <c r="N26" s="1591" t="s">
        <v>1936</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1937</v>
      </c>
      <c r="B27" s="1593" t="s">
        <v>1938</v>
      </c>
      <c r="C27" s="3290">
        <f>ROUND(IF(I3&lt;6,SUMPRODUCT((B106:B110=I3)*(C105:N105=G2)*(C106:N110)),SUMIF(C105:N105,G2,C112:N112)),4)</f>
        <v>0</v>
      </c>
      <c r="D27" s="1522"/>
      <c r="E27" s="1522"/>
      <c r="F27" s="1594"/>
      <c r="G27" s="1595"/>
      <c r="H27" s="1596"/>
      <c r="I27" s="1597"/>
      <c r="J27" s="1598"/>
      <c r="K27" s="814"/>
      <c r="L27" s="1524"/>
      <c r="M27" s="1524"/>
      <c r="N27" s="1591" t="s">
        <v>1939</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1940</v>
      </c>
      <c r="C28" s="551">
        <f>SUMIF(A47:A101,E2,B47:B101)</f>
        <v>1.0549999999999999</v>
      </c>
      <c r="D28" s="1574"/>
      <c r="E28" s="1599"/>
      <c r="F28" s="1599"/>
      <c r="G28" s="1599"/>
      <c r="H28" s="1599"/>
      <c r="I28" s="1599"/>
      <c r="J28" s="1600"/>
      <c r="K28" s="819"/>
      <c r="L28" s="2148"/>
      <c r="M28" s="2148"/>
      <c r="N28" s="1601" t="s">
        <v>1941</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1942</v>
      </c>
      <c r="C29" s="556"/>
      <c r="D29" s="1548"/>
      <c r="E29" s="1548"/>
      <c r="F29" s="1603"/>
      <c r="G29" s="1548"/>
      <c r="H29" s="1548"/>
      <c r="I29" s="1548"/>
      <c r="J29" s="1549"/>
      <c r="K29" s="814"/>
      <c r="L29" s="1524"/>
      <c r="M29" s="1524"/>
      <c r="N29" s="2145" t="s">
        <v>1943</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1944</v>
      </c>
      <c r="C30" s="3291">
        <f>IF(B25="容积率修正",E33+SUM(E37:E42),SUM(V2:V16)+SUM(E37:E42))</f>
        <v>126</v>
      </c>
      <c r="D30" s="1605"/>
      <c r="E30" s="1522"/>
      <c r="F30" s="1606"/>
      <c r="G30" s="1522"/>
      <c r="H30" s="1522"/>
      <c r="I30" s="1522"/>
      <c r="J30" s="1607"/>
      <c r="K30" s="814"/>
      <c r="L30" s="2554" t="s">
        <v>1856</v>
      </c>
      <c r="M30" s="2555" t="s">
        <v>1910</v>
      </c>
      <c r="N30" s="2555" t="s">
        <v>1911</v>
      </c>
      <c r="O30" s="2555" t="s">
        <v>1912</v>
      </c>
      <c r="P30" s="2555" t="s">
        <v>1913</v>
      </c>
      <c r="Q30" s="2558" t="s">
        <v>3167</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1945</v>
      </c>
      <c r="C31" s="3292">
        <f>E34+SUM(I37:I42)</f>
        <v>0</v>
      </c>
      <c r="D31" s="1609"/>
      <c r="E31" s="1610"/>
      <c r="F31" s="1611"/>
      <c r="G31" s="1610"/>
      <c r="H31" s="1610"/>
      <c r="I31" s="1610"/>
      <c r="J31" s="1612"/>
      <c r="K31" s="814"/>
      <c r="L31" s="2556" t="s">
        <v>1916</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1946</v>
      </c>
      <c r="C32" s="1615" t="s">
        <v>1947</v>
      </c>
      <c r="D32" s="1615" t="s">
        <v>1948</v>
      </c>
      <c r="E32" s="1616" t="s">
        <v>1949</v>
      </c>
      <c r="F32" s="1617"/>
      <c r="G32" s="1561"/>
      <c r="H32" s="1561"/>
      <c r="I32" s="1561"/>
      <c r="J32" s="1562"/>
      <c r="K32" s="814"/>
      <c r="L32" s="2557" t="s">
        <v>1919</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1950</v>
      </c>
      <c r="C33" s="3295">
        <f>ROUND(C5*C22*C23*C24*C25*C28,0)</f>
        <v>8635</v>
      </c>
      <c r="D33" s="3298">
        <f>'数据-汇总表'!F19</f>
        <v>145.47</v>
      </c>
      <c r="E33" s="3300">
        <f>ROUND(C33*D33/10000,0)</f>
        <v>126</v>
      </c>
      <c r="F33" s="2550" t="s">
        <v>3165</v>
      </c>
      <c r="G33" s="1620"/>
      <c r="H33" s="1620"/>
      <c r="I33" s="1620"/>
      <c r="J33" s="1621"/>
      <c r="K33" s="814"/>
      <c r="L33" s="2553" t="s">
        <v>3168</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1951</v>
      </c>
      <c r="C34" s="3296">
        <f>ROUND(IF(E2="工业",C33*M42,IF(B25="楼层修正",SUM(V2:V16)*M41*10000/D34,C33*M41)),0)</f>
        <v>2159</v>
      </c>
      <c r="D34" s="3299"/>
      <c r="E34" s="3300">
        <f>ROUND(IF(B25="楼层修正",SUM(V2:V16)*M40,C34*D34/10000),0)</f>
        <v>0</v>
      </c>
      <c r="F34" s="1624" t="s">
        <v>1952</v>
      </c>
      <c r="G34" s="1625"/>
      <c r="H34" s="1625"/>
      <c r="I34" s="1625"/>
      <c r="J34" s="1626"/>
      <c r="K34" s="814"/>
      <c r="L34" s="2553" t="s">
        <v>3169</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1953</v>
      </c>
      <c r="C35" s="2551" t="s">
        <v>3166</v>
      </c>
      <c r="D35" s="1561"/>
      <c r="E35" s="1629"/>
      <c r="F35" s="1629"/>
      <c r="G35" s="1559" t="s">
        <v>1954</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1947</v>
      </c>
      <c r="D36" s="316" t="s">
        <v>1948</v>
      </c>
      <c r="E36" s="316" t="s">
        <v>1949</v>
      </c>
      <c r="F36" s="243" t="s">
        <v>1955</v>
      </c>
      <c r="G36" s="1632" t="s">
        <v>1947</v>
      </c>
      <c r="H36" s="1632" t="s">
        <v>1948</v>
      </c>
      <c r="I36" s="1632" t="s">
        <v>1949</v>
      </c>
      <c r="J36" s="157"/>
      <c r="K36" s="1642" t="s">
        <v>3170</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49"/>
      <c r="B37" s="1633" t="s">
        <v>1956</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3171</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50"/>
      <c r="B38" s="1564" t="s">
        <v>1957</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50"/>
      <c r="B39" s="1564" t="s">
        <v>3164</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1958</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1959</v>
      </c>
      <c r="M40" s="1636"/>
      <c r="Z40" s="815"/>
      <c r="AA40" s="815"/>
      <c r="AB40" s="815"/>
      <c r="AC40" s="815"/>
      <c r="AD40" s="815"/>
      <c r="AE40" s="815"/>
      <c r="AF40" s="815"/>
      <c r="AG40" s="815"/>
      <c r="AH40" s="815"/>
      <c r="AI40" s="815"/>
      <c r="AJ40" s="815"/>
    </row>
    <row r="41" spans="1:37" s="814" customFormat="1">
      <c r="A41" s="1634"/>
      <c r="B41" s="1564" t="s">
        <v>1960</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3172</v>
      </c>
      <c r="M41" s="1637">
        <v>0.25</v>
      </c>
      <c r="Z41" s="815"/>
      <c r="AA41" s="815"/>
      <c r="AB41" s="815"/>
      <c r="AC41" s="815"/>
      <c r="AD41" s="815"/>
      <c r="AE41" s="815"/>
      <c r="AF41" s="815"/>
      <c r="AG41" s="815"/>
      <c r="AH41" s="815"/>
      <c r="AI41" s="815"/>
      <c r="AJ41" s="815"/>
    </row>
    <row r="42" spans="1:37" s="814" customFormat="1" ht="13.5" thickBot="1">
      <c r="A42" s="1622"/>
      <c r="B42" s="1638" t="s">
        <v>1961</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1913</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2038</v>
      </c>
      <c r="C44" s="243">
        <f>ROUND(POWER(1+E44,H44-G44)*(POWER(1+E44,G44)-1)/(POWER(1+E44,H44)-1),4)</f>
        <v>0.92789999999999995</v>
      </c>
      <c r="D44" s="87" t="s">
        <v>1919</v>
      </c>
      <c r="E44" s="1669">
        <f>G24</f>
        <v>5.5E-2</v>
      </c>
      <c r="F44" s="87" t="s">
        <v>1928</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1962</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1963</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1964</v>
      </c>
      <c r="B49" s="980" t="s">
        <v>1965</v>
      </c>
      <c r="C49" s="980" t="s">
        <v>1966</v>
      </c>
      <c r="D49" s="980" t="s">
        <v>1967</v>
      </c>
      <c r="E49" s="540" t="s">
        <v>1968</v>
      </c>
      <c r="F49" s="1649" t="s">
        <v>1969</v>
      </c>
      <c r="G49" s="980" t="s">
        <v>308</v>
      </c>
      <c r="H49" s="1650" t="s">
        <v>1970</v>
      </c>
      <c r="I49" s="980" t="s">
        <v>1971</v>
      </c>
      <c r="J49" s="408" t="s">
        <v>1641</v>
      </c>
      <c r="K49" s="408" t="s">
        <v>1642</v>
      </c>
      <c r="L49" s="408" t="s">
        <v>1643</v>
      </c>
      <c r="M49" s="408" t="s">
        <v>1644</v>
      </c>
      <c r="N49" s="408" t="s">
        <v>1645</v>
      </c>
      <c r="AA49" s="815"/>
      <c r="AB49" s="815"/>
      <c r="AC49" s="815"/>
      <c r="AD49" s="815"/>
      <c r="AE49" s="815"/>
      <c r="AF49" s="815"/>
      <c r="AG49" s="815"/>
      <c r="AH49" s="815"/>
      <c r="AI49" s="815"/>
      <c r="AJ49" s="815"/>
      <c r="AK49" s="815"/>
    </row>
    <row r="50" spans="1:37" s="814" customFormat="1" ht="24.75">
      <c r="A50" s="1648" t="s">
        <v>1972</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1973</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3174</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1974</v>
      </c>
      <c r="B53" s="1652" t="s">
        <v>1975</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1976</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1977</v>
      </c>
      <c r="B55" s="1653" t="s">
        <v>1978</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1979</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1980</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1981</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1982</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1964</v>
      </c>
      <c r="B60" s="980"/>
      <c r="C60" s="980" t="s">
        <v>1966</v>
      </c>
      <c r="D60" s="980" t="s">
        <v>1967</v>
      </c>
      <c r="E60" s="540" t="s">
        <v>1968</v>
      </c>
      <c r="F60" s="1649" t="s">
        <v>1983</v>
      </c>
      <c r="G60" s="980" t="s">
        <v>308</v>
      </c>
      <c r="H60" s="1650" t="s">
        <v>1970</v>
      </c>
      <c r="I60" s="980" t="s">
        <v>1971</v>
      </c>
      <c r="J60" s="408" t="s">
        <v>1641</v>
      </c>
      <c r="K60" s="408" t="s">
        <v>1642</v>
      </c>
      <c r="L60" s="408" t="s">
        <v>1643</v>
      </c>
      <c r="M60" s="408" t="s">
        <v>1644</v>
      </c>
      <c r="N60" s="408" t="s">
        <v>1645</v>
      </c>
      <c r="AA60" s="815"/>
      <c r="AB60" s="815"/>
      <c r="AC60" s="815"/>
      <c r="AD60" s="815"/>
      <c r="AE60" s="815"/>
      <c r="AF60" s="815"/>
      <c r="AG60" s="815"/>
      <c r="AH60" s="815"/>
      <c r="AI60" s="815"/>
      <c r="AJ60" s="815"/>
      <c r="AK60" s="815"/>
    </row>
    <row r="61" spans="1:37" s="814" customFormat="1" ht="24">
      <c r="A61" s="1648" t="s">
        <v>1984</v>
      </c>
      <c r="B61" s="1651">
        <f>估价对象房地状况!C17</f>
        <v>0</v>
      </c>
      <c r="C61" s="1567" t="s">
        <v>3664</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1973</v>
      </c>
      <c r="B62" s="980">
        <f>估价对象房地状况!C18</f>
        <v>0</v>
      </c>
      <c r="C62" s="1567" t="s">
        <v>3664</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3174</v>
      </c>
      <c r="B63" s="980">
        <f>估价对象房地状况!C19</f>
        <v>0</v>
      </c>
      <c r="C63" s="1567" t="s">
        <v>3663</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1974</v>
      </c>
      <c r="B64" s="1652" t="s">
        <v>1975</v>
      </c>
      <c r="C64" s="1567" t="s">
        <v>3664</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1976</v>
      </c>
      <c r="B65" s="980">
        <f>估价对象房地状况!C24</f>
        <v>0</v>
      </c>
      <c r="C65" s="1567" t="s">
        <v>3664</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1977</v>
      </c>
      <c r="B66" s="1653" t="s">
        <v>1978</v>
      </c>
      <c r="C66" s="1567" t="s">
        <v>3664</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1979</v>
      </c>
      <c r="B67" s="960">
        <f>估价对象房地状况!C21</f>
        <v>0</v>
      </c>
      <c r="C67" s="1567" t="s">
        <v>3663</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1980</v>
      </c>
      <c r="B68" s="960">
        <f>估价对象房地状况!C22</f>
        <v>0</v>
      </c>
      <c r="C68" s="1567" t="s">
        <v>3773</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1981</v>
      </c>
      <c r="B69" s="1657">
        <f>估价对象房地状况!C20</f>
        <v>0</v>
      </c>
      <c r="C69" s="1567" t="s">
        <v>3663</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1985</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1964</v>
      </c>
      <c r="B71" s="980"/>
      <c r="C71" s="980" t="s">
        <v>1966</v>
      </c>
      <c r="D71" s="980" t="s">
        <v>1967</v>
      </c>
      <c r="E71" s="540" t="s">
        <v>1968</v>
      </c>
      <c r="F71" s="1649" t="s">
        <v>1983</v>
      </c>
      <c r="G71" s="980" t="s">
        <v>308</v>
      </c>
      <c r="H71" s="1650" t="s">
        <v>1970</v>
      </c>
      <c r="I71" s="980" t="s">
        <v>1971</v>
      </c>
      <c r="J71" s="408" t="s">
        <v>1641</v>
      </c>
      <c r="K71" s="408" t="s">
        <v>1642</v>
      </c>
      <c r="L71" s="408" t="s">
        <v>1643</v>
      </c>
      <c r="M71" s="408" t="s">
        <v>1644</v>
      </c>
      <c r="N71" s="408" t="s">
        <v>1645</v>
      </c>
      <c r="AA71" s="815"/>
      <c r="AB71" s="815"/>
      <c r="AC71" s="815"/>
      <c r="AD71" s="815"/>
      <c r="AE71" s="815"/>
      <c r="AF71" s="815"/>
      <c r="AG71" s="815"/>
      <c r="AH71" s="815"/>
      <c r="AI71" s="815"/>
      <c r="AJ71" s="815"/>
      <c r="AK71" s="815"/>
    </row>
    <row r="72" spans="1:37" s="814" customFormat="1" ht="24">
      <c r="A72" s="1648" t="s">
        <v>1986</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1973</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3174</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1987</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1979</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1980</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1977</v>
      </c>
      <c r="B78" s="1653" t="s">
        <v>1978</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1981</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1988</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1989</v>
      </c>
      <c r="B81" s="1646">
        <f>1+E83</f>
        <v>1</v>
      </c>
      <c r="C81" s="538"/>
      <c r="D81" s="538"/>
      <c r="E81" s="539"/>
      <c r="F81" s="1647"/>
      <c r="G81" s="3"/>
      <c r="H81" s="3"/>
      <c r="I81" s="3"/>
      <c r="J81" s="4"/>
      <c r="K81" s="4"/>
      <c r="L81" s="4"/>
      <c r="M81" s="4"/>
      <c r="N81" s="4"/>
      <c r="Z81" s="1525"/>
      <c r="AA81" s="1575"/>
      <c r="AG81" s="816"/>
      <c r="AK81" s="1575"/>
    </row>
    <row r="82" spans="1:37" ht="24.75">
      <c r="A82" s="1648" t="s">
        <v>1964</v>
      </c>
      <c r="B82" s="980"/>
      <c r="C82" s="980" t="s">
        <v>1966</v>
      </c>
      <c r="D82" s="980" t="s">
        <v>1967</v>
      </c>
      <c r="E82" s="540" t="s">
        <v>1968</v>
      </c>
      <c r="F82" s="1649" t="s">
        <v>1983</v>
      </c>
      <c r="G82" s="980" t="s">
        <v>308</v>
      </c>
      <c r="H82" s="1650" t="s">
        <v>1970</v>
      </c>
      <c r="I82" s="980" t="s">
        <v>1971</v>
      </c>
      <c r="J82" s="408" t="s">
        <v>1641</v>
      </c>
      <c r="K82" s="408" t="s">
        <v>1642</v>
      </c>
      <c r="L82" s="408" t="s">
        <v>1643</v>
      </c>
      <c r="M82" s="408" t="s">
        <v>1644</v>
      </c>
      <c r="N82" s="408" t="s">
        <v>1645</v>
      </c>
      <c r="Z82" s="1525"/>
      <c r="AA82" s="1575"/>
      <c r="AG82" s="816"/>
      <c r="AK82" s="1575"/>
    </row>
    <row r="83" spans="1:37" ht="24">
      <c r="A83" s="1648" t="s">
        <v>1990</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1973</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3175</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1987</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1979</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1980</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1977</v>
      </c>
      <c r="B89" s="1653" t="s">
        <v>1991</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1992</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2519</v>
      </c>
      <c r="B91" s="2578">
        <f>1+E93</f>
        <v>1</v>
      </c>
      <c r="C91" s="2571"/>
      <c r="D91" s="2572"/>
      <c r="E91" s="1385"/>
      <c r="F91" s="1385"/>
      <c r="G91" s="2573"/>
      <c r="H91" s="2574"/>
      <c r="I91" s="2575"/>
      <c r="J91" s="2576"/>
      <c r="K91" s="2576"/>
      <c r="L91" s="2576"/>
      <c r="M91" s="2576"/>
      <c r="N91" s="2576"/>
    </row>
    <row r="92" spans="1:37" ht="24.75">
      <c r="A92" s="2579" t="s">
        <v>3176</v>
      </c>
      <c r="B92" s="1945"/>
      <c r="C92" s="1945" t="s">
        <v>3185</v>
      </c>
      <c r="D92" s="1945" t="s">
        <v>3186</v>
      </c>
      <c r="E92" s="2552" t="s">
        <v>3187</v>
      </c>
      <c r="F92" s="2581" t="s">
        <v>3188</v>
      </c>
      <c r="G92" s="1945" t="s">
        <v>3189</v>
      </c>
      <c r="H92" s="2588" t="s">
        <v>3192</v>
      </c>
      <c r="I92" s="1945" t="s">
        <v>3193</v>
      </c>
      <c r="J92" s="1792" t="s">
        <v>3194</v>
      </c>
      <c r="K92" s="1792" t="s">
        <v>3195</v>
      </c>
      <c r="L92" s="1792" t="s">
        <v>3196</v>
      </c>
      <c r="M92" s="1792" t="s">
        <v>3197</v>
      </c>
      <c r="N92" s="1792" t="s">
        <v>3198</v>
      </c>
    </row>
    <row r="93" spans="1:37" ht="24">
      <c r="A93" s="2569" t="s">
        <v>3177</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3178</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3174</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3179</v>
      </c>
      <c r="B96" s="2585" t="s">
        <v>3190</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3180</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3181</v>
      </c>
      <c r="B98" s="2586" t="s">
        <v>3191</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3182</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3183</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3184</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47" t="s">
        <v>3199</v>
      </c>
      <c r="B103" s="4547"/>
      <c r="C103" s="4547"/>
      <c r="D103" s="4547"/>
      <c r="E103" s="4547"/>
      <c r="F103" s="4547"/>
      <c r="G103" s="4547"/>
      <c r="H103" s="4547"/>
      <c r="I103" s="4547"/>
      <c r="J103" s="4547"/>
      <c r="K103" s="1377"/>
      <c r="L103" s="1377"/>
      <c r="M103" s="1377"/>
      <c r="N103" s="1377"/>
    </row>
    <row r="104" spans="1:14">
      <c r="A104" s="4548" t="s">
        <v>3200</v>
      </c>
      <c r="B104" s="4548" t="s">
        <v>3201</v>
      </c>
      <c r="C104" s="2589" t="s">
        <v>3202</v>
      </c>
      <c r="D104" s="2590"/>
      <c r="E104" s="2590"/>
      <c r="F104" s="2590"/>
      <c r="G104" s="2590"/>
      <c r="H104" s="2590"/>
      <c r="I104" s="2590"/>
      <c r="J104" s="2591"/>
      <c r="K104" s="2592"/>
      <c r="L104" s="2592"/>
      <c r="M104" s="2592"/>
      <c r="N104" s="2592"/>
    </row>
    <row r="105" spans="1:14">
      <c r="A105" s="4548"/>
      <c r="B105" s="4548"/>
      <c r="C105" s="2593" t="s">
        <v>3203</v>
      </c>
      <c r="D105" s="2593" t="s">
        <v>3204</v>
      </c>
      <c r="E105" s="2593" t="s">
        <v>3205</v>
      </c>
      <c r="F105" s="2593" t="s">
        <v>3206</v>
      </c>
      <c r="G105" s="2593" t="s">
        <v>3207</v>
      </c>
      <c r="H105" s="2593" t="s">
        <v>3208</v>
      </c>
      <c r="I105" s="2593" t="s">
        <v>3209</v>
      </c>
      <c r="J105" s="2593" t="s">
        <v>3210</v>
      </c>
      <c r="K105" s="2593" t="s">
        <v>3211</v>
      </c>
      <c r="L105" s="2593" t="s">
        <v>3212</v>
      </c>
      <c r="M105" s="2593" t="s">
        <v>3213</v>
      </c>
      <c r="N105" s="2593" t="s">
        <v>3214</v>
      </c>
    </row>
    <row r="106" spans="1:14">
      <c r="A106" s="4538" t="s">
        <v>3215</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39"/>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39"/>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39"/>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39"/>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39"/>
      <c r="B111" s="2593" t="s">
        <v>3173</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40"/>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41" t="s">
        <v>3216</v>
      </c>
      <c r="B113" s="4541"/>
      <c r="C113" s="4541"/>
      <c r="D113" s="4541"/>
      <c r="E113" s="4541"/>
      <c r="F113" s="4541"/>
      <c r="G113" s="4541"/>
      <c r="H113" s="4541"/>
      <c r="I113" s="4541"/>
      <c r="J113" s="4541"/>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3217</v>
      </c>
      <c r="B116" s="2613">
        <f>G3</f>
        <v>2.5</v>
      </c>
      <c r="C116" s="2598" t="s">
        <v>3218</v>
      </c>
      <c r="D116" s="2599">
        <f>SUMPRODUCT((A118:A122=F116)*(B117:M117=H116)*B118:M122)</f>
        <v>0.90600000000000003</v>
      </c>
      <c r="E116" s="86" t="s">
        <v>3219</v>
      </c>
      <c r="F116" s="2600" t="str">
        <f>E2</f>
        <v>办公</v>
      </c>
      <c r="G116" s="86" t="s">
        <v>3220</v>
      </c>
      <c r="H116" s="2600" t="str">
        <f>G2</f>
        <v>七级</v>
      </c>
      <c r="I116" s="86"/>
      <c r="J116" s="2601"/>
      <c r="K116" s="2601"/>
      <c r="L116" s="2601"/>
      <c r="M116" s="2601"/>
      <c r="N116" s="2596"/>
    </row>
    <row r="117" spans="1:14">
      <c r="A117" s="2602"/>
      <c r="B117" s="2603" t="s">
        <v>3221</v>
      </c>
      <c r="C117" s="2603" t="s">
        <v>3222</v>
      </c>
      <c r="D117" s="2603" t="s">
        <v>3223</v>
      </c>
      <c r="E117" s="2604" t="s">
        <v>3224</v>
      </c>
      <c r="F117" s="2604" t="s">
        <v>3225</v>
      </c>
      <c r="G117" s="2604" t="s">
        <v>3226</v>
      </c>
      <c r="H117" s="2605" t="s">
        <v>3227</v>
      </c>
      <c r="I117" s="2605" t="s">
        <v>3228</v>
      </c>
      <c r="J117" s="2606" t="s">
        <v>3229</v>
      </c>
      <c r="K117" s="2606" t="s">
        <v>3230</v>
      </c>
      <c r="L117" s="2606" t="s">
        <v>3231</v>
      </c>
      <c r="M117" s="2607" t="s">
        <v>3232</v>
      </c>
      <c r="N117" s="2596"/>
    </row>
    <row r="118" spans="1:14">
      <c r="A118" s="2556" t="s">
        <v>3233</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3234</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3235</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3236</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2519</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3567</v>
      </c>
      <c r="B1" s="62"/>
      <c r="C1" s="852"/>
      <c r="D1" s="851"/>
      <c r="E1" s="2161"/>
      <c r="F1" s="2161"/>
      <c r="G1" s="2045"/>
      <c r="H1" s="2161"/>
      <c r="I1" s="2161"/>
      <c r="J1" s="2161"/>
      <c r="K1" s="2162">
        <f>MATCH(C1,'数据-取费表'!A6:A16,0)+5</f>
        <v>7</v>
      </c>
    </row>
    <row r="2" spans="1:33" ht="18" customHeight="1">
      <c r="A2" s="115" t="s">
        <v>1439</v>
      </c>
      <c r="B2" s="2683">
        <f ca="1">C34</f>
        <v>-68</v>
      </c>
      <c r="C2" s="190" t="s">
        <v>1542</v>
      </c>
      <c r="D2" s="190"/>
      <c r="E2" s="2161"/>
      <c r="F2" s="2161"/>
      <c r="G2" s="2161"/>
      <c r="H2" s="2161"/>
      <c r="I2" s="2161"/>
      <c r="J2" s="2161"/>
      <c r="K2" s="2161"/>
    </row>
    <row r="3" spans="1:33" ht="18" customHeight="1">
      <c r="A3" s="117" t="s">
        <v>1441</v>
      </c>
      <c r="B3" s="2683">
        <f ca="1">ROUND(B2*10000/IF(C1="",'数据-汇总表'!E3,INDIRECT("'数据-取费表'!K"&amp;$K$1)),0)</f>
        <v>-4675</v>
      </c>
      <c r="C3" s="190" t="s">
        <v>1543</v>
      </c>
      <c r="D3" s="190"/>
      <c r="E3" s="2161"/>
      <c r="F3" s="2161"/>
      <c r="G3" s="2161"/>
      <c r="H3" s="2161"/>
      <c r="I3" s="2161"/>
      <c r="J3" s="2161"/>
      <c r="K3" s="2161"/>
    </row>
    <row r="4" spans="1:33" ht="18" customHeight="1">
      <c r="A4" s="3899" t="s">
        <v>3683</v>
      </c>
      <c r="B4" s="2682" t="e">
        <f ca="1">ROUND(B2*10000/IF(C1="",'数据-汇总表'!D3,INDIRECT("'数据-取费表'!R"&amp;$K$1)),0)</f>
        <v>#DIV/0!</v>
      </c>
      <c r="C4" s="1421" t="s">
        <v>3685</v>
      </c>
      <c r="D4" s="190"/>
      <c r="E4" s="2161"/>
      <c r="F4" s="2161"/>
      <c r="G4" s="2161"/>
      <c r="H4" s="2161"/>
      <c r="I4" s="2161"/>
      <c r="J4" s="2161"/>
      <c r="K4" s="2161"/>
    </row>
    <row r="5" spans="1:33" ht="18" customHeight="1" thickBot="1">
      <c r="A5" s="113"/>
      <c r="B5" s="3908" t="e">
        <f ca="1">ROUND(B2/(IF(C1="",'数据-汇总表'!D3,INDIRECT("'数据-取费表'!R"&amp;$K$1))/666.67),0)</f>
        <v>#DIV/0!</v>
      </c>
      <c r="C5" s="3902" t="s">
        <v>3684</v>
      </c>
      <c r="D5" s="190"/>
      <c r="E5" s="2161"/>
      <c r="F5" s="2161"/>
      <c r="G5" s="2161"/>
      <c r="H5" s="2161"/>
      <c r="I5" s="2161"/>
      <c r="J5" s="2161"/>
      <c r="K5" s="2161"/>
    </row>
    <row r="6" spans="1:33" s="567" customFormat="1" ht="16.5" customHeight="1">
      <c r="A6" s="2908" t="s">
        <v>3571</v>
      </c>
      <c r="B6" s="2907"/>
      <c r="C6" s="4531" t="s">
        <v>3406</v>
      </c>
      <c r="D6" s="4531"/>
      <c r="E6" s="4531"/>
      <c r="F6" s="4531"/>
      <c r="G6" s="4531"/>
      <c r="H6" s="4531"/>
      <c r="I6" s="4531"/>
      <c r="J6" s="4531"/>
      <c r="K6" s="4532"/>
    </row>
    <row r="7" spans="1:33" s="570" customFormat="1" ht="15">
      <c r="A7" s="2648" t="s">
        <v>1544</v>
      </c>
      <c r="B7" s="2915" t="s">
        <v>1545</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1546</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1547</v>
      </c>
      <c r="B9" s="9" t="s">
        <v>1548</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1549</v>
      </c>
      <c r="B10" s="2918" t="s">
        <v>3403</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53" t="s">
        <v>3572</v>
      </c>
      <c r="B11" s="4554"/>
      <c r="C11" s="4554"/>
      <c r="D11" s="4554"/>
      <c r="E11" s="4554"/>
      <c r="F11" s="4554"/>
      <c r="G11" s="4554"/>
      <c r="H11" s="4554"/>
      <c r="I11" s="4554"/>
      <c r="J11" s="4554"/>
      <c r="K11" s="4555"/>
    </row>
    <row r="12" spans="1:33" s="573" customFormat="1" ht="13.5" customHeight="1">
      <c r="A12" s="3658" t="s">
        <v>3561</v>
      </c>
      <c r="B12" s="2932" t="s">
        <v>1550</v>
      </c>
      <c r="C12" s="2933" t="s">
        <v>1551</v>
      </c>
      <c r="D12" s="1245" t="s">
        <v>1552</v>
      </c>
      <c r="E12" s="1245" t="s">
        <v>1553</v>
      </c>
      <c r="F12" s="1245" t="s">
        <v>1554</v>
      </c>
      <c r="G12" s="3870" t="s">
        <v>3430</v>
      </c>
      <c r="H12" s="3871"/>
      <c r="I12" s="3871"/>
      <c r="J12" s="3871"/>
      <c r="K12" s="3872"/>
    </row>
    <row r="13" spans="1:33" s="573" customFormat="1" ht="13.5" customHeight="1">
      <c r="A13" s="2648">
        <v>1</v>
      </c>
      <c r="B13" s="2935" t="s">
        <v>3573</v>
      </c>
      <c r="C13" s="2919">
        <f>SUM(C10:K10)</f>
        <v>0</v>
      </c>
      <c r="D13" s="572"/>
      <c r="E13" s="572"/>
      <c r="F13" s="3672"/>
      <c r="G13" s="3859"/>
      <c r="H13" s="3858"/>
      <c r="I13" s="3858"/>
      <c r="J13" s="3858"/>
      <c r="K13" s="3873"/>
    </row>
    <row r="14" spans="1:33" s="573" customFormat="1" ht="13.5" customHeight="1">
      <c r="A14" s="2648">
        <v>2</v>
      </c>
      <c r="B14" s="2936" t="s">
        <v>3677</v>
      </c>
      <c r="C14" s="2919">
        <v>0</v>
      </c>
      <c r="D14" s="2936"/>
      <c r="E14" s="2936"/>
      <c r="F14" s="2822">
        <v>0</v>
      </c>
      <c r="G14" s="4108" t="s">
        <v>3732</v>
      </c>
      <c r="H14" s="3858"/>
      <c r="I14" s="3858"/>
      <c r="J14" s="3858"/>
      <c r="K14" s="3873"/>
    </row>
    <row r="15" spans="1:33" s="575" customFormat="1" ht="13.5" customHeight="1">
      <c r="A15" s="2648">
        <v>3</v>
      </c>
      <c r="B15" s="582" t="s">
        <v>3646</v>
      </c>
      <c r="C15" s="2694">
        <f ca="1">C32-C33</f>
        <v>68</v>
      </c>
      <c r="D15" s="582"/>
      <c r="E15" s="192"/>
      <c r="F15" s="3673"/>
      <c r="G15" s="3860" t="s">
        <v>3591</v>
      </c>
      <c r="H15" s="578"/>
      <c r="I15" s="578"/>
      <c r="J15" s="578"/>
      <c r="K15" s="579"/>
    </row>
    <row r="16" spans="1:33" s="575" customFormat="1" ht="13.5" customHeight="1">
      <c r="A16" s="3874" t="s">
        <v>3641</v>
      </c>
      <c r="B16" s="3677" t="s">
        <v>3574</v>
      </c>
      <c r="C16" s="3678">
        <f ca="1">SUM(C17:C22)</f>
        <v>68</v>
      </c>
      <c r="D16" s="3677"/>
      <c r="E16" s="3677"/>
      <c r="F16" s="3679"/>
      <c r="G16" s="2882"/>
      <c r="H16" s="3858"/>
      <c r="I16" s="3858"/>
      <c r="J16" s="3858"/>
      <c r="K16" s="3873"/>
    </row>
    <row r="17" spans="1:33" s="575" customFormat="1" ht="13.5" customHeight="1">
      <c r="A17" s="3875" t="s">
        <v>3592</v>
      </c>
      <c r="B17" s="3664" t="s">
        <v>3579</v>
      </c>
      <c r="C17" s="2660">
        <f ca="1">IF(C1="",'数据-取费表'!M16,INDIRECT("'数据-取费表'!M"&amp;$K$1)+INDIRECT("'数据-取费表'!ap"&amp;$K$1))</f>
        <v>60</v>
      </c>
      <c r="D17" s="3680"/>
      <c r="E17" s="3681"/>
      <c r="F17" s="3693"/>
      <c r="G17" s="3861"/>
      <c r="H17" s="3858"/>
      <c r="I17" s="3858"/>
      <c r="J17" s="3858"/>
      <c r="K17" s="3873"/>
    </row>
    <row r="18" spans="1:33" s="575" customFormat="1" ht="13.5" customHeight="1">
      <c r="A18" s="3875" t="s">
        <v>3580</v>
      </c>
      <c r="B18" s="3665" t="s">
        <v>3581</v>
      </c>
      <c r="C18" s="2660">
        <f ca="1">ROUND(C17*F18,0)</f>
        <v>3</v>
      </c>
      <c r="D18" s="3677"/>
      <c r="E18" s="3677"/>
      <c r="F18" s="3694">
        <f>'数据-取费表'!B33</f>
        <v>0.05</v>
      </c>
      <c r="G18" s="2882"/>
      <c r="H18" s="3858"/>
      <c r="I18" s="3858"/>
      <c r="J18" s="3858"/>
      <c r="K18" s="3873"/>
    </row>
    <row r="19" spans="1:33" s="575" customFormat="1" ht="13.5" customHeight="1">
      <c r="A19" s="3875" t="s">
        <v>3593</v>
      </c>
      <c r="B19" s="3666" t="s">
        <v>3549</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3594</v>
      </c>
      <c r="B20" s="3666" t="s">
        <v>3602</v>
      </c>
      <c r="C20" s="2660">
        <f ca="1">ROUND(D20*E20/10000,0)</f>
        <v>3</v>
      </c>
      <c r="D20" s="3675">
        <f ca="1">IF(C1="",'数据-汇总表'!E3,INDIRECT("'数据-取费表'!K"&amp;$K$1)+INDIRECT("'数据-取费表'!S"&amp;$K$1))</f>
        <v>145.47</v>
      </c>
      <c r="E20" s="3676">
        <f>'数据-取费表'!B35</f>
        <v>200</v>
      </c>
      <c r="F20" s="3675"/>
      <c r="G20" s="2656"/>
      <c r="H20" s="3858"/>
      <c r="I20" s="3858"/>
      <c r="J20" s="578"/>
      <c r="K20" s="579"/>
    </row>
    <row r="21" spans="1:33" s="575" customFormat="1" ht="13.5" customHeight="1">
      <c r="A21" s="3875" t="s">
        <v>3595</v>
      </c>
      <c r="B21" s="3667" t="s">
        <v>3552</v>
      </c>
      <c r="C21" s="2660">
        <f ca="1">ROUND(C17*F21,0)</f>
        <v>1</v>
      </c>
      <c r="D21" s="3682"/>
      <c r="E21" s="3682"/>
      <c r="F21" s="3694">
        <f>'数据-取费表'!B36</f>
        <v>0.01</v>
      </c>
      <c r="G21" s="2656"/>
      <c r="H21" s="580"/>
      <c r="I21" s="580"/>
      <c r="J21" s="580"/>
      <c r="K21" s="3876"/>
    </row>
    <row r="22" spans="1:33" s="575" customFormat="1" ht="13.5" customHeight="1">
      <c r="A22" s="3875" t="s">
        <v>3596</v>
      </c>
      <c r="B22" s="3667" t="s">
        <v>3603</v>
      </c>
      <c r="C22" s="2660">
        <f ca="1">ROUND(C17*F22,0)</f>
        <v>1</v>
      </c>
      <c r="D22" s="3682"/>
      <c r="E22" s="3682"/>
      <c r="F22" s="3694">
        <f>'数据-取费表'!B37</f>
        <v>0.01</v>
      </c>
      <c r="G22" s="2656"/>
      <c r="H22" s="580"/>
      <c r="I22" s="580"/>
      <c r="J22" s="580"/>
      <c r="K22" s="3876"/>
    </row>
    <row r="23" spans="1:33" s="576" customFormat="1" ht="13.5" customHeight="1">
      <c r="A23" s="3874" t="s">
        <v>3642</v>
      </c>
      <c r="B23" s="3677" t="s">
        <v>3538</v>
      </c>
      <c r="C23" s="2665">
        <f ca="1">ROUND(C16*F23,0)</f>
        <v>1</v>
      </c>
      <c r="D23" s="3683"/>
      <c r="E23" s="3683"/>
      <c r="F23" s="3695">
        <f>'数据-取费表'!B38</f>
        <v>0.02</v>
      </c>
      <c r="G23" s="2668" t="s">
        <v>3575</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3643</v>
      </c>
      <c r="B24" s="3677" t="s">
        <v>3582</v>
      </c>
      <c r="C24" s="2665" t="str">
        <f>F24&amp;"V建"</f>
        <v>0.02V建</v>
      </c>
      <c r="D24" s="3683"/>
      <c r="E24" s="3683"/>
      <c r="F24" s="3695">
        <f>'数据-取费表'!B39</f>
        <v>0.02</v>
      </c>
      <c r="G24" s="2668" t="s">
        <v>3576</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3644</v>
      </c>
      <c r="B25" s="3677" t="s">
        <v>3455</v>
      </c>
      <c r="C25" s="3684" t="str">
        <f ca="1">C26&amp;"+"&amp;C27&amp;"V建"</f>
        <v>2+0.0004V建</v>
      </c>
      <c r="D25" s="3685"/>
      <c r="E25" s="3685"/>
      <c r="F25" s="3694">
        <f ca="1">'数据-取费表'!B41</f>
        <v>3.1300000000000001E-2</v>
      </c>
      <c r="G25" s="3862" t="s">
        <v>3583</v>
      </c>
      <c r="H25" s="3863"/>
      <c r="I25" s="3863"/>
      <c r="J25" s="3863"/>
      <c r="K25" s="3877"/>
    </row>
    <row r="26" spans="1:33" s="576" customFormat="1" ht="13.5" customHeight="1">
      <c r="A26" s="3875" t="s">
        <v>3584</v>
      </c>
      <c r="B26" s="3667" t="s">
        <v>3607</v>
      </c>
      <c r="C26" s="3684">
        <f ca="1">ROUND(IF('数据-取费表'!B20&lt;=1,(C16+C23)*F25*'数据-取费表'!B20/2,(C23+C16)*(POWER((1+F25),'数据-取费表'!B20/2)-1)),0)</f>
        <v>2</v>
      </c>
      <c r="D26" s="3685"/>
      <c r="E26" s="3685"/>
      <c r="F26" s="3675"/>
      <c r="G26" s="3862" t="s">
        <v>3585</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3586</v>
      </c>
      <c r="B27" s="3667" t="s">
        <v>3608</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3587</v>
      </c>
      <c r="B28" s="3677" t="s">
        <v>3604</v>
      </c>
      <c r="C28" s="2905" t="str">
        <f ca="1">C29&amp;"+"&amp;C30&amp;"V建"</f>
        <v>10+0.003V建</v>
      </c>
      <c r="D28" s="1087"/>
      <c r="E28" s="1087"/>
      <c r="F28" s="3696">
        <f ca="1">IF(C1="",'数据-取费表'!Q16,INDIRECT("'数据-取费表'!q"&amp;$K$1))</f>
        <v>0.15</v>
      </c>
      <c r="G28" s="4556" t="s">
        <v>3588</v>
      </c>
      <c r="H28" s="3858"/>
      <c r="I28" s="3858"/>
      <c r="J28" s="3858"/>
      <c r="K28" s="3873"/>
    </row>
    <row r="29" spans="1:33" s="575" customFormat="1" ht="13.5" customHeight="1">
      <c r="A29" s="3875" t="s">
        <v>3600</v>
      </c>
      <c r="B29" s="3667" t="s">
        <v>3605</v>
      </c>
      <c r="C29" s="2906">
        <f ca="1">ROUND((C16+C23)*F28,0)</f>
        <v>10</v>
      </c>
      <c r="D29" s="1087"/>
      <c r="E29" s="1087"/>
      <c r="F29" s="2987"/>
      <c r="G29" s="4556"/>
      <c r="H29" s="3865"/>
      <c r="I29" s="3865"/>
      <c r="J29" s="3865"/>
      <c r="K29" s="3878"/>
    </row>
    <row r="30" spans="1:33" s="583" customFormat="1" ht="13.5" customHeight="1">
      <c r="A30" s="3875" t="s">
        <v>3601</v>
      </c>
      <c r="B30" s="3667" t="s">
        <v>3606</v>
      </c>
      <c r="C30" s="2660">
        <f ca="1">ROUND(F24*F28,4)</f>
        <v>3.0000000000000001E-3</v>
      </c>
      <c r="D30" s="3687"/>
      <c r="E30" s="3685"/>
      <c r="F30" s="3675"/>
      <c r="G30" s="3866"/>
      <c r="H30" s="578"/>
      <c r="I30" s="578"/>
      <c r="J30" s="578"/>
      <c r="K30" s="579"/>
    </row>
    <row r="31" spans="1:33" s="583" customFormat="1" ht="13.5" customHeight="1">
      <c r="A31" s="3874" t="s">
        <v>3597</v>
      </c>
      <c r="B31" s="3677" t="s">
        <v>3609</v>
      </c>
      <c r="C31" s="2660">
        <v>0</v>
      </c>
      <c r="D31" s="3688"/>
      <c r="E31" s="3689"/>
      <c r="F31" s="3675"/>
      <c r="G31" s="3867" t="s">
        <v>3577</v>
      </c>
      <c r="H31" s="578"/>
      <c r="I31" s="578"/>
      <c r="J31" s="578"/>
      <c r="K31" s="579"/>
    </row>
    <row r="32" spans="1:33" s="575" customFormat="1" ht="13.5" customHeight="1">
      <c r="A32" s="3874" t="s">
        <v>3598</v>
      </c>
      <c r="B32" s="3677" t="s">
        <v>3645</v>
      </c>
      <c r="C32" s="3678">
        <f ca="1">ROUND((C16+C23+C26+C29)/(1-F24-C27-C30),0)</f>
        <v>83</v>
      </c>
      <c r="D32" s="3688"/>
      <c r="E32" s="3689"/>
      <c r="F32" s="3675"/>
      <c r="G32" s="3868" t="s">
        <v>3578</v>
      </c>
      <c r="H32" s="3869"/>
      <c r="I32" s="3869"/>
      <c r="J32" s="3869"/>
      <c r="K32" s="3879"/>
    </row>
    <row r="33" spans="1:11" s="195" customFormat="1" ht="13.5" customHeight="1">
      <c r="A33" s="3874" t="s">
        <v>3599</v>
      </c>
      <c r="B33" s="3690" t="s">
        <v>3589</v>
      </c>
      <c r="C33" s="3691">
        <f ca="1">ROUND(C32*(1-F33),0)</f>
        <v>15</v>
      </c>
      <c r="D33" s="3692"/>
      <c r="E33" s="3435"/>
      <c r="F33" s="3695">
        <f>IF('数据-取费表'!B24=0,'数据-取费表'!N16,1)</f>
        <v>0.82</v>
      </c>
      <c r="G33" s="3860" t="s">
        <v>3590</v>
      </c>
      <c r="H33" s="3865"/>
      <c r="I33" s="3865"/>
      <c r="J33" s="3865"/>
      <c r="K33" s="3878"/>
    </row>
    <row r="34" spans="1:11" s="573" customFormat="1" ht="15.75" thickBot="1">
      <c r="A34" s="3880">
        <v>4</v>
      </c>
      <c r="B34" s="3881" t="s">
        <v>3647</v>
      </c>
      <c r="C34" s="3882">
        <f ca="1">C13-C15</f>
        <v>-68</v>
      </c>
      <c r="D34" s="3881"/>
      <c r="E34" s="3881"/>
      <c r="F34" s="3883"/>
      <c r="G34" s="3884" t="s">
        <v>3676</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A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3568</v>
      </c>
      <c r="B1" s="3671"/>
      <c r="C1" s="3122"/>
      <c r="D1" s="112"/>
      <c r="E1" s="112"/>
      <c r="F1" s="112"/>
      <c r="G1" s="820">
        <f>MATCH(C1,'数据-取费表'!A6:A16,0)+5</f>
        <v>7</v>
      </c>
    </row>
    <row r="2" spans="1:7" s="114" customFormat="1" ht="15.75">
      <c r="A2" s="115" t="s">
        <v>1439</v>
      </c>
      <c r="B2" s="2682">
        <f ca="1">C34</f>
        <v>9</v>
      </c>
      <c r="C2" s="113" t="s">
        <v>1440</v>
      </c>
      <c r="D2" s="113"/>
      <c r="E2" s="2669"/>
      <c r="F2" s="113"/>
      <c r="G2" s="113"/>
    </row>
    <row r="3" spans="1:7" s="114" customFormat="1" ht="15.75">
      <c r="A3" s="117" t="s">
        <v>1441</v>
      </c>
      <c r="B3" s="2683">
        <f ca="1">ROUND(B2*10000/(IF(C1="",'数据-汇总表'!E3,INDIRECT("'数据-取费表'!k"&amp;$G$1))),0)</f>
        <v>619</v>
      </c>
      <c r="C3" s="113" t="s">
        <v>1442</v>
      </c>
      <c r="D3" s="113"/>
      <c r="E3" s="2669"/>
      <c r="F3" s="113"/>
      <c r="G3" s="113"/>
    </row>
    <row r="4" spans="1:7" s="114" customFormat="1" ht="15.75">
      <c r="A4" s="3899" t="s">
        <v>3683</v>
      </c>
      <c r="B4" s="2682" t="e">
        <f ca="1">ROUND(B2*10000/'数据-汇总表'!D3,0)</f>
        <v>#DIV/0!</v>
      </c>
      <c r="C4" s="115" t="s">
        <v>3685</v>
      </c>
      <c r="D4" s="113"/>
      <c r="E4" s="2669"/>
      <c r="F4" s="113"/>
      <c r="G4" s="113"/>
    </row>
    <row r="5" spans="1:7" s="114" customFormat="1" ht="16.5" thickBot="1">
      <c r="A5" s="113"/>
      <c r="B5" s="3908" t="e">
        <f ca="1">ROUND(B2/('数据-汇总表'!D3/666.67),0)</f>
        <v>#DIV/0!</v>
      </c>
      <c r="C5" s="3893" t="s">
        <v>3684</v>
      </c>
      <c r="D5" s="113"/>
      <c r="E5" s="2669"/>
      <c r="F5" s="113"/>
      <c r="G5" s="113"/>
    </row>
    <row r="6" spans="1:7" s="114" customFormat="1" ht="15.75">
      <c r="A6" s="3715" t="s">
        <v>3350</v>
      </c>
      <c r="B6" s="3716" t="s">
        <v>3351</v>
      </c>
      <c r="C6" s="3717" t="s">
        <v>3352</v>
      </c>
      <c r="D6" s="3718" t="s">
        <v>3358</v>
      </c>
      <c r="E6" s="3719" t="s">
        <v>3359</v>
      </c>
      <c r="F6" s="3719" t="s">
        <v>3360</v>
      </c>
      <c r="G6" s="3720" t="s">
        <v>3353</v>
      </c>
    </row>
    <row r="7" spans="1:7" s="122" customFormat="1" ht="15.75">
      <c r="A7" s="3721" t="s">
        <v>3349</v>
      </c>
      <c r="B7" s="2662" t="s">
        <v>3627</v>
      </c>
      <c r="C7" s="2685">
        <f>IF(G7="征收国有地",C8,IF(G7="征收集体地",C11,C17))</f>
        <v>0</v>
      </c>
      <c r="D7" s="3703"/>
      <c r="E7" s="3703"/>
      <c r="F7" s="3703"/>
      <c r="G7" s="3840"/>
    </row>
    <row r="8" spans="1:7" s="128" customFormat="1">
      <c r="A8" s="3722" t="s">
        <v>3651</v>
      </c>
      <c r="B8" s="3710" t="s">
        <v>3622</v>
      </c>
      <c r="C8" s="2723">
        <f>C9+C10</f>
        <v>0</v>
      </c>
      <c r="D8" s="3669"/>
      <c r="E8" s="3669"/>
      <c r="F8" s="3669"/>
      <c r="G8" s="3701"/>
    </row>
    <row r="9" spans="1:7" s="128" customFormat="1">
      <c r="A9" s="2744" t="s">
        <v>1459</v>
      </c>
      <c r="B9" s="143" t="s">
        <v>3610</v>
      </c>
      <c r="C9" s="3958">
        <f>ROUND(D9*E9/10000,0)</f>
        <v>0</v>
      </c>
      <c r="D9" s="3699"/>
      <c r="E9" s="3699"/>
      <c r="F9" s="3669"/>
      <c r="G9" s="3723"/>
    </row>
    <row r="10" spans="1:7" s="128" customFormat="1">
      <c r="A10" s="2744" t="s">
        <v>1462</v>
      </c>
      <c r="B10" s="143" t="s">
        <v>3611</v>
      </c>
      <c r="C10" s="3958">
        <f>ROUND(D10*E10/10000,0)</f>
        <v>0</v>
      </c>
      <c r="D10" s="3699"/>
      <c r="E10" s="3699"/>
      <c r="F10" s="3669"/>
      <c r="G10" s="3723"/>
    </row>
    <row r="11" spans="1:7" s="128" customFormat="1" ht="13.5">
      <c r="A11" s="3670" t="s">
        <v>3633</v>
      </c>
      <c r="B11" s="3835" t="s">
        <v>3623</v>
      </c>
      <c r="C11" s="155">
        <f>C12+C15+C16</f>
        <v>0</v>
      </c>
      <c r="D11" s="3669"/>
      <c r="E11" s="3669"/>
      <c r="F11" s="3669"/>
      <c r="G11" s="3723"/>
    </row>
    <row r="12" spans="1:7" s="128" customFormat="1">
      <c r="A12" s="2744" t="s">
        <v>1459</v>
      </c>
      <c r="B12" s="143" t="s">
        <v>3612</v>
      </c>
      <c r="C12" s="143">
        <f>C13+C14</f>
        <v>0</v>
      </c>
      <c r="D12" s="1070"/>
      <c r="E12" s="1070"/>
      <c r="F12" s="3669"/>
      <c r="G12" s="3724" t="s">
        <v>3613</v>
      </c>
    </row>
    <row r="13" spans="1:7" s="128" customFormat="1">
      <c r="A13" s="3836" t="s">
        <v>3635</v>
      </c>
      <c r="B13" s="3837" t="s">
        <v>3634</v>
      </c>
      <c r="C13" s="3958">
        <f>ROUND(D13*E13/10000,0)</f>
        <v>0</v>
      </c>
      <c r="D13" s="3699"/>
      <c r="E13" s="3699"/>
      <c r="F13" s="3669"/>
      <c r="G13" s="3725" t="s">
        <v>3720</v>
      </c>
    </row>
    <row r="14" spans="1:7" s="128" customFormat="1">
      <c r="A14" s="3836" t="s">
        <v>3637</v>
      </c>
      <c r="B14" s="3837" t="s">
        <v>3636</v>
      </c>
      <c r="C14" s="3699">
        <v>0</v>
      </c>
      <c r="D14" s="1070"/>
      <c r="E14" s="1070"/>
      <c r="F14" s="3669"/>
      <c r="G14" s="3725"/>
    </row>
    <row r="15" spans="1:7" s="128" customFormat="1">
      <c r="A15" s="2744" t="s">
        <v>1462</v>
      </c>
      <c r="B15" s="143" t="s">
        <v>3614</v>
      </c>
      <c r="C15" s="3958">
        <f t="shared" ref="C15" si="0">ROUND(D15*E15/10000,0)</f>
        <v>0</v>
      </c>
      <c r="D15" s="3699"/>
      <c r="E15" s="3699"/>
      <c r="F15" s="3669"/>
      <c r="G15" s="3725" t="s">
        <v>3615</v>
      </c>
    </row>
    <row r="16" spans="1:7" s="128" customFormat="1">
      <c r="A16" s="2744" t="s">
        <v>3626</v>
      </c>
      <c r="B16" s="3711" t="s">
        <v>3616</v>
      </c>
      <c r="C16" s="3958">
        <f>C13*F16</f>
        <v>0</v>
      </c>
      <c r="D16" s="3699"/>
      <c r="E16" s="3699"/>
      <c r="F16" s="3959">
        <v>0.25</v>
      </c>
      <c r="G16" s="3850" t="s">
        <v>3617</v>
      </c>
    </row>
    <row r="17" spans="1:9" s="128" customFormat="1" ht="13.5">
      <c r="A17" s="3670" t="s">
        <v>337</v>
      </c>
      <c r="B17" s="3710" t="s">
        <v>3624</v>
      </c>
      <c r="C17" s="2681">
        <f>C18+C19</f>
        <v>0</v>
      </c>
      <c r="D17" s="3842"/>
      <c r="E17" s="3843"/>
      <c r="F17" s="2714"/>
      <c r="G17" s="3851"/>
    </row>
    <row r="18" spans="1:9" s="128" customFormat="1">
      <c r="A18" s="3668" t="s">
        <v>347</v>
      </c>
      <c r="B18" s="3711" t="s">
        <v>1450</v>
      </c>
      <c r="C18" s="3396"/>
      <c r="D18" s="3844"/>
      <c r="E18" s="3843"/>
      <c r="F18" s="2713"/>
      <c r="G18" s="3960" t="s">
        <v>3721</v>
      </c>
    </row>
    <row r="19" spans="1:9" s="128" customFormat="1">
      <c r="A19" s="3668" t="s">
        <v>1451</v>
      </c>
      <c r="B19" s="3711" t="s">
        <v>1452</v>
      </c>
      <c r="C19" s="2681">
        <f>ROUND(C18*F19,0)</f>
        <v>0</v>
      </c>
      <c r="D19" s="3842"/>
      <c r="E19" s="3843"/>
      <c r="F19" s="2714">
        <f>IF(项目基本情况!B8="出让",0,'数据-取费表'!B49+'数据-取费表'!B50)</f>
        <v>3.0499999999999999E-2</v>
      </c>
      <c r="G19" s="3851"/>
    </row>
    <row r="20" spans="1:9" s="2693" customFormat="1" ht="15.75">
      <c r="A20" s="3721" t="s">
        <v>3652</v>
      </c>
      <c r="B20" s="2662" t="s">
        <v>3625</v>
      </c>
      <c r="C20" s="2694">
        <f ca="1">C21+C24+C25</f>
        <v>8.9093999999999998</v>
      </c>
      <c r="D20" s="3845"/>
      <c r="E20" s="3846"/>
      <c r="F20" s="2718"/>
      <c r="G20" s="3852"/>
    </row>
    <row r="21" spans="1:9" s="137" customFormat="1" ht="15">
      <c r="A21" s="3726" t="s">
        <v>3648</v>
      </c>
      <c r="B21" s="3704" t="s">
        <v>3342</v>
      </c>
      <c r="C21" s="2723">
        <f ca="1">IF(G21="已包含在土地购买价格中","0",IF(C1="",'数据-取费表'!B29,IF(G22="全部缴纳",C22+C23,H22)))</f>
        <v>2.9094000000000002</v>
      </c>
      <c r="D21" s="3847"/>
      <c r="E21" s="3848"/>
      <c r="F21" s="3700"/>
      <c r="G21" s="1423"/>
    </row>
    <row r="22" spans="1:9" s="128" customFormat="1">
      <c r="A22" s="2664" t="s">
        <v>3631</v>
      </c>
      <c r="B22" s="3705" t="s">
        <v>1455</v>
      </c>
      <c r="C22" s="2722">
        <f ca="1">ROUND(D22*E22/10000,0)</f>
        <v>0</v>
      </c>
      <c r="D22" s="3697">
        <f ca="1">IF(C1="",'数据-汇总表'!E5,IF(INDIRECT("'数据-取费表'!c"&amp;$G$1)="住宅",INDIRECT("'数据-取费表'!k"&amp;$G$1),0))</f>
        <v>0</v>
      </c>
      <c r="E22" s="3697">
        <f>'数据-取费表'!B27</f>
        <v>160</v>
      </c>
      <c r="F22" s="2714"/>
      <c r="G22" s="1424"/>
      <c r="H22" s="826"/>
      <c r="I22" s="1425" t="s">
        <v>1456</v>
      </c>
    </row>
    <row r="23" spans="1:9" s="128" customFormat="1">
      <c r="A23" s="2664" t="s">
        <v>3632</v>
      </c>
      <c r="B23" s="3705" t="s">
        <v>1457</v>
      </c>
      <c r="C23" s="2722">
        <f ca="1">ROUND(D23*E23/10000,0)</f>
        <v>3</v>
      </c>
      <c r="D23" s="3697">
        <f ca="1">IF(C1="",'数据-汇总表'!E6,IF(INDIRECT("'数据-取费表'!c"&amp;$G$1)="住宅",INDIRECT("'数据-取费表'!s"&amp;$G$1),INDIRECT("'数据-取费表'!k"&amp;$G$1)+INDIRECT("'数据-取费表'!s"&amp;$G$1)))</f>
        <v>145.47</v>
      </c>
      <c r="E23" s="3697">
        <f>'数据-取费表'!B28</f>
        <v>200</v>
      </c>
      <c r="F23" s="2714"/>
      <c r="G23" s="3853"/>
    </row>
    <row r="24" spans="1:9" s="128" customFormat="1" ht="13.5">
      <c r="A24" s="3670" t="s">
        <v>3633</v>
      </c>
      <c r="B24" s="3706" t="s">
        <v>3649</v>
      </c>
      <c r="C24" s="2723">
        <f ca="1">IF(G24="已包含在土地取得成本中","0",ROUND(D24*E24/10000,0))</f>
        <v>3</v>
      </c>
      <c r="D24" s="3698">
        <f ca="1">D22+D23</f>
        <v>145.47</v>
      </c>
      <c r="E24" s="3698">
        <f>'数据-取费表'!B31</f>
        <v>200</v>
      </c>
      <c r="F24" s="3707"/>
      <c r="G24" s="1423"/>
    </row>
    <row r="25" spans="1:9" s="128" customFormat="1" ht="13.5">
      <c r="A25" s="3670" t="s">
        <v>337</v>
      </c>
      <c r="B25" s="3706" t="s">
        <v>3650</v>
      </c>
      <c r="C25" s="2723">
        <f ca="1">ROUND(E25*D25/10000,0)</f>
        <v>3</v>
      </c>
      <c r="D25" s="3698">
        <f ca="1">D24</f>
        <v>145.47</v>
      </c>
      <c r="E25" s="3698">
        <f>'数据-取费表'!B35</f>
        <v>200</v>
      </c>
      <c r="F25" s="3700"/>
      <c r="G25" s="3854"/>
    </row>
    <row r="26" spans="1:9" s="122" customFormat="1" ht="15.75">
      <c r="A26" s="3721" t="s">
        <v>3653</v>
      </c>
      <c r="B26" s="2662" t="s">
        <v>3654</v>
      </c>
      <c r="C26" s="2682">
        <f>C27+C28</f>
        <v>0</v>
      </c>
      <c r="D26" s="3849"/>
      <c r="E26" s="3849"/>
      <c r="F26" s="3700"/>
      <c r="G26" s="3855"/>
    </row>
    <row r="27" spans="1:9" s="128" customFormat="1">
      <c r="A27" s="3722" t="s">
        <v>3651</v>
      </c>
      <c r="B27" s="3708" t="s">
        <v>3618</v>
      </c>
      <c r="C27" s="2723">
        <f>ROUND(E27*D27/10000,0)</f>
        <v>0</v>
      </c>
      <c r="D27" s="3709"/>
      <c r="E27" s="3731">
        <v>25</v>
      </c>
      <c r="F27" s="3700"/>
      <c r="G27" s="3850" t="s">
        <v>3619</v>
      </c>
    </row>
    <row r="28" spans="1:9" s="128" customFormat="1">
      <c r="A28" s="3727" t="s">
        <v>3633</v>
      </c>
      <c r="B28" s="3708" t="s">
        <v>3620</v>
      </c>
      <c r="C28" s="2723">
        <f>ROUND(E28*D28/10000,0)</f>
        <v>0</v>
      </c>
      <c r="D28" s="3709"/>
      <c r="E28" s="3731">
        <v>60.1</v>
      </c>
      <c r="F28" s="3700"/>
      <c r="G28" s="3850" t="s">
        <v>3621</v>
      </c>
    </row>
    <row r="29" spans="1:9" s="2693" customFormat="1" ht="15.75">
      <c r="A29" s="3721" t="s">
        <v>3655</v>
      </c>
      <c r="B29" s="2662" t="s">
        <v>3656</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3657</v>
      </c>
      <c r="B30" s="2662" t="s">
        <v>3658</v>
      </c>
      <c r="C30" s="2700">
        <f ca="1">ROUND((C7+C20+C26)*F30,0)</f>
        <v>1</v>
      </c>
      <c r="D30" s="2698"/>
      <c r="E30" s="315"/>
      <c r="F30" s="3712">
        <f ca="1">IF(C1="",'数据-取费表'!Q16,INDIRECT("'数据-取费表'!q"&amp;$G$1))</f>
        <v>0.15</v>
      </c>
      <c r="G30" s="3856"/>
    </row>
    <row r="31" spans="1:9" s="128" customFormat="1" ht="15.75">
      <c r="A31" s="2663" t="s">
        <v>3638</v>
      </c>
      <c r="B31" s="2662" t="s">
        <v>3630</v>
      </c>
      <c r="C31" s="2685">
        <f ca="1">C7+C20+C29+C30</f>
        <v>9.9093999999999998</v>
      </c>
      <c r="D31" s="2675"/>
      <c r="E31" s="2675"/>
      <c r="F31" s="2674"/>
      <c r="G31" s="2676" t="s">
        <v>3661</v>
      </c>
    </row>
    <row r="32" spans="1:9" s="128" customFormat="1" ht="15.75">
      <c r="A32" s="2663" t="s">
        <v>3629</v>
      </c>
      <c r="B32" s="2662" t="s">
        <v>3628</v>
      </c>
      <c r="C32" s="3839">
        <f ca="1">ROUND(C31*F32,0)</f>
        <v>1</v>
      </c>
      <c r="D32" s="149"/>
      <c r="E32" s="150"/>
      <c r="F32" s="3713">
        <v>0.1</v>
      </c>
      <c r="G32" s="3857"/>
    </row>
    <row r="33" spans="1:7" s="128" customFormat="1" ht="15.75">
      <c r="A33" s="3838">
        <v>8</v>
      </c>
      <c r="B33" s="2662" t="s">
        <v>3640</v>
      </c>
      <c r="C33" s="2685">
        <f ca="1">C31+C32</f>
        <v>10.9094</v>
      </c>
      <c r="D33" s="2675"/>
      <c r="E33" s="2675"/>
      <c r="F33" s="3714"/>
      <c r="G33" s="2676" t="s">
        <v>3660</v>
      </c>
    </row>
    <row r="34" spans="1:7" s="137" customFormat="1" ht="16.5" thickBot="1">
      <c r="A34" s="3728">
        <v>9</v>
      </c>
      <c r="B34" s="3729" t="s">
        <v>3639</v>
      </c>
      <c r="C34" s="2685">
        <f ca="1">ROUND(C33*F34,0)</f>
        <v>9</v>
      </c>
      <c r="D34" s="3730"/>
      <c r="E34" s="3730"/>
      <c r="F34" s="3841">
        <f>'数据-取费表'!AS16</f>
        <v>0.83799999999999997</v>
      </c>
      <c r="G34" s="2676" t="s">
        <v>3662</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B00-000000000000}">
      <formula1>"部分缴纳,全部缴纳"</formula1>
    </dataValidation>
    <dataValidation type="list" allowBlank="1" showInputMessage="1" showErrorMessage="1" sqref="C1" xr:uid="{00000000-0002-0000-2B00-000001000000}">
      <formula1>项目类型</formula1>
    </dataValidation>
    <dataValidation type="list" allowBlank="1" showInputMessage="1" showErrorMessage="1" sqref="G24" xr:uid="{00000000-0002-0000-2B00-000002000000}">
      <formula1>"已包含在土地取得成本中,未包含在土地取得成本中"</formula1>
    </dataValidation>
    <dataValidation type="list" allowBlank="1" showInputMessage="1" showErrorMessage="1" sqref="G21" xr:uid="{00000000-0002-0000-2B00-000003000000}">
      <formula1>"已包含在土地购买价格中,未包含在土地购买价格中"</formula1>
    </dataValidation>
    <dataValidation type="list" allowBlank="1" showInputMessage="1" showErrorMessage="1" sqref="G7" xr:uid="{00000000-0002-0000-2B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2501</v>
      </c>
      <c r="B1" s="2346" t="s">
        <v>2502</v>
      </c>
      <c r="C1" s="2346" t="s">
        <v>2503</v>
      </c>
      <c r="D1" s="2346" t="s">
        <v>2504</v>
      </c>
      <c r="E1" s="2346" t="s">
        <v>2505</v>
      </c>
      <c r="F1" s="2346" t="s">
        <v>2506</v>
      </c>
      <c r="G1" s="2346" t="s">
        <v>2507</v>
      </c>
      <c r="H1" s="2346" t="s">
        <v>2508</v>
      </c>
      <c r="I1" s="2346" t="s">
        <v>2509</v>
      </c>
      <c r="J1" s="2346" t="s">
        <v>2510</v>
      </c>
      <c r="K1" s="2346" t="s">
        <v>2511</v>
      </c>
      <c r="L1" s="2346" t="s">
        <v>2512</v>
      </c>
      <c r="M1" s="2347" t="s">
        <v>2513</v>
      </c>
    </row>
    <row r="2" spans="1:13" ht="19.5" customHeight="1">
      <c r="A2" s="2349" t="s">
        <v>2514</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2515</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2516</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2517</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2518</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2519</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2520</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2521</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2522</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2523</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2524</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2525</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2526</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2527</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2528</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2529</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2530</v>
      </c>
      <c r="B18" s="2358"/>
      <c r="C18" s="2359"/>
      <c r="D18" s="2359"/>
      <c r="E18" s="2358"/>
      <c r="F18" s="2359"/>
      <c r="G18" s="2359"/>
    </row>
    <row r="19" spans="1:13" ht="19.5" customHeight="1" thickBot="1">
      <c r="A19" s="2357" t="s">
        <v>2531</v>
      </c>
      <c r="B19" s="2361" t="s">
        <v>2532</v>
      </c>
      <c r="C19" s="2361" t="s">
        <v>2533</v>
      </c>
      <c r="D19" s="2362"/>
      <c r="E19" s="2357" t="s">
        <v>2534</v>
      </c>
      <c r="F19" s="2363"/>
      <c r="G19" s="2363"/>
    </row>
    <row r="20" spans="1:13" ht="19.5" customHeight="1">
      <c r="A20" s="4568" t="s">
        <v>2514</v>
      </c>
      <c r="B20" s="4561" t="s">
        <v>2535</v>
      </c>
      <c r="C20" s="2647" t="s">
        <v>2346</v>
      </c>
      <c r="D20" s="2647"/>
      <c r="E20" s="3465">
        <v>1</v>
      </c>
      <c r="F20" s="2366" t="s">
        <v>2347</v>
      </c>
      <c r="G20" s="2366"/>
    </row>
    <row r="21" spans="1:13" ht="19.5" customHeight="1">
      <c r="A21" s="4569"/>
      <c r="B21" s="4557"/>
      <c r="C21" s="2375" t="s">
        <v>2348</v>
      </c>
      <c r="D21" s="2375"/>
      <c r="E21" s="3466">
        <v>1</v>
      </c>
      <c r="F21" s="2366" t="s">
        <v>2349</v>
      </c>
      <c r="G21" s="2366"/>
    </row>
    <row r="22" spans="1:13" ht="19.5" customHeight="1">
      <c r="A22" s="4569"/>
      <c r="B22" s="4557"/>
      <c r="C22" s="2375" t="s">
        <v>2350</v>
      </c>
      <c r="D22" s="2375"/>
      <c r="E22" s="3466">
        <v>0.9</v>
      </c>
      <c r="F22" s="2366" t="s">
        <v>2351</v>
      </c>
      <c r="G22" s="2366"/>
    </row>
    <row r="23" spans="1:13" ht="19.5" customHeight="1">
      <c r="A23" s="4569"/>
      <c r="B23" s="4557"/>
      <c r="C23" s="2375" t="s">
        <v>2352</v>
      </c>
      <c r="D23" s="2375"/>
      <c r="E23" s="3466">
        <v>0.9</v>
      </c>
      <c r="F23" s="2366" t="s">
        <v>2353</v>
      </c>
      <c r="G23" s="2366"/>
    </row>
    <row r="24" spans="1:13" ht="19.5" customHeight="1">
      <c r="A24" s="4569"/>
      <c r="B24" s="4557"/>
      <c r="C24" s="2375" t="s">
        <v>2354</v>
      </c>
      <c r="D24" s="2375"/>
      <c r="E24" s="3466">
        <v>0.8</v>
      </c>
      <c r="F24" s="2366" t="s">
        <v>2355</v>
      </c>
      <c r="G24" s="2366"/>
    </row>
    <row r="25" spans="1:13" ht="19.5" customHeight="1">
      <c r="A25" s="4569"/>
      <c r="B25" s="4557"/>
      <c r="C25" s="2375" t="s">
        <v>2356</v>
      </c>
      <c r="D25" s="2375"/>
      <c r="E25" s="3466">
        <v>0.8</v>
      </c>
      <c r="F25" s="2366"/>
      <c r="G25" s="2366"/>
    </row>
    <row r="26" spans="1:13" ht="19.5" customHeight="1">
      <c r="A26" s="4569"/>
      <c r="B26" s="4557"/>
      <c r="C26" s="2375" t="s">
        <v>3297</v>
      </c>
      <c r="D26" s="2375"/>
      <c r="E26" s="3466">
        <v>0.43</v>
      </c>
      <c r="F26" s="2366"/>
      <c r="G26" s="2366"/>
    </row>
    <row r="27" spans="1:13" ht="19.5" customHeight="1" thickBot="1">
      <c r="A27" s="4570"/>
      <c r="B27" s="4562"/>
      <c r="C27" s="2644" t="s">
        <v>3298</v>
      </c>
      <c r="D27" s="2644"/>
      <c r="E27" s="3467">
        <f>E26*0.9</f>
        <v>0.38700000000000001</v>
      </c>
      <c r="F27" s="2366" t="s">
        <v>2357</v>
      </c>
      <c r="G27" s="2366"/>
    </row>
    <row r="28" spans="1:13" ht="19.5" customHeight="1" thickBot="1">
      <c r="A28" s="2643" t="s">
        <v>2536</v>
      </c>
      <c r="B28" s="2642" t="s">
        <v>2535</v>
      </c>
      <c r="C28" s="2645" t="s">
        <v>2537</v>
      </c>
      <c r="D28" s="2646"/>
      <c r="E28" s="3468">
        <v>1</v>
      </c>
      <c r="F28" s="2366" t="s">
        <v>2358</v>
      </c>
      <c r="G28" s="2366"/>
    </row>
    <row r="29" spans="1:13" ht="19.5" customHeight="1">
      <c r="A29" s="4563" t="s">
        <v>2538</v>
      </c>
      <c r="B29" s="4566" t="s">
        <v>2519</v>
      </c>
      <c r="C29" s="2364" t="s">
        <v>2359</v>
      </c>
      <c r="D29" s="2365"/>
      <c r="E29" s="3465">
        <v>1</v>
      </c>
      <c r="F29" s="2366" t="s">
        <v>2360</v>
      </c>
      <c r="G29" s="2366"/>
    </row>
    <row r="30" spans="1:13" ht="19.5" customHeight="1">
      <c r="A30" s="4564"/>
      <c r="B30" s="4560"/>
      <c r="C30" s="2367" t="s">
        <v>2361</v>
      </c>
      <c r="D30" s="2368"/>
      <c r="E30" s="3466">
        <v>1</v>
      </c>
      <c r="F30" s="2366" t="s">
        <v>2362</v>
      </c>
      <c r="G30" s="2366"/>
    </row>
    <row r="31" spans="1:13" ht="19.5" customHeight="1">
      <c r="A31" s="4564"/>
      <c r="B31" s="4560"/>
      <c r="C31" s="2367" t="s">
        <v>2363</v>
      </c>
      <c r="D31" s="2368"/>
      <c r="E31" s="3466">
        <v>0.8</v>
      </c>
      <c r="F31" s="2366" t="s">
        <v>2364</v>
      </c>
      <c r="G31" s="2366"/>
    </row>
    <row r="32" spans="1:13" ht="19.5" customHeight="1">
      <c r="A32" s="4564"/>
      <c r="B32" s="4560"/>
      <c r="C32" s="2367" t="s">
        <v>2365</v>
      </c>
      <c r="D32" s="2368"/>
      <c r="E32" s="3466">
        <v>0.8</v>
      </c>
      <c r="F32" s="2366" t="s">
        <v>2366</v>
      </c>
      <c r="G32" s="2366"/>
    </row>
    <row r="33" spans="1:7" ht="19.5" customHeight="1">
      <c r="A33" s="4564"/>
      <c r="B33" s="4560"/>
      <c r="C33" s="2367" t="s">
        <v>2367</v>
      </c>
      <c r="D33" s="2368"/>
      <c r="E33" s="3466">
        <v>0.8</v>
      </c>
      <c r="F33" s="2366" t="s">
        <v>2368</v>
      </c>
      <c r="G33" s="2366"/>
    </row>
    <row r="34" spans="1:7" ht="19.5" customHeight="1">
      <c r="A34" s="4564"/>
      <c r="B34" s="4560"/>
      <c r="C34" s="2367" t="s">
        <v>2369</v>
      </c>
      <c r="D34" s="2368"/>
      <c r="E34" s="3466">
        <v>0.7</v>
      </c>
      <c r="F34" s="2366" t="s">
        <v>2370</v>
      </c>
      <c r="G34" s="2366"/>
    </row>
    <row r="35" spans="1:7" ht="19.5" customHeight="1">
      <c r="A35" s="4564"/>
      <c r="B35" s="4560"/>
      <c r="C35" s="2367" t="s">
        <v>2371</v>
      </c>
      <c r="D35" s="2368"/>
      <c r="E35" s="3466">
        <v>0.8</v>
      </c>
      <c r="F35" s="2366" t="s">
        <v>2372</v>
      </c>
      <c r="G35" s="2366"/>
    </row>
    <row r="36" spans="1:7" ht="19.5" customHeight="1">
      <c r="A36" s="4564"/>
      <c r="B36" s="4560"/>
      <c r="C36" s="2367" t="s">
        <v>2373</v>
      </c>
      <c r="D36" s="2368"/>
      <c r="E36" s="3466">
        <v>0.6</v>
      </c>
      <c r="F36" s="2366" t="s">
        <v>2374</v>
      </c>
      <c r="G36" s="2366"/>
    </row>
    <row r="37" spans="1:7" ht="19.5" customHeight="1">
      <c r="A37" s="4564"/>
      <c r="B37" s="4560"/>
      <c r="C37" s="2367" t="s">
        <v>2375</v>
      </c>
      <c r="D37" s="2368"/>
      <c r="E37" s="3466">
        <v>0.2</v>
      </c>
      <c r="F37" s="2366" t="s">
        <v>2376</v>
      </c>
      <c r="G37" s="2366"/>
    </row>
    <row r="38" spans="1:7" ht="19.5" customHeight="1">
      <c r="A38" s="4564"/>
      <c r="B38" s="4560"/>
      <c r="C38" s="2367" t="s">
        <v>2377</v>
      </c>
      <c r="D38" s="2368"/>
      <c r="E38" s="3466">
        <v>0.2</v>
      </c>
      <c r="F38" s="2366" t="s">
        <v>2378</v>
      </c>
      <c r="G38" s="2366"/>
    </row>
    <row r="39" spans="1:7" ht="19.5" customHeight="1">
      <c r="A39" s="4564"/>
      <c r="B39" s="4558" t="s">
        <v>2539</v>
      </c>
      <c r="C39" s="2367" t="s">
        <v>2379</v>
      </c>
      <c r="D39" s="2368"/>
      <c r="E39" s="3466">
        <v>0.6</v>
      </c>
      <c r="F39" s="2366" t="s">
        <v>2380</v>
      </c>
      <c r="G39" s="2366"/>
    </row>
    <row r="40" spans="1:7" ht="19.5" customHeight="1">
      <c r="A40" s="4564"/>
      <c r="B40" s="4560"/>
      <c r="C40" s="2367" t="s">
        <v>2381</v>
      </c>
      <c r="D40" s="2368"/>
      <c r="E40" s="3466">
        <v>0.6</v>
      </c>
      <c r="F40" s="2366" t="s">
        <v>2382</v>
      </c>
      <c r="G40" s="2366"/>
    </row>
    <row r="41" spans="1:7" ht="19.5" customHeight="1" thickBot="1">
      <c r="A41" s="4565"/>
      <c r="B41" s="4567"/>
      <c r="C41" s="2369" t="s">
        <v>2383</v>
      </c>
      <c r="D41" s="2370"/>
      <c r="E41" s="3467">
        <v>0.6</v>
      </c>
      <c r="F41" s="2366" t="s">
        <v>2384</v>
      </c>
      <c r="G41" s="2366"/>
    </row>
    <row r="42" spans="1:7" ht="19.5" customHeight="1" thickBot="1">
      <c r="A42" s="2371" t="s">
        <v>2516</v>
      </c>
      <c r="B42" s="2372" t="s">
        <v>2516</v>
      </c>
      <c r="C42" s="2373" t="s">
        <v>2540</v>
      </c>
      <c r="D42" s="2374"/>
      <c r="E42" s="3469">
        <v>1</v>
      </c>
      <c r="F42" s="2366" t="s">
        <v>2385</v>
      </c>
      <c r="G42" s="2366"/>
    </row>
    <row r="43" spans="1:7" ht="19.5" customHeight="1">
      <c r="A43" s="4568" t="s">
        <v>2517</v>
      </c>
      <c r="B43" s="4566" t="s">
        <v>2541</v>
      </c>
      <c r="C43" s="2364" t="s">
        <v>2386</v>
      </c>
      <c r="D43" s="2365"/>
      <c r="E43" s="3465">
        <v>1</v>
      </c>
      <c r="F43" s="2366" t="s">
        <v>2387</v>
      </c>
      <c r="G43" s="2366"/>
    </row>
    <row r="44" spans="1:7" ht="19.5" customHeight="1">
      <c r="A44" s="4569"/>
      <c r="B44" s="4560"/>
      <c r="C44" s="2367" t="s">
        <v>2388</v>
      </c>
      <c r="D44" s="2368"/>
      <c r="E44" s="3466">
        <v>1</v>
      </c>
      <c r="F44" s="2366" t="s">
        <v>2389</v>
      </c>
      <c r="G44" s="2366"/>
    </row>
    <row r="45" spans="1:7" ht="19.5" customHeight="1">
      <c r="A45" s="4569"/>
      <c r="B45" s="4559"/>
      <c r="C45" s="2367" t="s">
        <v>2390</v>
      </c>
      <c r="D45" s="2368"/>
      <c r="E45" s="3466">
        <v>1.5</v>
      </c>
      <c r="F45" s="2366" t="s">
        <v>2391</v>
      </c>
      <c r="G45" s="2366"/>
    </row>
    <row r="46" spans="1:7" ht="19.5" customHeight="1">
      <c r="A46" s="4569"/>
      <c r="B46" s="2375" t="s">
        <v>2542</v>
      </c>
      <c r="C46" s="2367" t="s">
        <v>2543</v>
      </c>
      <c r="D46" s="2368"/>
      <c r="E46" s="3466">
        <v>2</v>
      </c>
      <c r="F46" s="2366" t="s">
        <v>2392</v>
      </c>
      <c r="G46" s="2366"/>
    </row>
    <row r="47" spans="1:7" ht="19.5" customHeight="1">
      <c r="A47" s="4569"/>
      <c r="B47" s="4558" t="s">
        <v>2544</v>
      </c>
      <c r="C47" s="2367" t="s">
        <v>2393</v>
      </c>
      <c r="D47" s="2368"/>
      <c r="E47" s="3466">
        <v>1</v>
      </c>
      <c r="F47" s="2366" t="s">
        <v>2394</v>
      </c>
      <c r="G47" s="2366"/>
    </row>
    <row r="48" spans="1:7" ht="19.5" customHeight="1">
      <c r="A48" s="4569"/>
      <c r="B48" s="4560"/>
      <c r="C48" s="2367" t="s">
        <v>2395</v>
      </c>
      <c r="D48" s="2368"/>
      <c r="E48" s="3466">
        <v>1</v>
      </c>
      <c r="F48" s="2366" t="s">
        <v>2396</v>
      </c>
      <c r="G48" s="2366"/>
    </row>
    <row r="49" spans="1:7" ht="19.5" customHeight="1">
      <c r="A49" s="4569"/>
      <c r="B49" s="4560"/>
      <c r="C49" s="2367" t="s">
        <v>2397</v>
      </c>
      <c r="D49" s="2368"/>
      <c r="E49" s="3466">
        <v>1</v>
      </c>
      <c r="F49" s="2366" t="s">
        <v>2398</v>
      </c>
      <c r="G49" s="2366"/>
    </row>
    <row r="50" spans="1:7" ht="19.5" customHeight="1">
      <c r="A50" s="4569"/>
      <c r="B50" s="4560"/>
      <c r="C50" s="2367" t="s">
        <v>2399</v>
      </c>
      <c r="D50" s="2368"/>
      <c r="E50" s="3466">
        <v>1</v>
      </c>
      <c r="F50" s="2366" t="s">
        <v>2400</v>
      </c>
      <c r="G50" s="2366"/>
    </row>
    <row r="51" spans="1:7" ht="19.5" customHeight="1">
      <c r="A51" s="4569"/>
      <c r="B51" s="4560"/>
      <c r="C51" s="2367" t="s">
        <v>2401</v>
      </c>
      <c r="D51" s="2368"/>
      <c r="E51" s="3466">
        <v>1</v>
      </c>
      <c r="F51" s="2366" t="s">
        <v>2402</v>
      </c>
      <c r="G51" s="2366"/>
    </row>
    <row r="52" spans="1:7" ht="19.5" customHeight="1">
      <c r="A52" s="4569"/>
      <c r="B52" s="4560"/>
      <c r="C52" s="2367" t="s">
        <v>2403</v>
      </c>
      <c r="D52" s="2368"/>
      <c r="E52" s="3466">
        <v>1</v>
      </c>
      <c r="F52" s="2366" t="s">
        <v>2404</v>
      </c>
      <c r="G52" s="2366"/>
    </row>
    <row r="53" spans="1:7" ht="19.5" customHeight="1" thickBot="1">
      <c r="A53" s="4570"/>
      <c r="B53" s="4567"/>
      <c r="C53" s="2369" t="s">
        <v>2405</v>
      </c>
      <c r="D53" s="2370"/>
      <c r="E53" s="3467">
        <v>1</v>
      </c>
      <c r="F53" s="2366" t="s">
        <v>2406</v>
      </c>
      <c r="G53" s="2366"/>
    </row>
    <row r="54" spans="1:7" ht="19.5" customHeight="1">
      <c r="A54" s="2376"/>
      <c r="B54" s="2376"/>
      <c r="C54" s="2376"/>
      <c r="D54" s="2376"/>
      <c r="E54" s="2376"/>
      <c r="F54" s="2376"/>
      <c r="G54" s="2376"/>
    </row>
    <row r="56" spans="1:7" ht="19.5" customHeight="1">
      <c r="A56" s="2377"/>
      <c r="B56" s="2355" t="s">
        <v>2545</v>
      </c>
      <c r="C56" s="2355" t="s">
        <v>2545</v>
      </c>
      <c r="D56" s="2355" t="s">
        <v>2545</v>
      </c>
      <c r="E56" s="2357" t="s">
        <v>2545</v>
      </c>
      <c r="F56" s="2357" t="s">
        <v>2546</v>
      </c>
      <c r="G56" s="2357" t="s">
        <v>2547</v>
      </c>
    </row>
    <row r="57" spans="1:7" ht="19.5" customHeight="1">
      <c r="A57" s="2378"/>
      <c r="B57" s="2357" t="s">
        <v>2514</v>
      </c>
      <c r="C57" s="2357" t="s">
        <v>2514</v>
      </c>
      <c r="D57" s="2357" t="s">
        <v>2514</v>
      </c>
      <c r="E57" s="2355" t="s">
        <v>2515</v>
      </c>
      <c r="F57" s="2355" t="s">
        <v>2517</v>
      </c>
      <c r="G57" s="2355" t="s">
        <v>2548</v>
      </c>
    </row>
    <row r="58" spans="1:7" ht="19.5" customHeight="1">
      <c r="A58" s="2379"/>
      <c r="B58" s="3460">
        <v>1</v>
      </c>
      <c r="C58" s="3460">
        <v>2</v>
      </c>
      <c r="D58" s="3460">
        <v>3</v>
      </c>
      <c r="E58" s="2380" t="s">
        <v>2549</v>
      </c>
      <c r="F58" s="2380" t="s">
        <v>2549</v>
      </c>
      <c r="G58" s="2380" t="s">
        <v>2549</v>
      </c>
    </row>
    <row r="59" spans="1:7" ht="19.5" customHeight="1">
      <c r="A59" s="2381" t="s">
        <v>2502</v>
      </c>
      <c r="B59" s="3457">
        <v>0.7</v>
      </c>
      <c r="C59" s="3457">
        <v>0.4</v>
      </c>
      <c r="D59" s="3457">
        <v>0.3</v>
      </c>
      <c r="E59" s="3470">
        <v>0.3</v>
      </c>
      <c r="F59" s="3457">
        <v>0.3</v>
      </c>
      <c r="G59" s="3457">
        <v>0.2</v>
      </c>
    </row>
    <row r="60" spans="1:7" ht="19.5" customHeight="1">
      <c r="A60" s="2381" t="s">
        <v>2503</v>
      </c>
      <c r="B60" s="3457">
        <v>0.7</v>
      </c>
      <c r="C60" s="3457">
        <v>0.4</v>
      </c>
      <c r="D60" s="3457">
        <v>0.3</v>
      </c>
      <c r="E60" s="3457">
        <v>0.3</v>
      </c>
      <c r="F60" s="3457">
        <v>0.3</v>
      </c>
      <c r="G60" s="3457">
        <v>0.2</v>
      </c>
    </row>
    <row r="61" spans="1:7" ht="19.5" customHeight="1">
      <c r="A61" s="2381" t="s">
        <v>2504</v>
      </c>
      <c r="B61" s="3457">
        <v>0.6</v>
      </c>
      <c r="C61" s="3457">
        <v>0.3</v>
      </c>
      <c r="D61" s="3457">
        <v>0.25</v>
      </c>
      <c r="E61" s="3457">
        <v>0.25</v>
      </c>
      <c r="F61" s="3457">
        <v>0.25</v>
      </c>
      <c r="G61" s="3457">
        <v>0.15</v>
      </c>
    </row>
    <row r="62" spans="1:7" ht="19.5" customHeight="1">
      <c r="A62" s="2381" t="s">
        <v>2505</v>
      </c>
      <c r="B62" s="3457">
        <v>0.6</v>
      </c>
      <c r="C62" s="3457">
        <v>0.3</v>
      </c>
      <c r="D62" s="3457">
        <v>0.25</v>
      </c>
      <c r="E62" s="3457">
        <v>0.25</v>
      </c>
      <c r="F62" s="3457">
        <v>0.25</v>
      </c>
      <c r="G62" s="3457">
        <v>0.15</v>
      </c>
    </row>
    <row r="63" spans="1:7" ht="19.5" customHeight="1">
      <c r="A63" s="2381" t="s">
        <v>2506</v>
      </c>
      <c r="B63" s="3457">
        <v>0.6</v>
      </c>
      <c r="C63" s="3457">
        <v>0.3</v>
      </c>
      <c r="D63" s="3457">
        <v>0.25</v>
      </c>
      <c r="E63" s="3457">
        <v>0.25</v>
      </c>
      <c r="F63" s="3457">
        <v>0.25</v>
      </c>
      <c r="G63" s="3457">
        <v>0.15</v>
      </c>
    </row>
    <row r="64" spans="1:7" ht="19.5" customHeight="1">
      <c r="A64" s="2381" t="s">
        <v>2507</v>
      </c>
      <c r="B64" s="3457">
        <v>0.6</v>
      </c>
      <c r="C64" s="3457">
        <v>0.3</v>
      </c>
      <c r="D64" s="3457">
        <v>0.25</v>
      </c>
      <c r="E64" s="3457">
        <v>0.25</v>
      </c>
      <c r="F64" s="3457">
        <v>0.25</v>
      </c>
      <c r="G64" s="3457">
        <v>0.15</v>
      </c>
    </row>
    <row r="65" spans="1:7" ht="19.5" customHeight="1">
      <c r="A65" s="2381" t="s">
        <v>2508</v>
      </c>
      <c r="B65" s="3457">
        <v>0.6</v>
      </c>
      <c r="C65" s="3457">
        <v>0.3</v>
      </c>
      <c r="D65" s="3457">
        <v>0.25</v>
      </c>
      <c r="E65" s="3457">
        <v>0.25</v>
      </c>
      <c r="F65" s="3457">
        <v>0.25</v>
      </c>
      <c r="G65" s="3457">
        <v>0.15</v>
      </c>
    </row>
    <row r="66" spans="1:7" ht="19.5" customHeight="1">
      <c r="A66" s="2381" t="s">
        <v>2509</v>
      </c>
      <c r="B66" s="3457">
        <v>0.5</v>
      </c>
      <c r="C66" s="3457">
        <v>0.2</v>
      </c>
      <c r="D66" s="3457">
        <v>0.2</v>
      </c>
      <c r="E66" s="3457">
        <v>0.2</v>
      </c>
      <c r="F66" s="3457">
        <v>0.2</v>
      </c>
      <c r="G66" s="3457">
        <v>0.1</v>
      </c>
    </row>
    <row r="67" spans="1:7" ht="19.5" customHeight="1">
      <c r="A67" s="2381" t="s">
        <v>2510</v>
      </c>
      <c r="B67" s="3457">
        <v>0.5</v>
      </c>
      <c r="C67" s="3457">
        <v>0.2</v>
      </c>
      <c r="D67" s="3457">
        <v>0.2</v>
      </c>
      <c r="E67" s="3457">
        <v>0.2</v>
      </c>
      <c r="F67" s="3457">
        <v>0.2</v>
      </c>
      <c r="G67" s="3457">
        <v>0.1</v>
      </c>
    </row>
    <row r="68" spans="1:7" ht="19.5" customHeight="1">
      <c r="A68" s="2381" t="s">
        <v>2511</v>
      </c>
      <c r="B68" s="3457">
        <v>0.5</v>
      </c>
      <c r="C68" s="3457">
        <v>0.2</v>
      </c>
      <c r="D68" s="3457">
        <v>0.2</v>
      </c>
      <c r="E68" s="3457">
        <v>0.2</v>
      </c>
      <c r="F68" s="3457">
        <v>0.2</v>
      </c>
      <c r="G68" s="3457">
        <v>0.1</v>
      </c>
    </row>
    <row r="69" spans="1:7" ht="19.5" customHeight="1">
      <c r="A69" s="2381" t="s">
        <v>2512</v>
      </c>
      <c r="B69" s="3457">
        <v>0.5</v>
      </c>
      <c r="C69" s="3457">
        <v>0.2</v>
      </c>
      <c r="D69" s="3457">
        <v>0.2</v>
      </c>
      <c r="E69" s="3457">
        <v>0.2</v>
      </c>
      <c r="F69" s="3457">
        <v>0.2</v>
      </c>
      <c r="G69" s="3457">
        <v>0.1</v>
      </c>
    </row>
    <row r="70" spans="1:7" ht="19.5" customHeight="1">
      <c r="A70" s="2381" t="s">
        <v>2513</v>
      </c>
      <c r="B70" s="3457">
        <v>0.5</v>
      </c>
      <c r="C70" s="3457">
        <v>0.2</v>
      </c>
      <c r="D70" s="3457">
        <v>0.2</v>
      </c>
      <c r="E70" s="3457">
        <v>0.2</v>
      </c>
      <c r="F70" s="3457">
        <v>0.2</v>
      </c>
      <c r="G70" s="3457">
        <v>0.1</v>
      </c>
    </row>
    <row r="72" spans="1:7" ht="19.5" customHeight="1">
      <c r="A72" s="2366"/>
      <c r="B72" s="2382"/>
      <c r="C72" s="2382"/>
      <c r="D72" s="2382" t="s">
        <v>2550</v>
      </c>
      <c r="E72" s="2382"/>
      <c r="F72" s="2382"/>
    </row>
    <row r="73" spans="1:7" ht="19.5" customHeight="1">
      <c r="A73" s="2375" t="s">
        <v>2551</v>
      </c>
      <c r="B73" s="2375" t="s">
        <v>2552</v>
      </c>
      <c r="C73" s="2375" t="s">
        <v>2553</v>
      </c>
      <c r="D73" s="2375" t="s">
        <v>2554</v>
      </c>
      <c r="E73" s="2375" t="s">
        <v>2555</v>
      </c>
      <c r="F73" s="2375" t="s">
        <v>2556</v>
      </c>
    </row>
    <row r="74" spans="1:7" ht="13.5">
      <c r="A74" s="2375"/>
      <c r="B74" s="2375"/>
      <c r="C74" s="2375" t="s">
        <v>2557</v>
      </c>
      <c r="D74" s="2375"/>
      <c r="E74" s="2375" t="s">
        <v>2528</v>
      </c>
      <c r="F74" s="2375" t="s">
        <v>2528</v>
      </c>
    </row>
    <row r="75" spans="1:7" ht="13.5">
      <c r="A75" s="2375">
        <v>1</v>
      </c>
      <c r="B75" s="4558" t="s">
        <v>2558</v>
      </c>
      <c r="C75" s="2355" t="s">
        <v>2559</v>
      </c>
      <c r="D75" s="2355" t="s">
        <v>2560</v>
      </c>
      <c r="E75" s="3471">
        <v>0.2</v>
      </c>
      <c r="F75" s="3472">
        <v>25</v>
      </c>
    </row>
    <row r="76" spans="1:7" ht="24">
      <c r="A76" s="2375">
        <v>2</v>
      </c>
      <c r="B76" s="4560"/>
      <c r="C76" s="2355" t="s">
        <v>2561</v>
      </c>
      <c r="D76" s="2355" t="s">
        <v>2562</v>
      </c>
      <c r="E76" s="3471">
        <v>0.2</v>
      </c>
      <c r="F76" s="3472">
        <v>25</v>
      </c>
    </row>
    <row r="77" spans="1:7" ht="24">
      <c r="A77" s="2375">
        <v>3</v>
      </c>
      <c r="B77" s="4560"/>
      <c r="C77" s="2355" t="s">
        <v>2563</v>
      </c>
      <c r="D77" s="2355" t="s">
        <v>2564</v>
      </c>
      <c r="E77" s="3471">
        <v>0.2</v>
      </c>
      <c r="F77" s="3472">
        <v>25</v>
      </c>
    </row>
    <row r="78" spans="1:7" ht="13.5">
      <c r="A78" s="2375">
        <v>4</v>
      </c>
      <c r="B78" s="4560"/>
      <c r="C78" s="2355" t="s">
        <v>2565</v>
      </c>
      <c r="D78" s="2355" t="s">
        <v>2566</v>
      </c>
      <c r="E78" s="3471">
        <v>0.15</v>
      </c>
      <c r="F78" s="3472">
        <v>20</v>
      </c>
    </row>
    <row r="79" spans="1:7" ht="24">
      <c r="A79" s="2375">
        <v>5</v>
      </c>
      <c r="B79" s="4560"/>
      <c r="C79" s="2355" t="s">
        <v>2567</v>
      </c>
      <c r="D79" s="2355" t="s">
        <v>2568</v>
      </c>
      <c r="E79" s="3471">
        <v>0.15</v>
      </c>
      <c r="F79" s="3472">
        <v>20</v>
      </c>
    </row>
    <row r="80" spans="1:7" ht="24">
      <c r="A80" s="2375">
        <v>6</v>
      </c>
      <c r="B80" s="4560"/>
      <c r="C80" s="2355" t="s">
        <v>2569</v>
      </c>
      <c r="D80" s="2355" t="s">
        <v>2570</v>
      </c>
      <c r="E80" s="3471">
        <v>0.15</v>
      </c>
      <c r="F80" s="3472">
        <v>20</v>
      </c>
    </row>
    <row r="81" spans="1:6" ht="24">
      <c r="A81" s="2375">
        <v>7</v>
      </c>
      <c r="B81" s="4560"/>
      <c r="C81" s="2355" t="s">
        <v>2571</v>
      </c>
      <c r="D81" s="2355" t="s">
        <v>2572</v>
      </c>
      <c r="E81" s="3471">
        <v>0.15</v>
      </c>
      <c r="F81" s="3472">
        <v>20</v>
      </c>
    </row>
    <row r="82" spans="1:6" ht="24">
      <c r="A82" s="2375">
        <v>8</v>
      </c>
      <c r="B82" s="4560"/>
      <c r="C82" s="2355" t="s">
        <v>2573</v>
      </c>
      <c r="D82" s="2355" t="s">
        <v>2574</v>
      </c>
      <c r="E82" s="3471">
        <v>0.1</v>
      </c>
      <c r="F82" s="3472">
        <v>15</v>
      </c>
    </row>
    <row r="83" spans="1:6" ht="24">
      <c r="A83" s="2375">
        <v>9</v>
      </c>
      <c r="B83" s="4560"/>
      <c r="C83" s="2355" t="s">
        <v>2575</v>
      </c>
      <c r="D83" s="2355" t="s">
        <v>2576</v>
      </c>
      <c r="E83" s="3471">
        <v>0.1</v>
      </c>
      <c r="F83" s="3472">
        <v>15</v>
      </c>
    </row>
    <row r="84" spans="1:6" ht="24">
      <c r="A84" s="2375">
        <v>10</v>
      </c>
      <c r="B84" s="4560"/>
      <c r="C84" s="2355" t="s">
        <v>2577</v>
      </c>
      <c r="D84" s="2355" t="s">
        <v>2578</v>
      </c>
      <c r="E84" s="3471">
        <v>0.1</v>
      </c>
      <c r="F84" s="3472">
        <v>15</v>
      </c>
    </row>
    <row r="85" spans="1:6" ht="24">
      <c r="A85" s="2375">
        <v>11</v>
      </c>
      <c r="B85" s="4560"/>
      <c r="C85" s="2355" t="s">
        <v>2579</v>
      </c>
      <c r="D85" s="2355" t="s">
        <v>2580</v>
      </c>
      <c r="E85" s="3471">
        <v>0.1</v>
      </c>
      <c r="F85" s="3472">
        <v>15</v>
      </c>
    </row>
    <row r="86" spans="1:6" ht="24">
      <c r="A86" s="2375">
        <v>12</v>
      </c>
      <c r="B86" s="4560"/>
      <c r="C86" s="2355" t="s">
        <v>2581</v>
      </c>
      <c r="D86" s="2355" t="s">
        <v>2582</v>
      </c>
      <c r="E86" s="3471">
        <v>0.1</v>
      </c>
      <c r="F86" s="3472">
        <v>15</v>
      </c>
    </row>
    <row r="87" spans="1:6" ht="13.5">
      <c r="A87" s="2375">
        <v>13</v>
      </c>
      <c r="B87" s="4560"/>
      <c r="C87" s="2355" t="s">
        <v>2583</v>
      </c>
      <c r="D87" s="2355" t="s">
        <v>2584</v>
      </c>
      <c r="E87" s="3471">
        <v>0.1</v>
      </c>
      <c r="F87" s="3472">
        <v>15</v>
      </c>
    </row>
    <row r="88" spans="1:6" ht="13.5">
      <c r="A88" s="2375">
        <v>14</v>
      </c>
      <c r="B88" s="4560"/>
      <c r="C88" s="2355" t="s">
        <v>2585</v>
      </c>
      <c r="D88" s="2355" t="s">
        <v>2586</v>
      </c>
      <c r="E88" s="3471">
        <v>0.1</v>
      </c>
      <c r="F88" s="3472">
        <v>15</v>
      </c>
    </row>
    <row r="89" spans="1:6" ht="13.5">
      <c r="A89" s="2375">
        <v>15</v>
      </c>
      <c r="B89" s="4560"/>
      <c r="C89" s="2355" t="s">
        <v>2587</v>
      </c>
      <c r="D89" s="2355" t="s">
        <v>2588</v>
      </c>
      <c r="E89" s="3471">
        <v>0.1</v>
      </c>
      <c r="F89" s="3472">
        <v>15</v>
      </c>
    </row>
    <row r="90" spans="1:6" ht="24">
      <c r="A90" s="2375">
        <v>16</v>
      </c>
      <c r="B90" s="4560"/>
      <c r="C90" s="2355" t="s">
        <v>2589</v>
      </c>
      <c r="D90" s="2355" t="s">
        <v>2590</v>
      </c>
      <c r="E90" s="3471">
        <v>0.1</v>
      </c>
      <c r="F90" s="3472">
        <v>15</v>
      </c>
    </row>
    <row r="91" spans="1:6" ht="24">
      <c r="A91" s="2375">
        <v>17</v>
      </c>
      <c r="B91" s="4559"/>
      <c r="C91" s="2355" t="s">
        <v>2591</v>
      </c>
      <c r="D91" s="2355" t="s">
        <v>2592</v>
      </c>
      <c r="E91" s="3471">
        <v>0.1</v>
      </c>
      <c r="F91" s="3472">
        <v>15</v>
      </c>
    </row>
    <row r="92" spans="1:6" ht="13.5">
      <c r="A92" s="2375">
        <v>18</v>
      </c>
      <c r="B92" s="4558" t="s">
        <v>2593</v>
      </c>
      <c r="C92" s="2355" t="s">
        <v>2594</v>
      </c>
      <c r="D92" s="2355" t="s">
        <v>2595</v>
      </c>
      <c r="E92" s="3471">
        <v>0.2</v>
      </c>
      <c r="F92" s="3472">
        <v>25</v>
      </c>
    </row>
    <row r="93" spans="1:6" ht="24">
      <c r="A93" s="2375">
        <v>19</v>
      </c>
      <c r="B93" s="4560"/>
      <c r="C93" s="2355" t="s">
        <v>2596</v>
      </c>
      <c r="D93" s="2355" t="s">
        <v>2597</v>
      </c>
      <c r="E93" s="3471">
        <v>0.2</v>
      </c>
      <c r="F93" s="3472">
        <v>25</v>
      </c>
    </row>
    <row r="94" spans="1:6" ht="13.5">
      <c r="A94" s="2375">
        <v>20</v>
      </c>
      <c r="B94" s="4560"/>
      <c r="C94" s="2355" t="s">
        <v>2598</v>
      </c>
      <c r="D94" s="2355" t="s">
        <v>2599</v>
      </c>
      <c r="E94" s="3471">
        <v>0.15</v>
      </c>
      <c r="F94" s="3472">
        <v>20</v>
      </c>
    </row>
    <row r="95" spans="1:6" ht="13.5">
      <c r="A95" s="2375">
        <v>21</v>
      </c>
      <c r="B95" s="4560"/>
      <c r="C95" s="2355" t="s">
        <v>2600</v>
      </c>
      <c r="D95" s="2355" t="s">
        <v>2601</v>
      </c>
      <c r="E95" s="3471">
        <v>0.15</v>
      </c>
      <c r="F95" s="3472">
        <v>20</v>
      </c>
    </row>
    <row r="96" spans="1:6" ht="13.5">
      <c r="A96" s="2375">
        <v>22</v>
      </c>
      <c r="B96" s="4560"/>
      <c r="C96" s="2355" t="s">
        <v>2602</v>
      </c>
      <c r="D96" s="2355" t="s">
        <v>2603</v>
      </c>
      <c r="E96" s="3471">
        <v>0.15</v>
      </c>
      <c r="F96" s="3472">
        <v>20</v>
      </c>
    </row>
    <row r="97" spans="1:6" ht="36">
      <c r="A97" s="2375">
        <v>23</v>
      </c>
      <c r="B97" s="4560"/>
      <c r="C97" s="2355" t="s">
        <v>2604</v>
      </c>
      <c r="D97" s="2355" t="s">
        <v>2605</v>
      </c>
      <c r="E97" s="3471">
        <v>0.15</v>
      </c>
      <c r="F97" s="3472">
        <v>20</v>
      </c>
    </row>
    <row r="98" spans="1:6" ht="13.5">
      <c r="A98" s="2375">
        <v>24</v>
      </c>
      <c r="B98" s="4560"/>
      <c r="C98" s="2355" t="s">
        <v>2606</v>
      </c>
      <c r="D98" s="2355" t="s">
        <v>2607</v>
      </c>
      <c r="E98" s="3471">
        <v>0.1</v>
      </c>
      <c r="F98" s="3472">
        <v>15</v>
      </c>
    </row>
    <row r="99" spans="1:6" ht="13.5">
      <c r="A99" s="2375">
        <v>25</v>
      </c>
      <c r="B99" s="4560"/>
      <c r="C99" s="2355" t="s">
        <v>2608</v>
      </c>
      <c r="D99" s="2355" t="s">
        <v>2609</v>
      </c>
      <c r="E99" s="3471">
        <v>0.1</v>
      </c>
      <c r="F99" s="3472">
        <v>15</v>
      </c>
    </row>
    <row r="100" spans="1:6" ht="24">
      <c r="A100" s="2375">
        <v>26</v>
      </c>
      <c r="B100" s="4560"/>
      <c r="C100" s="2355" t="s">
        <v>2610</v>
      </c>
      <c r="D100" s="2355" t="s">
        <v>2611</v>
      </c>
      <c r="E100" s="3471">
        <v>0.1</v>
      </c>
      <c r="F100" s="3472">
        <v>15</v>
      </c>
    </row>
    <row r="101" spans="1:6" ht="24">
      <c r="A101" s="2375">
        <v>27</v>
      </c>
      <c r="B101" s="4560"/>
      <c r="C101" s="2355" t="s">
        <v>2612</v>
      </c>
      <c r="D101" s="2355" t="s">
        <v>2613</v>
      </c>
      <c r="E101" s="3471">
        <v>0.1</v>
      </c>
      <c r="F101" s="3472">
        <v>15</v>
      </c>
    </row>
    <row r="102" spans="1:6" ht="13.5">
      <c r="A102" s="2375">
        <v>28</v>
      </c>
      <c r="B102" s="4560"/>
      <c r="C102" s="2355" t="s">
        <v>2614</v>
      </c>
      <c r="D102" s="2355" t="s">
        <v>2615</v>
      </c>
      <c r="E102" s="3471">
        <v>0.1</v>
      </c>
      <c r="F102" s="3472">
        <v>15</v>
      </c>
    </row>
    <row r="103" spans="1:6" ht="13.5">
      <c r="A103" s="2375">
        <v>29</v>
      </c>
      <c r="B103" s="4560"/>
      <c r="C103" s="2355" t="s">
        <v>2616</v>
      </c>
      <c r="D103" s="2355" t="s">
        <v>2617</v>
      </c>
      <c r="E103" s="3471">
        <v>0.1</v>
      </c>
      <c r="F103" s="3472">
        <v>15</v>
      </c>
    </row>
    <row r="104" spans="1:6" ht="13.5">
      <c r="A104" s="2375">
        <v>30</v>
      </c>
      <c r="B104" s="4560"/>
      <c r="C104" s="2355" t="s">
        <v>2618</v>
      </c>
      <c r="D104" s="2355" t="s">
        <v>2619</v>
      </c>
      <c r="E104" s="3471">
        <v>0.1</v>
      </c>
      <c r="F104" s="3472">
        <v>15</v>
      </c>
    </row>
    <row r="105" spans="1:6" ht="24">
      <c r="A105" s="2375">
        <v>31</v>
      </c>
      <c r="B105" s="4560"/>
      <c r="C105" s="2355" t="s">
        <v>2620</v>
      </c>
      <c r="D105" s="2355" t="s">
        <v>2621</v>
      </c>
      <c r="E105" s="3471">
        <v>0.1</v>
      </c>
      <c r="F105" s="3472">
        <v>15</v>
      </c>
    </row>
    <row r="106" spans="1:6" ht="24">
      <c r="A106" s="2375">
        <v>32</v>
      </c>
      <c r="B106" s="4560"/>
      <c r="C106" s="2355" t="s">
        <v>2622</v>
      </c>
      <c r="D106" s="2355" t="s">
        <v>2623</v>
      </c>
      <c r="E106" s="3471">
        <v>0.1</v>
      </c>
      <c r="F106" s="3472">
        <v>15</v>
      </c>
    </row>
    <row r="107" spans="1:6" ht="24">
      <c r="A107" s="2375">
        <v>33</v>
      </c>
      <c r="B107" s="4560"/>
      <c r="C107" s="2355" t="s">
        <v>2624</v>
      </c>
      <c r="D107" s="2355" t="s">
        <v>2625</v>
      </c>
      <c r="E107" s="3471">
        <v>0.1</v>
      </c>
      <c r="F107" s="3472">
        <v>15</v>
      </c>
    </row>
    <row r="108" spans="1:6" ht="24">
      <c r="A108" s="2375">
        <v>34</v>
      </c>
      <c r="B108" s="4559"/>
      <c r="C108" s="2355" t="s">
        <v>2626</v>
      </c>
      <c r="D108" s="2355" t="s">
        <v>2627</v>
      </c>
      <c r="E108" s="3471">
        <v>0.1</v>
      </c>
      <c r="F108" s="3472">
        <v>15</v>
      </c>
    </row>
    <row r="109" spans="1:6" ht="24">
      <c r="A109" s="2375">
        <v>35</v>
      </c>
      <c r="B109" s="4558" t="s">
        <v>2628</v>
      </c>
      <c r="C109" s="2375" t="s">
        <v>2629</v>
      </c>
      <c r="D109" s="2355" t="s">
        <v>2630</v>
      </c>
      <c r="E109" s="3471">
        <v>0.15</v>
      </c>
      <c r="F109" s="3472">
        <v>20</v>
      </c>
    </row>
    <row r="110" spans="1:6" ht="13.5">
      <c r="A110" s="2375">
        <v>36</v>
      </c>
      <c r="B110" s="4560"/>
      <c r="C110" s="2375" t="s">
        <v>2631</v>
      </c>
      <c r="D110" s="2355" t="s">
        <v>2632</v>
      </c>
      <c r="E110" s="3471">
        <v>0.15</v>
      </c>
      <c r="F110" s="3472">
        <v>20</v>
      </c>
    </row>
    <row r="111" spans="1:6" ht="13.5">
      <c r="A111" s="2375">
        <v>37</v>
      </c>
      <c r="B111" s="4560"/>
      <c r="C111" s="2375" t="s">
        <v>2633</v>
      </c>
      <c r="D111" s="2355" t="s">
        <v>2634</v>
      </c>
      <c r="E111" s="3471">
        <v>0.15</v>
      </c>
      <c r="F111" s="3472">
        <v>20</v>
      </c>
    </row>
    <row r="112" spans="1:6" ht="13.5">
      <c r="A112" s="2375">
        <v>38</v>
      </c>
      <c r="B112" s="4560"/>
      <c r="C112" s="2375" t="s">
        <v>2635</v>
      </c>
      <c r="D112" s="2355" t="s">
        <v>2636</v>
      </c>
      <c r="E112" s="3471">
        <v>0.1</v>
      </c>
      <c r="F112" s="3472">
        <v>15</v>
      </c>
    </row>
    <row r="113" spans="1:6" ht="24">
      <c r="A113" s="2375">
        <v>39</v>
      </c>
      <c r="B113" s="4560"/>
      <c r="C113" s="2375" t="s">
        <v>2637</v>
      </c>
      <c r="D113" s="2355" t="s">
        <v>2638</v>
      </c>
      <c r="E113" s="3471">
        <v>0.1</v>
      </c>
      <c r="F113" s="3472">
        <v>15</v>
      </c>
    </row>
    <row r="114" spans="1:6" ht="24">
      <c r="A114" s="2375">
        <v>40</v>
      </c>
      <c r="B114" s="4559"/>
      <c r="C114" s="2375" t="s">
        <v>2639</v>
      </c>
      <c r="D114" s="2355" t="s">
        <v>2640</v>
      </c>
      <c r="E114" s="3471">
        <v>0.1</v>
      </c>
      <c r="F114" s="3472">
        <v>15</v>
      </c>
    </row>
    <row r="115" spans="1:6" ht="13.5">
      <c r="A115" s="2375">
        <v>41</v>
      </c>
      <c r="B115" s="4557" t="s">
        <v>2641</v>
      </c>
      <c r="C115" s="2375" t="s">
        <v>2642</v>
      </c>
      <c r="D115" s="2355" t="s">
        <v>2643</v>
      </c>
      <c r="E115" s="3471">
        <v>0.1</v>
      </c>
      <c r="F115" s="3472">
        <v>15</v>
      </c>
    </row>
    <row r="116" spans="1:6" ht="13.5">
      <c r="A116" s="2375">
        <v>42</v>
      </c>
      <c r="B116" s="4557"/>
      <c r="C116" s="2375" t="s">
        <v>2644</v>
      </c>
      <c r="D116" s="2355" t="s">
        <v>2645</v>
      </c>
      <c r="E116" s="3471">
        <v>0.1</v>
      </c>
      <c r="F116" s="3472">
        <v>15</v>
      </c>
    </row>
    <row r="117" spans="1:6" ht="24">
      <c r="A117" s="2375">
        <v>43</v>
      </c>
      <c r="B117" s="4557"/>
      <c r="C117" s="2375" t="s">
        <v>2646</v>
      </c>
      <c r="D117" s="2355" t="s">
        <v>2647</v>
      </c>
      <c r="E117" s="3471">
        <v>0.1</v>
      </c>
      <c r="F117" s="3472">
        <v>15</v>
      </c>
    </row>
    <row r="118" spans="1:6" ht="13.5">
      <c r="A118" s="2375">
        <v>44</v>
      </c>
      <c r="B118" s="4558" t="s">
        <v>2648</v>
      </c>
      <c r="C118" s="2375" t="s">
        <v>2649</v>
      </c>
      <c r="D118" s="2355" t="s">
        <v>2650</v>
      </c>
      <c r="E118" s="3471">
        <v>0.1</v>
      </c>
      <c r="F118" s="3472">
        <v>15</v>
      </c>
    </row>
    <row r="119" spans="1:6" ht="24">
      <c r="A119" s="2375">
        <v>45</v>
      </c>
      <c r="B119" s="4559"/>
      <c r="C119" s="2355" t="s">
        <v>2651</v>
      </c>
      <c r="D119" s="2355" t="s">
        <v>2652</v>
      </c>
      <c r="E119" s="3471">
        <v>0.1</v>
      </c>
      <c r="F119" s="3472">
        <v>15</v>
      </c>
    </row>
    <row r="120" spans="1:6" ht="24">
      <c r="A120" s="2375">
        <v>46</v>
      </c>
      <c r="B120" s="4558" t="s">
        <v>2653</v>
      </c>
      <c r="C120" s="2375" t="s">
        <v>2654</v>
      </c>
      <c r="D120" s="2355" t="s">
        <v>2655</v>
      </c>
      <c r="E120" s="3471">
        <v>0.1</v>
      </c>
      <c r="F120" s="3472">
        <v>15</v>
      </c>
    </row>
    <row r="121" spans="1:6" ht="24">
      <c r="A121" s="2375">
        <v>47</v>
      </c>
      <c r="B121" s="4559"/>
      <c r="C121" s="2375" t="s">
        <v>2656</v>
      </c>
      <c r="D121" s="2355" t="s">
        <v>2657</v>
      </c>
      <c r="E121" s="3471">
        <v>0.1</v>
      </c>
      <c r="F121" s="3472">
        <v>15</v>
      </c>
    </row>
    <row r="122" spans="1:6" ht="13.5">
      <c r="A122" s="2375">
        <v>48</v>
      </c>
      <c r="B122" s="4558" t="s">
        <v>2658</v>
      </c>
      <c r="C122" s="2375" t="s">
        <v>2659</v>
      </c>
      <c r="D122" s="2355" t="s">
        <v>2660</v>
      </c>
      <c r="E122" s="3471">
        <v>0.1</v>
      </c>
      <c r="F122" s="3472">
        <v>15</v>
      </c>
    </row>
    <row r="123" spans="1:6" ht="13.5">
      <c r="A123" s="2375">
        <v>49</v>
      </c>
      <c r="B123" s="4559"/>
      <c r="C123" s="2375" t="s">
        <v>2661</v>
      </c>
      <c r="D123" s="2355" t="s">
        <v>2662</v>
      </c>
      <c r="E123" s="3471">
        <v>0.1</v>
      </c>
      <c r="F123" s="3472">
        <v>15</v>
      </c>
    </row>
    <row r="124" spans="1:6" ht="24">
      <c r="A124" s="2375">
        <v>50</v>
      </c>
      <c r="B124" s="4557" t="s">
        <v>2663</v>
      </c>
      <c r="C124" s="2375" t="s">
        <v>2664</v>
      </c>
      <c r="D124" s="2355" t="s">
        <v>2665</v>
      </c>
      <c r="E124" s="3471">
        <v>0.1</v>
      </c>
      <c r="F124" s="3472">
        <v>15</v>
      </c>
    </row>
    <row r="125" spans="1:6" ht="24">
      <c r="A125" s="2375">
        <v>51</v>
      </c>
      <c r="B125" s="4557"/>
      <c r="C125" s="2375" t="s">
        <v>2666</v>
      </c>
      <c r="D125" s="2355" t="s">
        <v>2667</v>
      </c>
      <c r="E125" s="3471">
        <v>0.1</v>
      </c>
      <c r="F125" s="3472">
        <v>15</v>
      </c>
    </row>
    <row r="126" spans="1:6" ht="24">
      <c r="A126" s="2375">
        <v>52</v>
      </c>
      <c r="B126" s="4557" t="s">
        <v>2668</v>
      </c>
      <c r="C126" s="2375" t="s">
        <v>2669</v>
      </c>
      <c r="D126" s="2355" t="s">
        <v>2670</v>
      </c>
      <c r="E126" s="3471">
        <v>0.1</v>
      </c>
      <c r="F126" s="3472">
        <v>15</v>
      </c>
    </row>
    <row r="127" spans="1:6" ht="24">
      <c r="A127" s="2375">
        <v>53</v>
      </c>
      <c r="B127" s="4557"/>
      <c r="C127" s="2375" t="s">
        <v>2671</v>
      </c>
      <c r="D127" s="2355" t="s">
        <v>2672</v>
      </c>
      <c r="E127" s="3471">
        <v>0.1</v>
      </c>
      <c r="F127" s="3472">
        <v>15</v>
      </c>
    </row>
    <row r="128" spans="1:6" ht="13.5">
      <c r="A128" s="2375">
        <v>54</v>
      </c>
      <c r="B128" s="2375" t="s">
        <v>2673</v>
      </c>
      <c r="C128" s="2375" t="s">
        <v>2674</v>
      </c>
      <c r="D128" s="2355" t="s">
        <v>2675</v>
      </c>
      <c r="E128" s="3471">
        <v>0.1</v>
      </c>
      <c r="F128" s="3472">
        <v>15</v>
      </c>
    </row>
    <row r="129" spans="1:6" ht="13.5">
      <c r="A129" s="2375">
        <v>55</v>
      </c>
      <c r="B129" s="4557" t="s">
        <v>2676</v>
      </c>
      <c r="C129" s="2375" t="s">
        <v>2677</v>
      </c>
      <c r="D129" s="2355" t="s">
        <v>2678</v>
      </c>
      <c r="E129" s="3471">
        <v>0.1</v>
      </c>
      <c r="F129" s="3472">
        <v>15</v>
      </c>
    </row>
    <row r="130" spans="1:6" ht="13.5">
      <c r="A130" s="2375">
        <v>56</v>
      </c>
      <c r="B130" s="4557"/>
      <c r="C130" s="2375" t="s">
        <v>2679</v>
      </c>
      <c r="D130" s="2355" t="s">
        <v>2680</v>
      </c>
      <c r="E130" s="3471">
        <v>0.1</v>
      </c>
      <c r="F130" s="3472">
        <v>15</v>
      </c>
    </row>
    <row r="131" spans="1:6" ht="24">
      <c r="A131" s="2375">
        <v>57</v>
      </c>
      <c r="B131" s="4557"/>
      <c r="C131" s="2375" t="s">
        <v>2681</v>
      </c>
      <c r="D131" s="2355" t="s">
        <v>2682</v>
      </c>
      <c r="E131" s="3471">
        <v>0.1</v>
      </c>
      <c r="F131" s="3472">
        <v>15</v>
      </c>
    </row>
    <row r="132" spans="1:6" ht="24">
      <c r="A132" s="2375">
        <v>58</v>
      </c>
      <c r="B132" s="4557" t="s">
        <v>2683</v>
      </c>
      <c r="C132" s="2375" t="s">
        <v>2684</v>
      </c>
      <c r="D132" s="2355" t="s">
        <v>2685</v>
      </c>
      <c r="E132" s="3471">
        <v>0.1</v>
      </c>
      <c r="F132" s="3472">
        <v>15</v>
      </c>
    </row>
    <row r="133" spans="1:6" ht="13.5">
      <c r="A133" s="2375">
        <v>59</v>
      </c>
      <c r="B133" s="4557"/>
      <c r="C133" s="2375" t="s">
        <v>2686</v>
      </c>
      <c r="D133" s="2355" t="s">
        <v>2687</v>
      </c>
      <c r="E133" s="3471">
        <v>0.1</v>
      </c>
      <c r="F133" s="3472">
        <v>15</v>
      </c>
    </row>
    <row r="134" spans="1:6" ht="13.5">
      <c r="A134" s="2375">
        <v>60</v>
      </c>
      <c r="B134" s="4558" t="s">
        <v>2688</v>
      </c>
      <c r="C134" s="2375" t="s">
        <v>2689</v>
      </c>
      <c r="D134" s="2355" t="s">
        <v>2690</v>
      </c>
      <c r="E134" s="3471">
        <v>0.1</v>
      </c>
      <c r="F134" s="3472">
        <v>15</v>
      </c>
    </row>
    <row r="135" spans="1:6" ht="13.5">
      <c r="A135" s="2375">
        <v>61</v>
      </c>
      <c r="B135" s="4559"/>
      <c r="C135" s="2375" t="s">
        <v>2691</v>
      </c>
      <c r="D135" s="2355" t="s">
        <v>2692</v>
      </c>
      <c r="E135" s="3471">
        <v>0.1</v>
      </c>
      <c r="F135" s="3472">
        <v>15</v>
      </c>
    </row>
    <row r="136" spans="1:6" ht="24">
      <c r="A136" s="2375">
        <v>62</v>
      </c>
      <c r="B136" s="2375" t="s">
        <v>2693</v>
      </c>
      <c r="C136" s="2375" t="s">
        <v>2694</v>
      </c>
      <c r="D136" s="2355" t="s">
        <v>2695</v>
      </c>
      <c r="E136" s="3471">
        <v>0.1</v>
      </c>
      <c r="F136" s="3472">
        <v>15</v>
      </c>
    </row>
    <row r="137" spans="1:6" ht="13.5">
      <c r="A137" s="2375">
        <v>63</v>
      </c>
      <c r="B137" s="4557" t="s">
        <v>2696</v>
      </c>
      <c r="C137" s="2375" t="s">
        <v>2697</v>
      </c>
      <c r="D137" s="2355" t="s">
        <v>2698</v>
      </c>
      <c r="E137" s="3471">
        <v>0.1</v>
      </c>
      <c r="F137" s="3472">
        <v>15</v>
      </c>
    </row>
    <row r="138" spans="1:6" ht="13.5">
      <c r="A138" s="2375">
        <v>64</v>
      </c>
      <c r="B138" s="4557"/>
      <c r="C138" s="2375" t="s">
        <v>2699</v>
      </c>
      <c r="D138" s="2355" t="s">
        <v>2700</v>
      </c>
      <c r="E138" s="3471">
        <v>0.1</v>
      </c>
      <c r="F138" s="3472">
        <v>15</v>
      </c>
    </row>
    <row r="139" spans="1:6" ht="13.5">
      <c r="A139" s="2375">
        <v>65</v>
      </c>
      <c r="B139" s="2375" t="s">
        <v>2701</v>
      </c>
      <c r="C139" s="2375" t="s">
        <v>2702</v>
      </c>
      <c r="D139" s="2355" t="s">
        <v>2703</v>
      </c>
      <c r="E139" s="3471">
        <v>0.1</v>
      </c>
      <c r="F139" s="3472">
        <v>15</v>
      </c>
    </row>
    <row r="140" spans="1:6" ht="13.5">
      <c r="A140" s="2375"/>
      <c r="B140" s="2375"/>
      <c r="C140" s="2375"/>
      <c r="D140" s="2375"/>
      <c r="E140" s="2375" t="s">
        <v>2704</v>
      </c>
      <c r="F140" s="2375" t="s">
        <v>2704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2705</v>
      </c>
      <c r="B1" s="2383"/>
      <c r="C1" s="2383"/>
      <c r="D1" s="2383"/>
      <c r="E1" s="2383"/>
      <c r="F1" s="2383"/>
      <c r="G1" s="2383"/>
      <c r="H1" s="2383"/>
      <c r="I1" s="2383"/>
      <c r="J1" s="2383"/>
      <c r="K1" s="2383"/>
      <c r="L1" s="2383"/>
      <c r="M1" s="2383"/>
      <c r="N1" s="546"/>
    </row>
    <row r="2" spans="1:20">
      <c r="A2" s="2384" t="s">
        <v>2706</v>
      </c>
      <c r="B2" s="2385" t="s">
        <v>2502</v>
      </c>
      <c r="C2" s="2385" t="s">
        <v>2503</v>
      </c>
      <c r="D2" s="2385" t="s">
        <v>2504</v>
      </c>
      <c r="E2" s="2385" t="s">
        <v>2505</v>
      </c>
      <c r="F2" s="2385" t="s">
        <v>2506</v>
      </c>
      <c r="G2" s="2385" t="s">
        <v>2507</v>
      </c>
      <c r="H2" s="2386" t="s">
        <v>2508</v>
      </c>
      <c r="I2" s="2386" t="s">
        <v>2509</v>
      </c>
      <c r="J2" s="2387" t="s">
        <v>2510</v>
      </c>
      <c r="K2" s="2387" t="s">
        <v>2511</v>
      </c>
      <c r="L2" s="2387" t="s">
        <v>2512</v>
      </c>
      <c r="M2" s="2388" t="s">
        <v>2513</v>
      </c>
      <c r="Q2" s="2398" t="s">
        <v>2711</v>
      </c>
      <c r="R2" s="2398" t="s">
        <v>2712</v>
      </c>
      <c r="S2" s="2398" t="s">
        <v>2713</v>
      </c>
      <c r="T2" s="2398" t="s">
        <v>2714</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2707</v>
      </c>
      <c r="B93" s="2383"/>
      <c r="C93" s="2383"/>
      <c r="D93" s="2383"/>
      <c r="E93" s="2383"/>
      <c r="F93" s="2383"/>
      <c r="G93" s="2383"/>
      <c r="H93" s="2383"/>
      <c r="I93" s="2383"/>
      <c r="J93" s="2383"/>
      <c r="K93" s="2383"/>
      <c r="L93" s="2383"/>
      <c r="M93" s="2383"/>
    </row>
    <row r="94" spans="1:20">
      <c r="A94" s="2384" t="s">
        <v>2706</v>
      </c>
      <c r="B94" s="2385" t="s">
        <v>2502</v>
      </c>
      <c r="C94" s="2385" t="s">
        <v>2503</v>
      </c>
      <c r="D94" s="2385" t="s">
        <v>2504</v>
      </c>
      <c r="E94" s="2385" t="s">
        <v>2505</v>
      </c>
      <c r="F94" s="2385" t="s">
        <v>2506</v>
      </c>
      <c r="G94" s="2385" t="s">
        <v>2507</v>
      </c>
      <c r="H94" s="2386" t="s">
        <v>2508</v>
      </c>
      <c r="I94" s="2386" t="s">
        <v>2509</v>
      </c>
      <c r="J94" s="2387" t="s">
        <v>2510</v>
      </c>
      <c r="K94" s="2387" t="s">
        <v>2511</v>
      </c>
      <c r="L94" s="2387" t="s">
        <v>2512</v>
      </c>
      <c r="M94" s="2388" t="s">
        <v>2513</v>
      </c>
      <c r="N94">
        <f>SUMPRODUCT((A95:A184=ROUNDDOWN(基准地价修正!G3,1))*(B94:M94=基准地价修正!G2)*(B95:M184))</f>
        <v>1</v>
      </c>
      <c r="Q94" s="2398" t="s">
        <v>2711</v>
      </c>
      <c r="R94" s="2398" t="s">
        <v>2712</v>
      </c>
      <c r="S94" s="2398" t="s">
        <v>2713</v>
      </c>
      <c r="T94" s="2398" t="s">
        <v>2714</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2708</v>
      </c>
      <c r="B185" s="2383"/>
      <c r="C185" s="2383"/>
      <c r="D185" s="2383"/>
      <c r="E185" s="2383"/>
      <c r="F185" s="2383"/>
      <c r="G185" s="2383"/>
      <c r="H185" s="2383"/>
      <c r="I185" s="2383"/>
      <c r="J185" s="2383"/>
      <c r="K185" s="2383"/>
      <c r="L185" s="2383"/>
      <c r="M185" s="2383"/>
    </row>
    <row r="186" spans="1:20">
      <c r="A186" s="2384" t="s">
        <v>2706</v>
      </c>
      <c r="B186" s="2385" t="s">
        <v>2502</v>
      </c>
      <c r="C186" s="2385" t="s">
        <v>2503</v>
      </c>
      <c r="D186" s="2385" t="s">
        <v>2504</v>
      </c>
      <c r="E186" s="2385" t="s">
        <v>2505</v>
      </c>
      <c r="F186" s="2385" t="s">
        <v>2506</v>
      </c>
      <c r="G186" s="2385" t="s">
        <v>2507</v>
      </c>
      <c r="H186" s="2386" t="s">
        <v>2508</v>
      </c>
      <c r="I186" s="2386" t="s">
        <v>2509</v>
      </c>
      <c r="J186" s="2387" t="s">
        <v>2510</v>
      </c>
      <c r="K186" s="2387" t="s">
        <v>2511</v>
      </c>
      <c r="L186" s="2387" t="s">
        <v>2512</v>
      </c>
      <c r="M186" s="2388" t="s">
        <v>2513</v>
      </c>
      <c r="Q186" s="2398" t="s">
        <v>2711</v>
      </c>
      <c r="R186" s="2398" t="s">
        <v>2712</v>
      </c>
      <c r="S186" s="2398" t="s">
        <v>2713</v>
      </c>
      <c r="T186" s="2398" t="s">
        <v>2714</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2709</v>
      </c>
      <c r="B277" s="2383"/>
      <c r="C277" s="2383"/>
      <c r="D277" s="2383"/>
      <c r="E277" s="2383"/>
      <c r="F277" s="2383"/>
      <c r="G277" s="2383"/>
      <c r="H277" s="2383"/>
      <c r="I277" s="2383"/>
      <c r="J277" s="2383"/>
      <c r="K277" s="2383"/>
      <c r="L277" s="2383"/>
      <c r="M277" s="2383"/>
    </row>
    <row r="278" spans="1:21">
      <c r="A278" s="2384" t="s">
        <v>2706</v>
      </c>
      <c r="B278" s="2385" t="s">
        <v>2502</v>
      </c>
      <c r="C278" s="2385" t="s">
        <v>2503</v>
      </c>
      <c r="D278" s="2385" t="s">
        <v>2504</v>
      </c>
      <c r="E278" s="2385" t="s">
        <v>2505</v>
      </c>
      <c r="F278" s="2385" t="s">
        <v>2506</v>
      </c>
      <c r="G278" s="2385" t="s">
        <v>2507</v>
      </c>
      <c r="H278" s="2386" t="s">
        <v>2508</v>
      </c>
      <c r="I278" s="2386" t="s">
        <v>2509</v>
      </c>
      <c r="J278" s="2387" t="s">
        <v>2510</v>
      </c>
      <c r="K278" s="2387" t="s">
        <v>2511</v>
      </c>
      <c r="L278" s="2387" t="s">
        <v>2512</v>
      </c>
      <c r="M278" s="2388" t="s">
        <v>2513</v>
      </c>
      <c r="Q278" s="2398" t="s">
        <v>2711</v>
      </c>
      <c r="R278" s="2398" t="s">
        <v>2712</v>
      </c>
      <c r="S278" s="2398" t="s">
        <v>2715</v>
      </c>
      <c r="T278" s="2398" t="s">
        <v>2716</v>
      </c>
      <c r="U278" s="2398" t="s">
        <v>2714</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2710</v>
      </c>
      <c r="B369" s="2396"/>
      <c r="C369" s="2396"/>
      <c r="D369" s="2396"/>
      <c r="E369" s="2396"/>
      <c r="F369" s="2396"/>
      <c r="G369" s="2396"/>
      <c r="H369" s="2396"/>
      <c r="I369" s="2396"/>
      <c r="J369" s="2396"/>
      <c r="K369" s="2396"/>
      <c r="L369" s="2396"/>
      <c r="M369" s="2396"/>
    </row>
    <row r="370" spans="1:20">
      <c r="A370" s="2384" t="s">
        <v>2706</v>
      </c>
      <c r="B370" s="2385" t="s">
        <v>2502</v>
      </c>
      <c r="C370" s="2385" t="s">
        <v>2503</v>
      </c>
      <c r="D370" s="2385" t="s">
        <v>2504</v>
      </c>
      <c r="E370" s="2385" t="s">
        <v>2505</v>
      </c>
      <c r="F370" s="2385" t="s">
        <v>2506</v>
      </c>
      <c r="G370" s="2385" t="s">
        <v>2507</v>
      </c>
      <c r="H370" s="2386" t="s">
        <v>2508</v>
      </c>
      <c r="I370" s="2386" t="s">
        <v>2509</v>
      </c>
      <c r="J370" s="2387" t="s">
        <v>2510</v>
      </c>
      <c r="K370" s="2387" t="s">
        <v>2511</v>
      </c>
      <c r="L370" s="2387" t="s">
        <v>2512</v>
      </c>
      <c r="M370" s="2388" t="s">
        <v>2513</v>
      </c>
      <c r="N370">
        <f>SUMPRODUCT((A371:A460=ROUNDDOWN(基准地价修正!G3,1))*(B370:M370=基准地价修正!G2)*(B371:M460))</f>
        <v>0.95120000000000005</v>
      </c>
      <c r="Q370" s="2398" t="s">
        <v>2711</v>
      </c>
      <c r="R370" s="2398" t="s">
        <v>2712</v>
      </c>
      <c r="S370" s="2398" t="s">
        <v>2713</v>
      </c>
      <c r="T370" s="2398" t="s">
        <v>2714</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26185</v>
      </c>
      <c r="C2" s="2" t="s">
        <v>104</v>
      </c>
      <c r="D2" s="113"/>
      <c r="E2" s="113"/>
      <c r="F2" s="113"/>
      <c r="G2" s="113"/>
    </row>
    <row r="3" spans="1:7" s="114" customFormat="1" ht="18" customHeight="1" thickBot="1">
      <c r="A3" s="117" t="s">
        <v>56</v>
      </c>
      <c r="B3" s="118">
        <f ca="1">ROUND(B2*10000/'数据-汇总表'!E3,0)</f>
        <v>1800027</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145.47</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145.47</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67</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60</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145.47</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65" t="s">
        <v>92</v>
      </c>
    </row>
    <row r="43" spans="1:7" ht="13.5" customHeight="1">
      <c r="A43" s="565" t="s">
        <v>345</v>
      </c>
      <c r="B43" s="129" t="s">
        <v>420</v>
      </c>
      <c r="C43" s="152">
        <f ca="1">ROUND(IF('数据-取费表'!B22&lt;=1,C39*F22*'数据-取费表'!B21/2,C39*(POWER((1+F22),'数据-取费表'!B21/2)-1)),0)</f>
        <v>0</v>
      </c>
      <c r="D43" s="152"/>
      <c r="E43" s="152"/>
      <c r="F43" s="153"/>
      <c r="G43" s="4367"/>
    </row>
    <row r="44" spans="1:7" ht="13.5" customHeight="1">
      <c r="A44" s="565" t="s">
        <v>346</v>
      </c>
      <c r="B44" s="129" t="s">
        <v>422</v>
      </c>
      <c r="C44" s="152">
        <f ca="1">ROUND(IF('数据-取费表'!B22&lt;=1,C40*F22*'数据-取费表'!B21/2,C40*(POWER((1+F22),'数据-取费表'!B21/2)-1)),4)</f>
        <v>5.9999999999999995E-4</v>
      </c>
      <c r="D44" s="152"/>
      <c r="E44" s="152"/>
      <c r="F44" s="153"/>
      <c r="G44" s="4366"/>
    </row>
    <row r="45" spans="1:7" s="128" customFormat="1" ht="13.5" customHeight="1">
      <c r="A45" s="562" t="s">
        <v>339</v>
      </c>
      <c r="B45" s="158" t="s">
        <v>83</v>
      </c>
      <c r="C45" s="159">
        <f>C46</f>
        <v>10</v>
      </c>
      <c r="D45" s="149">
        <f>C47</f>
        <v>3.0000000000000001E-3</v>
      </c>
      <c r="E45" s="150" t="s">
        <v>100</v>
      </c>
      <c r="F45" s="160"/>
      <c r="G45" s="161" t="s">
        <v>428</v>
      </c>
    </row>
    <row r="46" spans="1:7" s="128" customFormat="1" ht="13.5" customHeight="1">
      <c r="A46" s="565" t="s">
        <v>347</v>
      </c>
      <c r="B46" s="162" t="s">
        <v>421</v>
      </c>
      <c r="C46" s="163">
        <f>ROUND((C33+C39)*F27,0)</f>
        <v>10</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82</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67</v>
      </c>
      <c r="D51" s="146"/>
      <c r="E51" s="146"/>
      <c r="F51" s="178"/>
      <c r="G51" s="148" t="s">
        <v>35</v>
      </c>
    </row>
    <row r="52" spans="1:7" s="122" customFormat="1" ht="16.5" thickBot="1">
      <c r="A52" s="179" t="s">
        <v>36</v>
      </c>
      <c r="B52" s="180"/>
      <c r="C52" s="181">
        <f ca="1">C31+C51</f>
        <v>26185</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71" t="s">
        <v>3088</v>
      </c>
      <c r="B1" s="4571"/>
    </row>
    <row r="2" spans="1:7" ht="14.25" thickBot="1">
      <c r="A2" s="2473"/>
      <c r="B2" s="2473"/>
    </row>
    <row r="3" spans="1:7" ht="14.25" thickBot="1">
      <c r="A3" s="2473"/>
      <c r="B3" s="2473"/>
      <c r="C3" s="2474" t="s">
        <v>2718</v>
      </c>
      <c r="D3" s="2474" t="s">
        <v>2774</v>
      </c>
      <c r="E3" s="2474" t="s">
        <v>2720</v>
      </c>
      <c r="F3" s="2474" t="s">
        <v>2775</v>
      </c>
      <c r="G3" s="2474" t="s">
        <v>2538</v>
      </c>
    </row>
    <row r="4" spans="1:7" ht="14.25" thickBot="1">
      <c r="A4" s="2475" t="s">
        <v>2773</v>
      </c>
      <c r="B4" s="2476" t="s">
        <v>2779</v>
      </c>
      <c r="C4" s="2474"/>
      <c r="D4" s="2474"/>
      <c r="E4" s="2474"/>
      <c r="F4" s="2474"/>
      <c r="G4" s="2474"/>
    </row>
    <row r="5" spans="1:7">
      <c r="A5" s="2477" t="s">
        <v>2747</v>
      </c>
      <c r="B5" s="2478" t="s">
        <v>2761</v>
      </c>
      <c r="C5" s="2479">
        <v>9.8000000000000004E-2</v>
      </c>
      <c r="D5" s="2479">
        <v>8.6999999999999994E-2</v>
      </c>
      <c r="E5" s="2479">
        <v>8.6999999999999994E-2</v>
      </c>
      <c r="F5" s="2479">
        <v>9.8000000000000004E-2</v>
      </c>
      <c r="G5" s="2480">
        <v>9.5000000000000001E-2</v>
      </c>
    </row>
    <row r="6" spans="1:7">
      <c r="A6" s="2481" t="s">
        <v>142</v>
      </c>
      <c r="B6" s="2482" t="s">
        <v>2776</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2762</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2812</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2830</v>
      </c>
      <c r="C29" s="2491"/>
      <c r="D29" s="2487">
        <v>5.1999999999999998E-2</v>
      </c>
      <c r="E29" s="2487">
        <v>7.0000000000000007E-2</v>
      </c>
      <c r="F29" s="2491"/>
      <c r="G29" s="2489">
        <v>7.0999999999999994E-2</v>
      </c>
    </row>
    <row r="30" spans="1:7">
      <c r="A30" s="2492" t="s">
        <v>294</v>
      </c>
      <c r="B30" s="2478" t="s">
        <v>2763</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2749</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2833</v>
      </c>
      <c r="C50" s="2483">
        <v>9.8000000000000004E-2</v>
      </c>
      <c r="D50" s="2483">
        <v>7.2999999999999995E-2</v>
      </c>
      <c r="E50" s="2483">
        <v>7.0999999999999994E-2</v>
      </c>
      <c r="F50" s="2494"/>
      <c r="G50" s="2484">
        <v>7.2999999999999995E-2</v>
      </c>
    </row>
    <row r="51" spans="1:7">
      <c r="A51" s="2493" t="s">
        <v>294</v>
      </c>
      <c r="B51" s="2482" t="s">
        <v>2835</v>
      </c>
      <c r="C51" s="2483">
        <v>9.9000000000000005E-2</v>
      </c>
      <c r="D51" s="2483">
        <v>8.5000000000000006E-2</v>
      </c>
      <c r="E51" s="2483">
        <v>6.3E-2</v>
      </c>
      <c r="F51" s="2494"/>
      <c r="G51" s="2484">
        <v>9.6000000000000002E-2</v>
      </c>
    </row>
    <row r="52" spans="1:7">
      <c r="A52" s="2493" t="s">
        <v>294</v>
      </c>
      <c r="B52" s="2482" t="s">
        <v>2839</v>
      </c>
      <c r="C52" s="2483">
        <v>7.3999999999999996E-2</v>
      </c>
      <c r="D52" s="2483">
        <v>9.6000000000000002E-2</v>
      </c>
      <c r="E52" s="2483">
        <v>0.05</v>
      </c>
      <c r="F52" s="2494"/>
      <c r="G52" s="2484">
        <v>9.8000000000000004E-2</v>
      </c>
    </row>
    <row r="53" spans="1:7">
      <c r="A53" s="2493" t="s">
        <v>294</v>
      </c>
      <c r="B53" s="2482" t="s">
        <v>2844</v>
      </c>
      <c r="C53" s="2483">
        <v>8.5999999999999993E-2</v>
      </c>
      <c r="D53" s="2494"/>
      <c r="E53" s="2483">
        <v>9.1999999999999998E-2</v>
      </c>
      <c r="F53" s="2494"/>
      <c r="G53" s="2495"/>
    </row>
    <row r="54" spans="1:7" ht="14.25" thickBot="1">
      <c r="A54" s="2496" t="s">
        <v>294</v>
      </c>
      <c r="B54" s="2486" t="s">
        <v>2847</v>
      </c>
      <c r="C54" s="2487">
        <v>9.6000000000000002E-2</v>
      </c>
      <c r="D54" s="2488"/>
      <c r="E54" s="2497"/>
      <c r="F54" s="2488"/>
      <c r="G54" s="2498"/>
    </row>
    <row r="55" spans="1:7">
      <c r="A55" s="2492" t="s">
        <v>108</v>
      </c>
      <c r="B55" s="2478" t="s">
        <v>2764</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2845</v>
      </c>
      <c r="C78" s="2483">
        <v>0.1</v>
      </c>
      <c r="D78" s="2483">
        <v>8.5000000000000006E-2</v>
      </c>
      <c r="E78" s="2483">
        <v>9.6000000000000002E-2</v>
      </c>
      <c r="F78" s="2494"/>
      <c r="G78" s="2484">
        <v>9.6000000000000002E-2</v>
      </c>
    </row>
    <row r="79" spans="1:7">
      <c r="A79" s="2493" t="s">
        <v>108</v>
      </c>
      <c r="B79" s="2482" t="s">
        <v>2848</v>
      </c>
      <c r="C79" s="2483">
        <v>0.05</v>
      </c>
      <c r="D79" s="2483">
        <v>9.6000000000000002E-2</v>
      </c>
      <c r="E79" s="2483">
        <v>9.5000000000000001E-2</v>
      </c>
      <c r="F79" s="2494"/>
      <c r="G79" s="2484">
        <v>9.8000000000000004E-2</v>
      </c>
    </row>
    <row r="80" spans="1:7">
      <c r="A80" s="2493" t="s">
        <v>108</v>
      </c>
      <c r="B80" s="2482" t="s">
        <v>2852</v>
      </c>
      <c r="C80" s="2483">
        <v>8.5999999999999993E-2</v>
      </c>
      <c r="D80" s="2499"/>
      <c r="E80" s="2483">
        <v>0.1</v>
      </c>
      <c r="F80" s="2494"/>
      <c r="G80" s="2495"/>
    </row>
    <row r="81" spans="1:7">
      <c r="A81" s="2493" t="s">
        <v>108</v>
      </c>
      <c r="B81" s="2482" t="s">
        <v>2857</v>
      </c>
      <c r="C81" s="2483">
        <v>9.6000000000000002E-2</v>
      </c>
      <c r="D81" s="2494"/>
      <c r="E81" s="2483">
        <v>9.8000000000000004E-2</v>
      </c>
      <c r="F81" s="2494"/>
      <c r="G81" s="2495"/>
    </row>
    <row r="82" spans="1:7">
      <c r="A82" s="2493" t="s">
        <v>108</v>
      </c>
      <c r="B82" s="2482" t="s">
        <v>2864</v>
      </c>
      <c r="C82" s="2499"/>
      <c r="D82" s="2494"/>
      <c r="E82" s="2483">
        <v>7.6999999999999999E-2</v>
      </c>
      <c r="F82" s="2494"/>
      <c r="G82" s="2495"/>
    </row>
    <row r="83" spans="1:7">
      <c r="A83" s="2493" t="s">
        <v>108</v>
      </c>
      <c r="B83" s="2482" t="s">
        <v>2870</v>
      </c>
      <c r="C83" s="2494"/>
      <c r="D83" s="2494"/>
      <c r="E83" s="2494"/>
      <c r="F83" s="2483">
        <v>0.1</v>
      </c>
      <c r="G83" s="2500"/>
    </row>
    <row r="84" spans="1:7">
      <c r="A84" s="2493" t="s">
        <v>108</v>
      </c>
      <c r="B84" s="2482" t="s">
        <v>2877</v>
      </c>
      <c r="C84" s="2494"/>
      <c r="D84" s="2494"/>
      <c r="E84" s="2494"/>
      <c r="F84" s="2483">
        <v>0.1</v>
      </c>
      <c r="G84" s="2500"/>
    </row>
    <row r="85" spans="1:7">
      <c r="A85" s="2493" t="s">
        <v>108</v>
      </c>
      <c r="B85" s="2482" t="s">
        <v>2884</v>
      </c>
      <c r="C85" s="2494"/>
      <c r="D85" s="2494"/>
      <c r="E85" s="2494"/>
      <c r="F85" s="2483">
        <v>0.1</v>
      </c>
      <c r="G85" s="2500"/>
    </row>
    <row r="86" spans="1:7" ht="14.25" thickBot="1">
      <c r="A86" s="2496" t="s">
        <v>108</v>
      </c>
      <c r="B86" s="2486" t="s">
        <v>2889</v>
      </c>
      <c r="C86" s="2487">
        <v>9.8000000000000004E-2</v>
      </c>
      <c r="D86" s="2487">
        <v>9.8000000000000004E-2</v>
      </c>
      <c r="E86" s="2487">
        <v>9.6000000000000002E-2</v>
      </c>
      <c r="F86" s="2497"/>
      <c r="G86" s="2489">
        <v>0.1</v>
      </c>
    </row>
    <row r="87" spans="1:7">
      <c r="A87" s="2492" t="s">
        <v>301</v>
      </c>
      <c r="B87" s="2478" t="s">
        <v>2765</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2858</v>
      </c>
      <c r="C113" s="2483">
        <v>0.1</v>
      </c>
      <c r="D113" s="2483">
        <v>0.1</v>
      </c>
      <c r="E113" s="2494"/>
      <c r="F113" s="2494"/>
      <c r="G113" s="2484">
        <v>0.1</v>
      </c>
    </row>
    <row r="114" spans="1:7">
      <c r="A114" s="2493" t="s">
        <v>301</v>
      </c>
      <c r="B114" s="2482" t="s">
        <v>2865</v>
      </c>
      <c r="C114" s="2483">
        <v>9.7000000000000003E-2</v>
      </c>
      <c r="D114" s="2483">
        <v>9.7000000000000003E-2</v>
      </c>
      <c r="E114" s="2494"/>
      <c r="F114" s="2494"/>
      <c r="G114" s="2484">
        <v>9.9000000000000005E-2</v>
      </c>
    </row>
    <row r="115" spans="1:7">
      <c r="A115" s="2493" t="s">
        <v>301</v>
      </c>
      <c r="B115" s="2482" t="s">
        <v>2871</v>
      </c>
      <c r="C115" s="2483">
        <v>0.1</v>
      </c>
      <c r="D115" s="2483">
        <v>0.1</v>
      </c>
      <c r="E115" s="2494"/>
      <c r="F115" s="2494"/>
      <c r="G115" s="2484">
        <v>0.1</v>
      </c>
    </row>
    <row r="116" spans="1:7">
      <c r="A116" s="2493" t="s">
        <v>301</v>
      </c>
      <c r="B116" s="2482" t="s">
        <v>2878</v>
      </c>
      <c r="C116" s="2483">
        <v>0.1</v>
      </c>
      <c r="D116" s="2483">
        <v>0.1</v>
      </c>
      <c r="E116" s="2494"/>
      <c r="F116" s="2494"/>
      <c r="G116" s="2484">
        <v>0.1</v>
      </c>
    </row>
    <row r="117" spans="1:7">
      <c r="A117" s="2493" t="s">
        <v>301</v>
      </c>
      <c r="B117" s="2482" t="s">
        <v>2885</v>
      </c>
      <c r="C117" s="2483">
        <v>9.7000000000000003E-2</v>
      </c>
      <c r="D117" s="2483">
        <v>9.7000000000000003E-2</v>
      </c>
      <c r="E117" s="2494"/>
      <c r="F117" s="2494"/>
      <c r="G117" s="2484">
        <v>9.7000000000000003E-2</v>
      </c>
    </row>
    <row r="118" spans="1:7">
      <c r="A118" s="2493" t="s">
        <v>301</v>
      </c>
      <c r="B118" s="2482" t="s">
        <v>2890</v>
      </c>
      <c r="C118" s="2483">
        <v>0.1</v>
      </c>
      <c r="D118" s="2483">
        <v>0.1</v>
      </c>
      <c r="E118" s="2494"/>
      <c r="F118" s="2494"/>
      <c r="G118" s="2484">
        <v>0.1</v>
      </c>
    </row>
    <row r="119" spans="1:7">
      <c r="A119" s="2493" t="s">
        <v>301</v>
      </c>
      <c r="B119" s="2482" t="s">
        <v>2894</v>
      </c>
      <c r="C119" s="2483">
        <v>5.0999999999999997E-2</v>
      </c>
      <c r="D119" s="2483">
        <v>5.1999999999999998E-2</v>
      </c>
      <c r="E119" s="2494"/>
      <c r="F119" s="2499"/>
      <c r="G119" s="2484">
        <v>0.06</v>
      </c>
    </row>
    <row r="120" spans="1:7">
      <c r="A120" s="2493" t="s">
        <v>301</v>
      </c>
      <c r="B120" s="2482" t="s">
        <v>2898</v>
      </c>
      <c r="C120" s="2494"/>
      <c r="D120" s="2494"/>
      <c r="E120" s="2494"/>
      <c r="F120" s="2483">
        <v>0.1</v>
      </c>
      <c r="G120" s="2500"/>
    </row>
    <row r="121" spans="1:7">
      <c r="A121" s="2493" t="s">
        <v>301</v>
      </c>
      <c r="B121" s="2482" t="s">
        <v>2903</v>
      </c>
      <c r="C121" s="2494"/>
      <c r="D121" s="2494"/>
      <c r="E121" s="2494"/>
      <c r="F121" s="2483">
        <v>0.1</v>
      </c>
      <c r="G121" s="2500"/>
    </row>
    <row r="122" spans="1:7">
      <c r="A122" s="2493" t="s">
        <v>301</v>
      </c>
      <c r="B122" s="2482" t="s">
        <v>2908</v>
      </c>
      <c r="C122" s="2483">
        <v>0.1</v>
      </c>
      <c r="D122" s="2483">
        <v>0.1</v>
      </c>
      <c r="E122" s="2483">
        <v>9.8000000000000004E-2</v>
      </c>
      <c r="F122" s="2483">
        <v>0.1</v>
      </c>
      <c r="G122" s="2484">
        <v>0.1</v>
      </c>
    </row>
    <row r="123" spans="1:7">
      <c r="A123" s="2493" t="s">
        <v>301</v>
      </c>
      <c r="B123" s="2482" t="s">
        <v>2913</v>
      </c>
      <c r="C123" s="2483">
        <v>0.1</v>
      </c>
      <c r="D123" s="2483">
        <v>0.1</v>
      </c>
      <c r="E123" s="2483">
        <v>9.8000000000000004E-2</v>
      </c>
      <c r="F123" s="2483">
        <v>0.1</v>
      </c>
      <c r="G123" s="2484">
        <v>0.1</v>
      </c>
    </row>
    <row r="124" spans="1:7">
      <c r="A124" s="2493" t="s">
        <v>301</v>
      </c>
      <c r="B124" s="2482" t="s">
        <v>2918</v>
      </c>
      <c r="C124" s="2483">
        <v>0.1</v>
      </c>
      <c r="D124" s="2483">
        <v>0.1</v>
      </c>
      <c r="E124" s="2483">
        <v>9.8000000000000004E-2</v>
      </c>
      <c r="F124" s="2499"/>
      <c r="G124" s="2484">
        <v>0.1</v>
      </c>
    </row>
    <row r="125" spans="1:7">
      <c r="A125" s="2493" t="s">
        <v>301</v>
      </c>
      <c r="B125" s="2482" t="s">
        <v>2923</v>
      </c>
      <c r="C125" s="2483">
        <v>9.8000000000000004E-2</v>
      </c>
      <c r="D125" s="2483">
        <v>9.8000000000000004E-2</v>
      </c>
      <c r="E125" s="2483">
        <v>9.6000000000000002E-2</v>
      </c>
      <c r="F125" s="2499"/>
      <c r="G125" s="2484">
        <v>0.1</v>
      </c>
    </row>
    <row r="126" spans="1:7" ht="14.25" thickBot="1">
      <c r="A126" s="2496" t="s">
        <v>301</v>
      </c>
      <c r="B126" s="2486" t="s">
        <v>3089</v>
      </c>
      <c r="C126" s="2487">
        <v>0.1</v>
      </c>
      <c r="D126" s="2487">
        <v>0.1</v>
      </c>
      <c r="E126" s="2487">
        <v>9.8000000000000004E-2</v>
      </c>
      <c r="F126" s="2487">
        <v>0.1</v>
      </c>
      <c r="G126" s="2489">
        <v>0.1</v>
      </c>
    </row>
    <row r="127" spans="1:7">
      <c r="A127" s="2492" t="s">
        <v>27</v>
      </c>
      <c r="B127" s="2478" t="s">
        <v>2766</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2836</v>
      </c>
      <c r="C148" s="2483">
        <v>0.13</v>
      </c>
      <c r="D148" s="2483">
        <v>0.13</v>
      </c>
      <c r="E148" s="2483">
        <v>0.13</v>
      </c>
      <c r="F148" s="2494"/>
      <c r="G148" s="2484">
        <v>0.13</v>
      </c>
    </row>
    <row r="149" spans="1:7">
      <c r="A149" s="2493" t="s">
        <v>27</v>
      </c>
      <c r="B149" s="2482" t="s">
        <v>2840</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2859</v>
      </c>
      <c r="C153" s="2483">
        <v>0.13</v>
      </c>
      <c r="D153" s="2483">
        <v>0.13</v>
      </c>
      <c r="E153" s="2483">
        <v>0.13</v>
      </c>
      <c r="F153" s="2483">
        <v>0.13</v>
      </c>
      <c r="G153" s="2484">
        <v>0.13</v>
      </c>
    </row>
    <row r="154" spans="1:7">
      <c r="A154" s="2493" t="s">
        <v>27</v>
      </c>
      <c r="B154" s="2482" t="s">
        <v>2866</v>
      </c>
      <c r="C154" s="2483">
        <v>0.121</v>
      </c>
      <c r="D154" s="2483">
        <v>0.121</v>
      </c>
      <c r="E154" s="2483">
        <v>0.105</v>
      </c>
      <c r="F154" s="2483">
        <v>0.121</v>
      </c>
      <c r="G154" s="2484">
        <v>0.123</v>
      </c>
    </row>
    <row r="155" spans="1:7">
      <c r="A155" s="2493" t="s">
        <v>27</v>
      </c>
      <c r="B155" s="2482" t="s">
        <v>2872</v>
      </c>
      <c r="C155" s="2483">
        <v>0.1</v>
      </c>
      <c r="D155" s="2483">
        <v>0.1</v>
      </c>
      <c r="E155" s="2483">
        <v>0.1</v>
      </c>
      <c r="F155" s="2483">
        <v>0.1</v>
      </c>
      <c r="G155" s="2484">
        <v>0.1</v>
      </c>
    </row>
    <row r="156" spans="1:7">
      <c r="A156" s="2493" t="s">
        <v>27</v>
      </c>
      <c r="B156" s="2482" t="s">
        <v>2879</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2899</v>
      </c>
      <c r="C160" s="2483">
        <v>0.13</v>
      </c>
      <c r="D160" s="2483">
        <v>0.13</v>
      </c>
      <c r="E160" s="2483">
        <v>0.124</v>
      </c>
      <c r="F160" s="2483">
        <v>0.126</v>
      </c>
      <c r="G160" s="2484">
        <v>0.13</v>
      </c>
    </row>
    <row r="161" spans="1:7">
      <c r="A161" s="2493" t="s">
        <v>27</v>
      </c>
      <c r="B161" s="2482" t="s">
        <v>2904</v>
      </c>
      <c r="C161" s="2483">
        <v>0.13</v>
      </c>
      <c r="D161" s="2483">
        <v>0.13</v>
      </c>
      <c r="E161" s="2483">
        <v>0.124</v>
      </c>
      <c r="F161" s="2483">
        <v>0.127</v>
      </c>
      <c r="G161" s="2484">
        <v>0.13</v>
      </c>
    </row>
    <row r="162" spans="1:7">
      <c r="A162" s="2493" t="s">
        <v>27</v>
      </c>
      <c r="B162" s="2482" t="s">
        <v>2909</v>
      </c>
      <c r="C162" s="2483">
        <v>0.1</v>
      </c>
      <c r="D162" s="2483">
        <v>0.1</v>
      </c>
      <c r="E162" s="2483">
        <v>0.1</v>
      </c>
      <c r="F162" s="2483">
        <v>0.121</v>
      </c>
      <c r="G162" s="2484">
        <v>0.105</v>
      </c>
    </row>
    <row r="163" spans="1:7">
      <c r="A163" s="2493" t="s">
        <v>27</v>
      </c>
      <c r="B163" s="2482" t="s">
        <v>2914</v>
      </c>
      <c r="C163" s="2483">
        <v>0.1</v>
      </c>
      <c r="D163" s="2483">
        <v>0.1</v>
      </c>
      <c r="E163" s="2483">
        <v>0.1</v>
      </c>
      <c r="F163" s="2483">
        <v>0.1</v>
      </c>
      <c r="G163" s="2484">
        <v>0.1</v>
      </c>
    </row>
    <row r="164" spans="1:7">
      <c r="A164" s="2493" t="s">
        <v>27</v>
      </c>
      <c r="B164" s="2482" t="s">
        <v>2919</v>
      </c>
      <c r="C164" s="2499"/>
      <c r="D164" s="2499"/>
      <c r="E164" s="2499"/>
      <c r="F164" s="2483">
        <v>0.1</v>
      </c>
      <c r="G164" s="2495"/>
    </row>
    <row r="165" spans="1:7">
      <c r="A165" s="2493" t="s">
        <v>27</v>
      </c>
      <c r="B165" s="2482" t="s">
        <v>3090</v>
      </c>
      <c r="C165" s="2483">
        <v>0.126</v>
      </c>
      <c r="D165" s="2483">
        <v>0.126</v>
      </c>
      <c r="E165" s="2483">
        <v>0.11899999999999999</v>
      </c>
      <c r="F165" s="2483">
        <v>0.13</v>
      </c>
      <c r="G165" s="2484">
        <v>0.128</v>
      </c>
    </row>
    <row r="166" spans="1:7">
      <c r="A166" s="2493" t="s">
        <v>27</v>
      </c>
      <c r="B166" s="2482" t="s">
        <v>2929</v>
      </c>
      <c r="C166" s="2483">
        <v>0.129</v>
      </c>
      <c r="D166" s="2483">
        <v>0.129</v>
      </c>
      <c r="E166" s="2483">
        <v>0.123</v>
      </c>
      <c r="F166" s="2483">
        <v>0.128</v>
      </c>
      <c r="G166" s="2484">
        <v>0.13</v>
      </c>
    </row>
    <row r="167" spans="1:7">
      <c r="A167" s="2493" t="s">
        <v>27</v>
      </c>
      <c r="B167" s="2482" t="s">
        <v>2933</v>
      </c>
      <c r="C167" s="2483">
        <v>0.125</v>
      </c>
      <c r="D167" s="2483">
        <v>0.125</v>
      </c>
      <c r="E167" s="2483">
        <v>0.11700000000000001</v>
      </c>
      <c r="F167" s="2483">
        <v>0.13</v>
      </c>
      <c r="G167" s="2484">
        <v>0.126</v>
      </c>
    </row>
    <row r="168" spans="1:7">
      <c r="A168" s="2493" t="s">
        <v>27</v>
      </c>
      <c r="B168" s="2482" t="s">
        <v>2938</v>
      </c>
      <c r="C168" s="2483">
        <v>0.128</v>
      </c>
      <c r="D168" s="2483">
        <v>0.128</v>
      </c>
      <c r="E168" s="2483">
        <v>0.123</v>
      </c>
      <c r="F168" s="2494"/>
      <c r="G168" s="2484">
        <v>0.13</v>
      </c>
    </row>
    <row r="169" spans="1:7">
      <c r="A169" s="2493" t="s">
        <v>27</v>
      </c>
      <c r="B169" s="2482" t="s">
        <v>3091</v>
      </c>
      <c r="C169" s="2499"/>
      <c r="D169" s="2499"/>
      <c r="E169" s="2499"/>
      <c r="F169" s="2483">
        <v>0.05</v>
      </c>
      <c r="G169" s="2495"/>
    </row>
    <row r="170" spans="1:7">
      <c r="A170" s="2493" t="s">
        <v>27</v>
      </c>
      <c r="B170" s="2482" t="s">
        <v>3092</v>
      </c>
      <c r="C170" s="2499"/>
      <c r="D170" s="2499"/>
      <c r="E170" s="2499"/>
      <c r="F170" s="2483">
        <v>0.05</v>
      </c>
      <c r="G170" s="2495"/>
    </row>
    <row r="171" spans="1:7">
      <c r="A171" s="2493" t="s">
        <v>27</v>
      </c>
      <c r="B171" s="2482" t="s">
        <v>3093</v>
      </c>
      <c r="C171" s="2499"/>
      <c r="D171" s="2499"/>
      <c r="E171" s="2499"/>
      <c r="F171" s="2483">
        <v>0.05</v>
      </c>
      <c r="G171" s="2500"/>
    </row>
    <row r="172" spans="1:7">
      <c r="A172" s="2493" t="s">
        <v>27</v>
      </c>
      <c r="B172" s="2482" t="s">
        <v>3094</v>
      </c>
      <c r="C172" s="2499"/>
      <c r="D172" s="2499"/>
      <c r="E172" s="2499"/>
      <c r="F172" s="2483">
        <v>0.05</v>
      </c>
      <c r="G172" s="2500"/>
    </row>
    <row r="173" spans="1:7">
      <c r="A173" s="2493" t="s">
        <v>27</v>
      </c>
      <c r="B173" s="2482" t="s">
        <v>3095</v>
      </c>
      <c r="C173" s="2499"/>
      <c r="D173" s="2499"/>
      <c r="E173" s="2499"/>
      <c r="F173" s="2483">
        <v>0.05</v>
      </c>
      <c r="G173" s="2495"/>
    </row>
    <row r="174" spans="1:7">
      <c r="A174" s="2493" t="s">
        <v>27</v>
      </c>
      <c r="B174" s="2482" t="s">
        <v>3096</v>
      </c>
      <c r="C174" s="2499"/>
      <c r="D174" s="2499"/>
      <c r="E174" s="2499"/>
      <c r="F174" s="2483">
        <v>0.05</v>
      </c>
      <c r="G174" s="2495"/>
    </row>
    <row r="175" spans="1:7">
      <c r="A175" s="2493" t="s">
        <v>27</v>
      </c>
      <c r="B175" s="2482" t="s">
        <v>3097</v>
      </c>
      <c r="C175" s="2499"/>
      <c r="D175" s="2499"/>
      <c r="E175" s="2499"/>
      <c r="F175" s="2483">
        <v>0.05</v>
      </c>
      <c r="G175" s="2495"/>
    </row>
    <row r="176" spans="1:7">
      <c r="A176" s="2493" t="s">
        <v>27</v>
      </c>
      <c r="B176" s="2482" t="s">
        <v>3098</v>
      </c>
      <c r="C176" s="2499"/>
      <c r="D176" s="2499"/>
      <c r="E176" s="2499"/>
      <c r="F176" s="2483">
        <v>0.05</v>
      </c>
      <c r="G176" s="2495"/>
    </row>
    <row r="177" spans="1:7">
      <c r="A177" s="2493" t="s">
        <v>27</v>
      </c>
      <c r="B177" s="2482" t="s">
        <v>3099</v>
      </c>
      <c r="C177" s="2494"/>
      <c r="D177" s="2494"/>
      <c r="E177" s="2494"/>
      <c r="F177" s="2483">
        <v>0.05</v>
      </c>
      <c r="G177" s="2500"/>
    </row>
    <row r="178" spans="1:7">
      <c r="A178" s="2493" t="s">
        <v>27</v>
      </c>
      <c r="B178" s="2482" t="s">
        <v>3100</v>
      </c>
      <c r="C178" s="2494"/>
      <c r="D178" s="2494"/>
      <c r="E178" s="2494"/>
      <c r="F178" s="2483">
        <v>0.05</v>
      </c>
      <c r="G178" s="2500"/>
    </row>
    <row r="179" spans="1:7">
      <c r="A179" s="2493" t="s">
        <v>27</v>
      </c>
      <c r="B179" s="2482" t="s">
        <v>3101</v>
      </c>
      <c r="C179" s="2494"/>
      <c r="D179" s="2494"/>
      <c r="E179" s="2494"/>
      <c r="F179" s="2483">
        <v>0.05</v>
      </c>
      <c r="G179" s="2500"/>
    </row>
    <row r="180" spans="1:7">
      <c r="A180" s="2493" t="s">
        <v>27</v>
      </c>
      <c r="B180" s="2482" t="s">
        <v>3102</v>
      </c>
      <c r="C180" s="2494"/>
      <c r="D180" s="2494"/>
      <c r="E180" s="2494"/>
      <c r="F180" s="2483">
        <v>0.05</v>
      </c>
      <c r="G180" s="2500"/>
    </row>
    <row r="181" spans="1:7">
      <c r="A181" s="2493" t="s">
        <v>27</v>
      </c>
      <c r="B181" s="2482" t="s">
        <v>3103</v>
      </c>
      <c r="C181" s="2494"/>
      <c r="D181" s="2494"/>
      <c r="E181" s="2494"/>
      <c r="F181" s="2483">
        <v>0.05</v>
      </c>
      <c r="G181" s="2500"/>
    </row>
    <row r="182" spans="1:7">
      <c r="A182" s="2493" t="s">
        <v>27</v>
      </c>
      <c r="B182" s="2482" t="s">
        <v>3104</v>
      </c>
      <c r="C182" s="2494"/>
      <c r="D182" s="2494"/>
      <c r="E182" s="2494"/>
      <c r="F182" s="2483">
        <v>0.05</v>
      </c>
      <c r="G182" s="2500"/>
    </row>
    <row r="183" spans="1:7">
      <c r="A183" s="2493" t="s">
        <v>27</v>
      </c>
      <c r="B183" s="2482" t="s">
        <v>3105</v>
      </c>
      <c r="C183" s="2494"/>
      <c r="D183" s="2494"/>
      <c r="E183" s="2494"/>
      <c r="F183" s="2483">
        <v>0.05</v>
      </c>
      <c r="G183" s="2500"/>
    </row>
    <row r="184" spans="1:7">
      <c r="A184" s="2493" t="s">
        <v>27</v>
      </c>
      <c r="B184" s="2482" t="s">
        <v>3106</v>
      </c>
      <c r="C184" s="2494"/>
      <c r="D184" s="2494"/>
      <c r="E184" s="2494"/>
      <c r="F184" s="2483">
        <v>0.05</v>
      </c>
      <c r="G184" s="2500"/>
    </row>
    <row r="185" spans="1:7">
      <c r="A185" s="2493" t="s">
        <v>27</v>
      </c>
      <c r="B185" s="2482" t="s">
        <v>3107</v>
      </c>
      <c r="C185" s="2494"/>
      <c r="D185" s="2494"/>
      <c r="E185" s="2494"/>
      <c r="F185" s="2483">
        <v>0.05</v>
      </c>
      <c r="G185" s="2500"/>
    </row>
    <row r="186" spans="1:7">
      <c r="A186" s="2493" t="s">
        <v>27</v>
      </c>
      <c r="B186" s="2482" t="s">
        <v>3108</v>
      </c>
      <c r="C186" s="2494"/>
      <c r="D186" s="2494"/>
      <c r="E186" s="2494"/>
      <c r="F186" s="2483">
        <v>0.05</v>
      </c>
      <c r="G186" s="2500"/>
    </row>
    <row r="187" spans="1:7">
      <c r="A187" s="2493" t="s">
        <v>27</v>
      </c>
      <c r="B187" s="2482" t="s">
        <v>3109</v>
      </c>
      <c r="C187" s="2494"/>
      <c r="D187" s="2494"/>
      <c r="E187" s="2494"/>
      <c r="F187" s="2483">
        <v>0.05</v>
      </c>
      <c r="G187" s="2500"/>
    </row>
    <row r="188" spans="1:7">
      <c r="A188" s="2493" t="s">
        <v>27</v>
      </c>
      <c r="B188" s="2482" t="s">
        <v>3110</v>
      </c>
      <c r="C188" s="2494"/>
      <c r="D188" s="2494"/>
      <c r="E188" s="2494"/>
      <c r="F188" s="2483">
        <v>0.05</v>
      </c>
      <c r="G188" s="2500"/>
    </row>
    <row r="189" spans="1:7" ht="14.25" thickBot="1">
      <c r="A189" s="2496" t="s">
        <v>27</v>
      </c>
      <c r="B189" s="2486" t="s">
        <v>3111</v>
      </c>
      <c r="C189" s="2488"/>
      <c r="D189" s="2488"/>
      <c r="E189" s="2488"/>
      <c r="F189" s="2487">
        <v>0.05</v>
      </c>
      <c r="G189" s="2501"/>
    </row>
    <row r="190" spans="1:7">
      <c r="A190" s="2492" t="s">
        <v>302</v>
      </c>
      <c r="B190" s="2478" t="s">
        <v>2767</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2803</v>
      </c>
      <c r="C199" s="2483">
        <v>0.13</v>
      </c>
      <c r="D199" s="2483">
        <v>0.13</v>
      </c>
      <c r="E199" s="2483">
        <v>0.13</v>
      </c>
      <c r="F199" s="2483">
        <v>0.13</v>
      </c>
      <c r="G199" s="2484">
        <v>0.13</v>
      </c>
    </row>
    <row r="200" spans="1:7">
      <c r="A200" s="2493" t="s">
        <v>302</v>
      </c>
      <c r="B200" s="2482" t="s">
        <v>2806</v>
      </c>
      <c r="C200" s="2499"/>
      <c r="D200" s="2499"/>
      <c r="E200" s="2499"/>
      <c r="F200" s="2483">
        <v>0.13</v>
      </c>
      <c r="G200" s="2495"/>
    </row>
    <row r="201" spans="1:7">
      <c r="A201" s="2493" t="s">
        <v>302</v>
      </c>
      <c r="B201" s="2482" t="s">
        <v>2811</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2814</v>
      </c>
      <c r="C203" s="2483">
        <v>0.129</v>
      </c>
      <c r="D203" s="2483">
        <v>0.129</v>
      </c>
      <c r="E203" s="2483">
        <v>0.13</v>
      </c>
      <c r="F203" s="2483">
        <v>0.13</v>
      </c>
      <c r="G203" s="2484">
        <v>0.13</v>
      </c>
    </row>
    <row r="204" spans="1:7">
      <c r="A204" s="2493" t="s">
        <v>302</v>
      </c>
      <c r="B204" s="2482" t="s">
        <v>2817</v>
      </c>
      <c r="C204" s="2483">
        <v>0.129</v>
      </c>
      <c r="D204" s="2483">
        <v>0.129</v>
      </c>
      <c r="E204" s="2483">
        <v>0.123</v>
      </c>
      <c r="F204" s="2483">
        <v>0.13</v>
      </c>
      <c r="G204" s="2484">
        <v>0.13</v>
      </c>
    </row>
    <row r="205" spans="1:7">
      <c r="A205" s="2493" t="s">
        <v>302</v>
      </c>
      <c r="B205" s="2482" t="s">
        <v>2819</v>
      </c>
      <c r="C205" s="2483">
        <v>0.13</v>
      </c>
      <c r="D205" s="2483">
        <v>0.13</v>
      </c>
      <c r="E205" s="2483">
        <v>0.13</v>
      </c>
      <c r="F205" s="2483">
        <v>0.13</v>
      </c>
      <c r="G205" s="2484">
        <v>0.13</v>
      </c>
    </row>
    <row r="206" spans="1:7">
      <c r="A206" s="2493" t="s">
        <v>302</v>
      </c>
      <c r="B206" s="2482" t="s">
        <v>2822</v>
      </c>
      <c r="C206" s="2483">
        <v>0.13</v>
      </c>
      <c r="D206" s="2483">
        <v>0.13</v>
      </c>
      <c r="E206" s="2483">
        <v>0.13</v>
      </c>
      <c r="F206" s="2483">
        <v>0.128</v>
      </c>
      <c r="G206" s="2484">
        <v>0.13</v>
      </c>
    </row>
    <row r="207" spans="1:7">
      <c r="A207" s="2493" t="s">
        <v>302</v>
      </c>
      <c r="B207" s="2482" t="s">
        <v>2824</v>
      </c>
      <c r="C207" s="2483">
        <v>0.13</v>
      </c>
      <c r="D207" s="2483">
        <v>0.13</v>
      </c>
      <c r="E207" s="2483">
        <v>0.13</v>
      </c>
      <c r="F207" s="2483">
        <v>0.13</v>
      </c>
      <c r="G207" s="2484">
        <v>0.13</v>
      </c>
    </row>
    <row r="208" spans="1:7">
      <c r="A208" s="2493" t="s">
        <v>302</v>
      </c>
      <c r="B208" s="2482" t="s">
        <v>2827</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2834</v>
      </c>
      <c r="C210" s="2483">
        <v>0.121</v>
      </c>
      <c r="D210" s="2483">
        <v>0.121</v>
      </c>
      <c r="E210" s="2483">
        <v>0.125</v>
      </c>
      <c r="F210" s="2483">
        <v>0.13</v>
      </c>
      <c r="G210" s="2484">
        <v>0.123</v>
      </c>
    </row>
    <row r="211" spans="1:7">
      <c r="A211" s="2493" t="s">
        <v>302</v>
      </c>
      <c r="B211" s="2482" t="s">
        <v>2837</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2849</v>
      </c>
      <c r="C214" s="2483">
        <v>0.128</v>
      </c>
      <c r="D214" s="2483">
        <v>0.128</v>
      </c>
      <c r="E214" s="2483">
        <v>0.13</v>
      </c>
      <c r="F214" s="2483">
        <v>0.13</v>
      </c>
      <c r="G214" s="2484">
        <v>0.13</v>
      </c>
    </row>
    <row r="215" spans="1:7">
      <c r="A215" s="2493" t="s">
        <v>302</v>
      </c>
      <c r="B215" s="2482" t="s">
        <v>2853</v>
      </c>
      <c r="C215" s="2483">
        <v>0.13</v>
      </c>
      <c r="D215" s="2483">
        <v>0.13</v>
      </c>
      <c r="E215" s="2483">
        <v>0.13</v>
      </c>
      <c r="F215" s="2483">
        <v>0.129</v>
      </c>
      <c r="G215" s="2484">
        <v>0.13</v>
      </c>
    </row>
    <row r="216" spans="1:7">
      <c r="A216" s="2493" t="s">
        <v>302</v>
      </c>
      <c r="B216" s="2482" t="s">
        <v>2860</v>
      </c>
      <c r="C216" s="2483">
        <v>0.13</v>
      </c>
      <c r="D216" s="2483">
        <v>0.13</v>
      </c>
      <c r="E216" s="2483">
        <v>0.13</v>
      </c>
      <c r="F216" s="2483">
        <v>0.13</v>
      </c>
      <c r="G216" s="2484">
        <v>0.13</v>
      </c>
    </row>
    <row r="217" spans="1:7">
      <c r="A217" s="2493" t="s">
        <v>302</v>
      </c>
      <c r="B217" s="2482" t="s">
        <v>2867</v>
      </c>
      <c r="C217" s="2483">
        <v>0.129</v>
      </c>
      <c r="D217" s="2483">
        <v>0.129</v>
      </c>
      <c r="E217" s="2483">
        <v>0.13</v>
      </c>
      <c r="F217" s="2483">
        <v>0.13</v>
      </c>
      <c r="G217" s="2484">
        <v>0.13</v>
      </c>
    </row>
    <row r="218" spans="1:7">
      <c r="A218" s="2493" t="s">
        <v>302</v>
      </c>
      <c r="B218" s="2482" t="s">
        <v>2873</v>
      </c>
      <c r="C218" s="2494"/>
      <c r="D218" s="2494"/>
      <c r="E218" s="2494"/>
      <c r="F218" s="2483">
        <v>0.05</v>
      </c>
      <c r="G218" s="2500"/>
    </row>
    <row r="219" spans="1:7">
      <c r="A219" s="2493" t="s">
        <v>302</v>
      </c>
      <c r="B219" s="2482" t="s">
        <v>2880</v>
      </c>
      <c r="C219" s="2494"/>
      <c r="D219" s="2494"/>
      <c r="E219" s="2494"/>
      <c r="F219" s="2483">
        <v>0.05</v>
      </c>
      <c r="G219" s="2500"/>
    </row>
    <row r="220" spans="1:7">
      <c r="A220" s="2493" t="s">
        <v>302</v>
      </c>
      <c r="B220" s="2482" t="s">
        <v>2886</v>
      </c>
      <c r="C220" s="2494"/>
      <c r="D220" s="2494"/>
      <c r="E220" s="2494"/>
      <c r="F220" s="2483">
        <v>0.05</v>
      </c>
      <c r="G220" s="2500"/>
    </row>
    <row r="221" spans="1:7">
      <c r="A221" s="2493" t="s">
        <v>302</v>
      </c>
      <c r="B221" s="2482" t="s">
        <v>2891</v>
      </c>
      <c r="C221" s="2494"/>
      <c r="D221" s="2494"/>
      <c r="E221" s="2494"/>
      <c r="F221" s="2483">
        <v>0.05</v>
      </c>
      <c r="G221" s="2500"/>
    </row>
    <row r="222" spans="1:7">
      <c r="A222" s="2493" t="s">
        <v>302</v>
      </c>
      <c r="B222" s="2482" t="s">
        <v>2895</v>
      </c>
      <c r="C222" s="2494"/>
      <c r="D222" s="2494"/>
      <c r="E222" s="2494"/>
      <c r="F222" s="2483">
        <v>0.05</v>
      </c>
      <c r="G222" s="2500"/>
    </row>
    <row r="223" spans="1:7">
      <c r="A223" s="2493" t="s">
        <v>302</v>
      </c>
      <c r="B223" s="2482" t="s">
        <v>2900</v>
      </c>
      <c r="C223" s="2494"/>
      <c r="D223" s="2494"/>
      <c r="E223" s="2494"/>
      <c r="F223" s="2483">
        <v>0.05</v>
      </c>
      <c r="G223" s="2500"/>
    </row>
    <row r="224" spans="1:7">
      <c r="A224" s="2493" t="s">
        <v>302</v>
      </c>
      <c r="B224" s="2482" t="s">
        <v>2905</v>
      </c>
      <c r="C224" s="2494"/>
      <c r="D224" s="2494"/>
      <c r="E224" s="2494"/>
      <c r="F224" s="2483">
        <v>0.05</v>
      </c>
      <c r="G224" s="2500"/>
    </row>
    <row r="225" spans="1:7">
      <c r="A225" s="2493" t="s">
        <v>302</v>
      </c>
      <c r="B225" s="2482" t="s">
        <v>2910</v>
      </c>
      <c r="C225" s="2494"/>
      <c r="D225" s="2494"/>
      <c r="E225" s="2494"/>
      <c r="F225" s="2483">
        <v>0.05</v>
      </c>
      <c r="G225" s="2500"/>
    </row>
    <row r="226" spans="1:7">
      <c r="A226" s="2493" t="s">
        <v>302</v>
      </c>
      <c r="B226" s="2482" t="s">
        <v>3112</v>
      </c>
      <c r="C226" s="2494"/>
      <c r="D226" s="2494"/>
      <c r="E226" s="2494"/>
      <c r="F226" s="2483">
        <v>0.05</v>
      </c>
      <c r="G226" s="2500"/>
    </row>
    <row r="227" spans="1:7">
      <c r="A227" s="2493" t="s">
        <v>302</v>
      </c>
      <c r="B227" s="2482" t="s">
        <v>3113</v>
      </c>
      <c r="C227" s="2494"/>
      <c r="D227" s="2494"/>
      <c r="E227" s="2494"/>
      <c r="F227" s="2483">
        <v>0.05</v>
      </c>
      <c r="G227" s="2500"/>
    </row>
    <row r="228" spans="1:7">
      <c r="A228" s="2493" t="s">
        <v>302</v>
      </c>
      <c r="B228" s="2482" t="s">
        <v>3114</v>
      </c>
      <c r="C228" s="2494"/>
      <c r="D228" s="2494"/>
      <c r="E228" s="2494"/>
      <c r="F228" s="2483">
        <v>0.05</v>
      </c>
      <c r="G228" s="2500"/>
    </row>
    <row r="229" spans="1:7">
      <c r="A229" s="2493" t="s">
        <v>302</v>
      </c>
      <c r="B229" s="2482" t="s">
        <v>3115</v>
      </c>
      <c r="C229" s="2494"/>
      <c r="D229" s="2494"/>
      <c r="E229" s="2494"/>
      <c r="F229" s="2483">
        <v>0.05</v>
      </c>
      <c r="G229" s="2500"/>
    </row>
    <row r="230" spans="1:7">
      <c r="A230" s="2493" t="s">
        <v>302</v>
      </c>
      <c r="B230" s="2482" t="s">
        <v>3116</v>
      </c>
      <c r="C230" s="2494"/>
      <c r="D230" s="2494"/>
      <c r="E230" s="2494"/>
      <c r="F230" s="2483">
        <v>0.05</v>
      </c>
      <c r="G230" s="2500"/>
    </row>
    <row r="231" spans="1:7">
      <c r="A231" s="2493" t="s">
        <v>302</v>
      </c>
      <c r="B231" s="2482" t="s">
        <v>3117</v>
      </c>
      <c r="C231" s="2494"/>
      <c r="D231" s="2494"/>
      <c r="E231" s="2494"/>
      <c r="F231" s="2483">
        <v>0.05</v>
      </c>
      <c r="G231" s="2500"/>
    </row>
    <row r="232" spans="1:7">
      <c r="A232" s="2493" t="s">
        <v>302</v>
      </c>
      <c r="B232" s="2482" t="s">
        <v>3118</v>
      </c>
      <c r="C232" s="2494"/>
      <c r="D232" s="2494"/>
      <c r="E232" s="2494"/>
      <c r="F232" s="2483">
        <v>0.05</v>
      </c>
      <c r="G232" s="2500"/>
    </row>
    <row r="233" spans="1:7" ht="14.25" thickBot="1">
      <c r="A233" s="2496" t="s">
        <v>302</v>
      </c>
      <c r="B233" s="2486" t="s">
        <v>3119</v>
      </c>
      <c r="C233" s="2488"/>
      <c r="D233" s="2488"/>
      <c r="E233" s="2488"/>
      <c r="F233" s="2487">
        <v>0.05</v>
      </c>
      <c r="G233" s="2501"/>
    </row>
    <row r="234" spans="1:7">
      <c r="A234" s="2492" t="s">
        <v>303</v>
      </c>
      <c r="B234" s="2478" t="s">
        <v>2768</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2788</v>
      </c>
      <c r="C238" s="2483">
        <v>0.14899999999999999</v>
      </c>
      <c r="D238" s="2483">
        <v>0.14899999999999999</v>
      </c>
      <c r="E238" s="2483">
        <v>0.15</v>
      </c>
      <c r="F238" s="2483">
        <v>0.15</v>
      </c>
      <c r="G238" s="2484">
        <v>0.15</v>
      </c>
    </row>
    <row r="239" spans="1:7">
      <c r="A239" s="2493" t="s">
        <v>303</v>
      </c>
      <c r="B239" s="2482" t="s">
        <v>2792</v>
      </c>
      <c r="C239" s="2483">
        <v>0.15</v>
      </c>
      <c r="D239" s="2483">
        <v>0.15</v>
      </c>
      <c r="E239" s="2483">
        <v>0.15</v>
      </c>
      <c r="F239" s="2483">
        <v>0.15</v>
      </c>
      <c r="G239" s="2484">
        <v>0.15</v>
      </c>
    </row>
    <row r="240" spans="1:7">
      <c r="A240" s="2493" t="s">
        <v>303</v>
      </c>
      <c r="B240" s="2482" t="s">
        <v>2797</v>
      </c>
      <c r="C240" s="2483">
        <v>0.15</v>
      </c>
      <c r="D240" s="2483">
        <v>0.15</v>
      </c>
      <c r="E240" s="2483">
        <v>0.15</v>
      </c>
      <c r="F240" s="2483">
        <v>0.15</v>
      </c>
      <c r="G240" s="2484">
        <v>0.15</v>
      </c>
    </row>
    <row r="241" spans="1:7">
      <c r="A241" s="2493" t="s">
        <v>303</v>
      </c>
      <c r="B241" s="2482" t="s">
        <v>2801</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2807</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2815</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2820</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2828</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2841</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2850</v>
      </c>
      <c r="C258" s="2483">
        <v>0.14299999999999999</v>
      </c>
      <c r="D258" s="2483">
        <v>0.14299999999999999</v>
      </c>
      <c r="E258" s="2483">
        <v>0.15</v>
      </c>
      <c r="F258" s="2483">
        <v>0.14799999999999999</v>
      </c>
      <c r="G258" s="2484">
        <v>0.14599999999999999</v>
      </c>
    </row>
    <row r="259" spans="1:7">
      <c r="A259" s="2493" t="s">
        <v>303</v>
      </c>
      <c r="B259" s="2482" t="s">
        <v>2854</v>
      </c>
      <c r="C259" s="2483">
        <v>0.14399999999999999</v>
      </c>
      <c r="D259" s="2483">
        <v>0.14399999999999999</v>
      </c>
      <c r="E259" s="2483">
        <v>0.14899999999999999</v>
      </c>
      <c r="F259" s="2483">
        <v>0.14699999999999999</v>
      </c>
      <c r="G259" s="2484">
        <v>0.14599999999999999</v>
      </c>
    </row>
    <row r="260" spans="1:7">
      <c r="A260" s="2493" t="s">
        <v>303</v>
      </c>
      <c r="B260" s="2482" t="s">
        <v>2861</v>
      </c>
      <c r="C260" s="2483">
        <v>0.109</v>
      </c>
      <c r="D260" s="2483">
        <v>0.111</v>
      </c>
      <c r="E260" s="2483">
        <v>0.13100000000000001</v>
      </c>
      <c r="F260" s="2483">
        <v>0.126</v>
      </c>
      <c r="G260" s="2484">
        <v>0.11899999999999999</v>
      </c>
    </row>
    <row r="261" spans="1:7">
      <c r="A261" s="2493" t="s">
        <v>303</v>
      </c>
      <c r="B261" s="2482" t="s">
        <v>2868</v>
      </c>
      <c r="C261" s="2483">
        <v>0.1</v>
      </c>
      <c r="D261" s="2483">
        <v>0.1</v>
      </c>
      <c r="E261" s="2483">
        <v>0.11799999999999999</v>
      </c>
      <c r="F261" s="2483">
        <v>0.108</v>
      </c>
      <c r="G261" s="2484">
        <v>0.107</v>
      </c>
    </row>
    <row r="262" spans="1:7">
      <c r="A262" s="2493" t="s">
        <v>303</v>
      </c>
      <c r="B262" s="2482" t="s">
        <v>2874</v>
      </c>
      <c r="C262" s="2483">
        <v>0.1</v>
      </c>
      <c r="D262" s="2483">
        <v>0.1</v>
      </c>
      <c r="E262" s="2483">
        <v>0.1</v>
      </c>
      <c r="F262" s="2483">
        <v>0.14099999999999999</v>
      </c>
      <c r="G262" s="2484">
        <v>0.1</v>
      </c>
    </row>
    <row r="263" spans="1:7">
      <c r="A263" s="2493" t="s">
        <v>303</v>
      </c>
      <c r="B263" s="2482" t="s">
        <v>2881</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2892</v>
      </c>
      <c r="C265" s="2494"/>
      <c r="D265" s="2494"/>
      <c r="E265" s="2494"/>
      <c r="F265" s="2483">
        <v>0.05</v>
      </c>
      <c r="G265" s="2500"/>
    </row>
    <row r="266" spans="1:7">
      <c r="A266" s="2493" t="s">
        <v>303</v>
      </c>
      <c r="B266" s="2482" t="s">
        <v>2896</v>
      </c>
      <c r="C266" s="2494"/>
      <c r="D266" s="2494"/>
      <c r="E266" s="2494"/>
      <c r="F266" s="2483">
        <v>0.05</v>
      </c>
      <c r="G266" s="2500"/>
    </row>
    <row r="267" spans="1:7">
      <c r="A267" s="2493" t="s">
        <v>303</v>
      </c>
      <c r="B267" s="2482" t="s">
        <v>2901</v>
      </c>
      <c r="C267" s="2494"/>
      <c r="D267" s="2494"/>
      <c r="E267" s="2494"/>
      <c r="F267" s="2483">
        <v>0.05</v>
      </c>
      <c r="G267" s="2500"/>
    </row>
    <row r="268" spans="1:7">
      <c r="A268" s="2493" t="s">
        <v>303</v>
      </c>
      <c r="B268" s="2482" t="s">
        <v>2906</v>
      </c>
      <c r="C268" s="2494"/>
      <c r="D268" s="2494"/>
      <c r="E268" s="2494"/>
      <c r="F268" s="2483">
        <v>0.05</v>
      </c>
      <c r="G268" s="2500"/>
    </row>
    <row r="269" spans="1:7">
      <c r="A269" s="2493" t="s">
        <v>303</v>
      </c>
      <c r="B269" s="2482" t="s">
        <v>2911</v>
      </c>
      <c r="C269" s="2494"/>
      <c r="D269" s="2494"/>
      <c r="E269" s="2494"/>
      <c r="F269" s="2483">
        <v>0.05</v>
      </c>
      <c r="G269" s="2500"/>
    </row>
    <row r="270" spans="1:7">
      <c r="A270" s="2493" t="s">
        <v>303</v>
      </c>
      <c r="B270" s="2482" t="s">
        <v>2916</v>
      </c>
      <c r="C270" s="2494"/>
      <c r="D270" s="2494"/>
      <c r="E270" s="2494"/>
      <c r="F270" s="2483">
        <v>0.05</v>
      </c>
      <c r="G270" s="2500"/>
    </row>
    <row r="271" spans="1:7">
      <c r="A271" s="2493" t="s">
        <v>303</v>
      </c>
      <c r="B271" s="2482" t="s">
        <v>3120</v>
      </c>
      <c r="C271" s="2494"/>
      <c r="D271" s="2494"/>
      <c r="E271" s="2494"/>
      <c r="F271" s="2483">
        <v>0.05</v>
      </c>
      <c r="G271" s="2500"/>
    </row>
    <row r="272" spans="1:7">
      <c r="A272" s="2493" t="s">
        <v>303</v>
      </c>
      <c r="B272" s="2482" t="s">
        <v>3121</v>
      </c>
      <c r="C272" s="2494"/>
      <c r="D272" s="2494"/>
      <c r="E272" s="2494"/>
      <c r="F272" s="2483">
        <v>0.05</v>
      </c>
      <c r="G272" s="2500"/>
    </row>
    <row r="273" spans="1:7">
      <c r="A273" s="2493" t="s">
        <v>303</v>
      </c>
      <c r="B273" s="2482" t="s">
        <v>3122</v>
      </c>
      <c r="C273" s="2494"/>
      <c r="D273" s="2494"/>
      <c r="E273" s="2494"/>
      <c r="F273" s="2483">
        <v>0.05</v>
      </c>
      <c r="G273" s="2500"/>
    </row>
    <row r="274" spans="1:7">
      <c r="A274" s="2493" t="s">
        <v>303</v>
      </c>
      <c r="B274" s="2482" t="s">
        <v>3123</v>
      </c>
      <c r="C274" s="2494"/>
      <c r="D274" s="2494"/>
      <c r="E274" s="2494"/>
      <c r="F274" s="2483">
        <v>0.05</v>
      </c>
      <c r="G274" s="2500"/>
    </row>
    <row r="275" spans="1:7">
      <c r="A275" s="2493" t="s">
        <v>303</v>
      </c>
      <c r="B275" s="2482" t="s">
        <v>3124</v>
      </c>
      <c r="C275" s="2494"/>
      <c r="D275" s="2494"/>
      <c r="E275" s="2494"/>
      <c r="F275" s="2483">
        <v>0.05</v>
      </c>
      <c r="G275" s="2500"/>
    </row>
    <row r="276" spans="1:7" ht="14.25" thickBot="1">
      <c r="A276" s="2496" t="s">
        <v>303</v>
      </c>
      <c r="B276" s="2486" t="s">
        <v>3125</v>
      </c>
      <c r="C276" s="2488"/>
      <c r="D276" s="2488"/>
      <c r="E276" s="2488"/>
      <c r="F276" s="2487">
        <v>0.05</v>
      </c>
      <c r="G276" s="2501"/>
    </row>
    <row r="277" spans="1:7">
      <c r="A277" s="2492" t="s">
        <v>304</v>
      </c>
      <c r="B277" s="2478" t="s">
        <v>2769</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2781</v>
      </c>
      <c r="C279" s="2483">
        <v>0.15</v>
      </c>
      <c r="D279" s="2483">
        <v>0.15</v>
      </c>
      <c r="E279" s="2483">
        <v>0.15</v>
      </c>
      <c r="F279" s="2483">
        <v>0.15</v>
      </c>
      <c r="G279" s="2484">
        <v>0.15</v>
      </c>
    </row>
    <row r="280" spans="1:7">
      <c r="A280" s="2493" t="s">
        <v>304</v>
      </c>
      <c r="B280" s="2482" t="s">
        <v>2785</v>
      </c>
      <c r="C280" s="2483">
        <v>0.15</v>
      </c>
      <c r="D280" s="2483">
        <v>0.15</v>
      </c>
      <c r="E280" s="2483">
        <v>0.15</v>
      </c>
      <c r="F280" s="2483">
        <v>0.15</v>
      </c>
      <c r="G280" s="2484">
        <v>0.15</v>
      </c>
    </row>
    <row r="281" spans="1:7">
      <c r="A281" s="2493" t="s">
        <v>304</v>
      </c>
      <c r="B281" s="2482" t="s">
        <v>2789</v>
      </c>
      <c r="C281" s="2483">
        <v>0.15</v>
      </c>
      <c r="D281" s="2483">
        <v>0.15</v>
      </c>
      <c r="E281" s="2483">
        <v>0.15</v>
      </c>
      <c r="F281" s="2483">
        <v>0.15</v>
      </c>
      <c r="G281" s="2484">
        <v>0.15</v>
      </c>
    </row>
    <row r="282" spans="1:7">
      <c r="A282" s="2493" t="s">
        <v>304</v>
      </c>
      <c r="B282" s="2482" t="s">
        <v>2793</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2808</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2813</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2823</v>
      </c>
      <c r="C293" s="2483">
        <v>0.15</v>
      </c>
      <c r="D293" s="2483">
        <v>0.15</v>
      </c>
      <c r="E293" s="2483">
        <v>0.15</v>
      </c>
      <c r="F293" s="2483">
        <v>0.14499999999999999</v>
      </c>
      <c r="G293" s="2484">
        <v>0.15</v>
      </c>
    </row>
    <row r="294" spans="1:7">
      <c r="A294" s="2493" t="s">
        <v>304</v>
      </c>
      <c r="B294" s="2482" t="s">
        <v>2825</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2842</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2855</v>
      </c>
      <c r="C302" s="2483">
        <v>0.15</v>
      </c>
      <c r="D302" s="2483">
        <v>0.15</v>
      </c>
      <c r="E302" s="2483">
        <v>0.15</v>
      </c>
      <c r="F302" s="2483">
        <v>0.14699999999999999</v>
      </c>
      <c r="G302" s="2484">
        <v>0.15</v>
      </c>
    </row>
    <row r="303" spans="1:7">
      <c r="A303" s="2493" t="s">
        <v>304</v>
      </c>
      <c r="B303" s="2482" t="s">
        <v>2862</v>
      </c>
      <c r="C303" s="2483">
        <v>0.15</v>
      </c>
      <c r="D303" s="2483">
        <v>0.15</v>
      </c>
      <c r="E303" s="2483">
        <v>0.15</v>
      </c>
      <c r="F303" s="2483">
        <v>0.14199999999999999</v>
      </c>
      <c r="G303" s="2484">
        <v>0.15</v>
      </c>
    </row>
    <row r="304" spans="1:7">
      <c r="A304" s="2493" t="s">
        <v>304</v>
      </c>
      <c r="B304" s="2482" t="s">
        <v>2869</v>
      </c>
      <c r="C304" s="2483">
        <v>0.15</v>
      </c>
      <c r="D304" s="2483">
        <v>0.15</v>
      </c>
      <c r="E304" s="2483">
        <v>0.15</v>
      </c>
      <c r="F304" s="2483">
        <v>0.14499999999999999</v>
      </c>
      <c r="G304" s="2484">
        <v>0.15</v>
      </c>
    </row>
    <row r="305" spans="1:7">
      <c r="A305" s="2493" t="s">
        <v>304</v>
      </c>
      <c r="B305" s="2482" t="s">
        <v>2875</v>
      </c>
      <c r="C305" s="2483">
        <v>0.15</v>
      </c>
      <c r="D305" s="2483">
        <v>0.15</v>
      </c>
      <c r="E305" s="2483">
        <v>0.15</v>
      </c>
      <c r="F305" s="2483">
        <v>0.111</v>
      </c>
      <c r="G305" s="2484">
        <v>0.15</v>
      </c>
    </row>
    <row r="306" spans="1:7">
      <c r="A306" s="2493" t="s">
        <v>304</v>
      </c>
      <c r="B306" s="2482" t="s">
        <v>2882</v>
      </c>
      <c r="C306" s="2483">
        <v>0.15</v>
      </c>
      <c r="D306" s="2483">
        <v>0.15</v>
      </c>
      <c r="E306" s="2483">
        <v>0.15</v>
      </c>
      <c r="F306" s="2483">
        <v>0.126</v>
      </c>
      <c r="G306" s="2484">
        <v>0.15</v>
      </c>
    </row>
    <row r="307" spans="1:7">
      <c r="A307" s="2493" t="s">
        <v>304</v>
      </c>
      <c r="B307" s="2482" t="s">
        <v>2887</v>
      </c>
      <c r="C307" s="2483">
        <v>0.15</v>
      </c>
      <c r="D307" s="2483">
        <v>0.15</v>
      </c>
      <c r="E307" s="2483">
        <v>0.15</v>
      </c>
      <c r="F307" s="2483">
        <v>0.12</v>
      </c>
      <c r="G307" s="2484">
        <v>0.15</v>
      </c>
    </row>
    <row r="308" spans="1:7">
      <c r="A308" s="2493" t="s">
        <v>304</v>
      </c>
      <c r="B308" s="2482" t="s">
        <v>2893</v>
      </c>
      <c r="C308" s="2483">
        <v>0.15</v>
      </c>
      <c r="D308" s="2483">
        <v>0.15</v>
      </c>
      <c r="E308" s="2483">
        <v>0.15</v>
      </c>
      <c r="F308" s="2483">
        <v>0.13</v>
      </c>
      <c r="G308" s="2484">
        <v>0.15</v>
      </c>
    </row>
    <row r="309" spans="1:7">
      <c r="A309" s="2493" t="s">
        <v>304</v>
      </c>
      <c r="B309" s="2482" t="s">
        <v>2897</v>
      </c>
      <c r="C309" s="2483">
        <v>0.15</v>
      </c>
      <c r="D309" s="2483">
        <v>0.15</v>
      </c>
      <c r="E309" s="2483">
        <v>0.15</v>
      </c>
      <c r="F309" s="2483">
        <v>0.14099999999999999</v>
      </c>
      <c r="G309" s="2484">
        <v>0.15</v>
      </c>
    </row>
    <row r="310" spans="1:7">
      <c r="A310" s="2493" t="s">
        <v>304</v>
      </c>
      <c r="B310" s="2482" t="s">
        <v>2902</v>
      </c>
      <c r="C310" s="2483">
        <v>0.15</v>
      </c>
      <c r="D310" s="2483">
        <v>0.15</v>
      </c>
      <c r="E310" s="2483">
        <v>0.15</v>
      </c>
      <c r="F310" s="2483">
        <v>0.15</v>
      </c>
      <c r="G310" s="2484">
        <v>0.15</v>
      </c>
    </row>
    <row r="311" spans="1:7">
      <c r="A311" s="2493" t="s">
        <v>304</v>
      </c>
      <c r="B311" s="2482" t="s">
        <v>2907</v>
      </c>
      <c r="C311" s="2483">
        <v>0.13200000000000001</v>
      </c>
      <c r="D311" s="2483">
        <v>0.13300000000000001</v>
      </c>
      <c r="E311" s="2483">
        <v>0.14499999999999999</v>
      </c>
      <c r="F311" s="2483">
        <v>0.14199999999999999</v>
      </c>
      <c r="G311" s="2484">
        <v>0.14000000000000001</v>
      </c>
    </row>
    <row r="312" spans="1:7">
      <c r="A312" s="2493" t="s">
        <v>304</v>
      </c>
      <c r="B312" s="2482" t="s">
        <v>2912</v>
      </c>
      <c r="C312" s="2483">
        <v>0.13800000000000001</v>
      </c>
      <c r="D312" s="2483">
        <v>0.14000000000000001</v>
      </c>
      <c r="E312" s="2483">
        <v>0.14599999999999999</v>
      </c>
      <c r="F312" s="2483">
        <v>0.14899999999999999</v>
      </c>
      <c r="G312" s="2484">
        <v>0.14199999999999999</v>
      </c>
    </row>
    <row r="313" spans="1:7">
      <c r="A313" s="2493" t="s">
        <v>304</v>
      </c>
      <c r="B313" s="2482" t="s">
        <v>2917</v>
      </c>
      <c r="C313" s="2483">
        <v>0.125</v>
      </c>
      <c r="D313" s="2483">
        <v>0.127</v>
      </c>
      <c r="E313" s="2483">
        <v>0.14399999999999999</v>
      </c>
      <c r="F313" s="2483">
        <v>0.115</v>
      </c>
      <c r="G313" s="2484">
        <v>0.13600000000000001</v>
      </c>
    </row>
    <row r="314" spans="1:7">
      <c r="A314" s="2493" t="s">
        <v>304</v>
      </c>
      <c r="B314" s="2482" t="s">
        <v>3126</v>
      </c>
      <c r="C314" s="2499"/>
      <c r="D314" s="2499"/>
      <c r="E314" s="2499"/>
      <c r="F314" s="2483">
        <v>0.05</v>
      </c>
      <c r="G314" s="2500"/>
    </row>
    <row r="315" spans="1:7">
      <c r="A315" s="2493" t="s">
        <v>304</v>
      </c>
      <c r="B315" s="2482" t="s">
        <v>3127</v>
      </c>
      <c r="C315" s="2499"/>
      <c r="D315" s="2499"/>
      <c r="E315" s="2499"/>
      <c r="F315" s="2483">
        <v>0.05</v>
      </c>
      <c r="G315" s="2500"/>
    </row>
    <row r="316" spans="1:7">
      <c r="A316" s="2493" t="s">
        <v>304</v>
      </c>
      <c r="B316" s="2482" t="s">
        <v>3128</v>
      </c>
      <c r="C316" s="2494"/>
      <c r="D316" s="2494"/>
      <c r="E316" s="2494"/>
      <c r="F316" s="2483">
        <v>0.05</v>
      </c>
      <c r="G316" s="2500"/>
    </row>
    <row r="317" spans="1:7">
      <c r="A317" s="2493" t="s">
        <v>304</v>
      </c>
      <c r="B317" s="2482" t="s">
        <v>3129</v>
      </c>
      <c r="C317" s="2494"/>
      <c r="D317" s="2494"/>
      <c r="E317" s="2494"/>
      <c r="F317" s="2483">
        <v>0.05</v>
      </c>
      <c r="G317" s="2500"/>
    </row>
    <row r="318" spans="1:7">
      <c r="A318" s="2493" t="s">
        <v>304</v>
      </c>
      <c r="B318" s="2482" t="s">
        <v>3130</v>
      </c>
      <c r="C318" s="2494"/>
      <c r="D318" s="2494"/>
      <c r="E318" s="2494"/>
      <c r="F318" s="2483">
        <v>0.05</v>
      </c>
      <c r="G318" s="2500"/>
    </row>
    <row r="319" spans="1:7">
      <c r="A319" s="2493" t="s">
        <v>304</v>
      </c>
      <c r="B319" s="2482" t="s">
        <v>3131</v>
      </c>
      <c r="C319" s="2494"/>
      <c r="D319" s="2494"/>
      <c r="E319" s="2494"/>
      <c r="F319" s="2483">
        <v>0.05</v>
      </c>
      <c r="G319" s="2500"/>
    </row>
    <row r="320" spans="1:7">
      <c r="A320" s="2493" t="s">
        <v>304</v>
      </c>
      <c r="B320" s="2482" t="s">
        <v>3132</v>
      </c>
      <c r="C320" s="2494"/>
      <c r="D320" s="2494"/>
      <c r="E320" s="2494"/>
      <c r="F320" s="2483">
        <v>0.05</v>
      </c>
      <c r="G320" s="2500"/>
    </row>
    <row r="321" spans="1:7">
      <c r="A321" s="2493" t="s">
        <v>304</v>
      </c>
      <c r="B321" s="2482" t="s">
        <v>3133</v>
      </c>
      <c r="C321" s="2494"/>
      <c r="D321" s="2494"/>
      <c r="E321" s="2494"/>
      <c r="F321" s="2483">
        <v>0.05</v>
      </c>
      <c r="G321" s="2500"/>
    </row>
    <row r="322" spans="1:7">
      <c r="A322" s="2493" t="s">
        <v>304</v>
      </c>
      <c r="B322" s="2482" t="s">
        <v>3134</v>
      </c>
      <c r="C322" s="2494"/>
      <c r="D322" s="2494"/>
      <c r="E322" s="2494"/>
      <c r="F322" s="2483">
        <v>0.05</v>
      </c>
      <c r="G322" s="2500"/>
    </row>
    <row r="323" spans="1:7">
      <c r="A323" s="2493" t="s">
        <v>304</v>
      </c>
      <c r="B323" s="2482" t="s">
        <v>3135</v>
      </c>
      <c r="C323" s="2494"/>
      <c r="D323" s="2494"/>
      <c r="E323" s="2494"/>
      <c r="F323" s="2483">
        <v>0.05</v>
      </c>
      <c r="G323" s="2500"/>
    </row>
    <row r="324" spans="1:7">
      <c r="A324" s="2493" t="s">
        <v>304</v>
      </c>
      <c r="B324" s="2482" t="s">
        <v>3136</v>
      </c>
      <c r="C324" s="2494"/>
      <c r="D324" s="2494"/>
      <c r="E324" s="2494"/>
      <c r="F324" s="2483">
        <v>0.05</v>
      </c>
      <c r="G324" s="2500"/>
    </row>
    <row r="325" spans="1:7">
      <c r="A325" s="2493" t="s">
        <v>304</v>
      </c>
      <c r="B325" s="2482" t="s">
        <v>3137</v>
      </c>
      <c r="C325" s="2494"/>
      <c r="D325" s="2494"/>
      <c r="E325" s="2494"/>
      <c r="F325" s="2483">
        <v>0.05</v>
      </c>
      <c r="G325" s="2500"/>
    </row>
    <row r="326" spans="1:7" ht="14.25" thickBot="1">
      <c r="A326" s="2496" t="s">
        <v>304</v>
      </c>
      <c r="B326" s="2486" t="s">
        <v>3138</v>
      </c>
      <c r="C326" s="2488"/>
      <c r="D326" s="2488"/>
      <c r="E326" s="2488"/>
      <c r="F326" s="2487">
        <v>0.05</v>
      </c>
      <c r="G326" s="2501"/>
    </row>
    <row r="327" spans="1:7">
      <c r="A327" s="2492" t="s">
        <v>305</v>
      </c>
      <c r="B327" s="2478" t="s">
        <v>2770</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2782</v>
      </c>
      <c r="C329" s="2483">
        <v>0.15</v>
      </c>
      <c r="D329" s="2483">
        <v>0.15</v>
      </c>
      <c r="E329" s="2483">
        <v>0.15</v>
      </c>
      <c r="F329" s="2483">
        <v>0.15</v>
      </c>
      <c r="G329" s="2484">
        <v>0.15</v>
      </c>
    </row>
    <row r="330" spans="1:7">
      <c r="A330" s="2493" t="s">
        <v>305</v>
      </c>
      <c r="B330" s="2482" t="s">
        <v>2786</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2794</v>
      </c>
      <c r="C332" s="2483">
        <v>0.15</v>
      </c>
      <c r="D332" s="2483">
        <v>0.15</v>
      </c>
      <c r="E332" s="2483">
        <v>0.15</v>
      </c>
      <c r="F332" s="2483">
        <v>0.15</v>
      </c>
      <c r="G332" s="2484">
        <v>0.15</v>
      </c>
    </row>
    <row r="333" spans="1:7">
      <c r="A333" s="2493" t="s">
        <v>305</v>
      </c>
      <c r="B333" s="2482" t="s">
        <v>2798</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2804</v>
      </c>
      <c r="C336" s="2483">
        <v>0.15</v>
      </c>
      <c r="D336" s="2483">
        <v>0.15</v>
      </c>
      <c r="E336" s="2483">
        <v>0.15</v>
      </c>
      <c r="F336" s="2483">
        <v>0.14199999999999999</v>
      </c>
      <c r="G336" s="2484">
        <v>0.15</v>
      </c>
    </row>
    <row r="337" spans="1:7">
      <c r="A337" s="2493" t="s">
        <v>305</v>
      </c>
      <c r="B337" s="2482" t="s">
        <v>2809</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2816</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2821</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2829</v>
      </c>
      <c r="C345" s="2483">
        <v>0.15</v>
      </c>
      <c r="D345" s="2483">
        <v>0.15</v>
      </c>
      <c r="E345" s="2483">
        <v>0.15</v>
      </c>
      <c r="F345" s="2483">
        <v>0.13800000000000001</v>
      </c>
      <c r="G345" s="2484">
        <v>0.15</v>
      </c>
    </row>
    <row r="346" spans="1:7">
      <c r="A346" s="2493" t="s">
        <v>305</v>
      </c>
      <c r="B346" s="2482" t="s">
        <v>2831</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2838</v>
      </c>
      <c r="C348" s="2483">
        <v>0.15</v>
      </c>
      <c r="D348" s="2483">
        <v>0.15</v>
      </c>
      <c r="E348" s="2483">
        <v>0.15</v>
      </c>
      <c r="F348" s="2483">
        <v>0.14399999999999999</v>
      </c>
      <c r="G348" s="2484">
        <v>0.15</v>
      </c>
    </row>
    <row r="349" spans="1:7">
      <c r="A349" s="2493" t="s">
        <v>305</v>
      </c>
      <c r="B349" s="2482" t="s">
        <v>2843</v>
      </c>
      <c r="C349" s="2483">
        <v>0.15</v>
      </c>
      <c r="D349" s="2483">
        <v>0.15</v>
      </c>
      <c r="E349" s="2483">
        <v>0.15</v>
      </c>
      <c r="F349" s="2483">
        <v>0.15</v>
      </c>
      <c r="G349" s="2484">
        <v>0.15</v>
      </c>
    </row>
    <row r="350" spans="1:7">
      <c r="A350" s="2493" t="s">
        <v>305</v>
      </c>
      <c r="B350" s="2482" t="s">
        <v>2846</v>
      </c>
      <c r="C350" s="2483">
        <v>0.15</v>
      </c>
      <c r="D350" s="2483">
        <v>0.15</v>
      </c>
      <c r="E350" s="2483">
        <v>0.15</v>
      </c>
      <c r="F350" s="2483">
        <v>0.14699999999999999</v>
      </c>
      <c r="G350" s="2484">
        <v>0.15</v>
      </c>
    </row>
    <row r="351" spans="1:7">
      <c r="A351" s="2493" t="s">
        <v>305</v>
      </c>
      <c r="B351" s="2482" t="s">
        <v>2851</v>
      </c>
      <c r="C351" s="2483">
        <v>0.15</v>
      </c>
      <c r="D351" s="2483">
        <v>0.15</v>
      </c>
      <c r="E351" s="2483">
        <v>0.15</v>
      </c>
      <c r="F351" s="2483">
        <v>0.13</v>
      </c>
      <c r="G351" s="2484">
        <v>0.15</v>
      </c>
    </row>
    <row r="352" spans="1:7">
      <c r="A352" s="2493" t="s">
        <v>305</v>
      </c>
      <c r="B352" s="2482" t="s">
        <v>2856</v>
      </c>
      <c r="C352" s="2483">
        <v>0.15</v>
      </c>
      <c r="D352" s="2483">
        <v>0.15</v>
      </c>
      <c r="E352" s="2483">
        <v>0.15</v>
      </c>
      <c r="F352" s="2483">
        <v>0.14599999999999999</v>
      </c>
      <c r="G352" s="2484">
        <v>0.15</v>
      </c>
    </row>
    <row r="353" spans="1:7">
      <c r="A353" s="2493" t="s">
        <v>305</v>
      </c>
      <c r="B353" s="2482" t="s">
        <v>2863</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2876</v>
      </c>
      <c r="C355" s="2483">
        <v>0.15</v>
      </c>
      <c r="D355" s="2483">
        <v>0.15</v>
      </c>
      <c r="E355" s="2483">
        <v>0.15</v>
      </c>
      <c r="F355" s="2483">
        <v>0.15</v>
      </c>
      <c r="G355" s="2484">
        <v>0.15</v>
      </c>
    </row>
    <row r="356" spans="1:7">
      <c r="A356" s="2493" t="s">
        <v>305</v>
      </c>
      <c r="B356" s="2482" t="s">
        <v>2883</v>
      </c>
      <c r="C356" s="2483">
        <v>0.15</v>
      </c>
      <c r="D356" s="2483">
        <v>0.15</v>
      </c>
      <c r="E356" s="2483">
        <v>0.15</v>
      </c>
      <c r="F356" s="2483">
        <v>0.15</v>
      </c>
      <c r="G356" s="2484">
        <v>0.15</v>
      </c>
    </row>
    <row r="357" spans="1:7" ht="14.25" thickBot="1">
      <c r="A357" s="2496" t="s">
        <v>305</v>
      </c>
      <c r="B357" s="2486" t="s">
        <v>2888</v>
      </c>
      <c r="C357" s="2487">
        <v>0.126</v>
      </c>
      <c r="D357" s="2487">
        <v>0.127</v>
      </c>
      <c r="E357" s="2487">
        <v>0.14299999999999999</v>
      </c>
      <c r="F357" s="2487">
        <v>0.125</v>
      </c>
      <c r="G357" s="2489">
        <v>0.129</v>
      </c>
    </row>
    <row r="358" spans="1:7">
      <c r="A358" s="2492" t="s">
        <v>2757</v>
      </c>
      <c r="B358" s="2478" t="s">
        <v>2771</v>
      </c>
      <c r="C358" s="2479">
        <v>0.15</v>
      </c>
      <c r="D358" s="2479">
        <v>0.15</v>
      </c>
      <c r="E358" s="2479">
        <v>0.15</v>
      </c>
      <c r="F358" s="2479">
        <v>0.15</v>
      </c>
      <c r="G358" s="2480">
        <v>0.15</v>
      </c>
    </row>
    <row r="359" spans="1:7">
      <c r="A359" s="2493" t="s">
        <v>2757</v>
      </c>
      <c r="B359" s="2482" t="s">
        <v>2777</v>
      </c>
      <c r="C359" s="2483">
        <v>0.1</v>
      </c>
      <c r="D359" s="2483">
        <v>0.1</v>
      </c>
      <c r="E359" s="2483">
        <v>0.1</v>
      </c>
      <c r="F359" s="2483">
        <v>0.1</v>
      </c>
      <c r="G359" s="2484">
        <v>0.1</v>
      </c>
    </row>
    <row r="360" spans="1:7">
      <c r="A360" s="2493" t="s">
        <v>2757</v>
      </c>
      <c r="B360" s="2482" t="s">
        <v>2783</v>
      </c>
      <c r="C360" s="2483">
        <v>0.15</v>
      </c>
      <c r="D360" s="2483">
        <v>0.15</v>
      </c>
      <c r="E360" s="2483">
        <v>0.15</v>
      </c>
      <c r="F360" s="2483">
        <v>0.14899999999999999</v>
      </c>
      <c r="G360" s="2484">
        <v>0.15</v>
      </c>
    </row>
    <row r="361" spans="1:7">
      <c r="A361" s="2493" t="s">
        <v>2757</v>
      </c>
      <c r="B361" s="2482" t="s">
        <v>151</v>
      </c>
      <c r="C361" s="2483">
        <v>0.15</v>
      </c>
      <c r="D361" s="2483">
        <v>0.15</v>
      </c>
      <c r="E361" s="2483">
        <v>0.15</v>
      </c>
      <c r="F361" s="2483">
        <v>0.115</v>
      </c>
      <c r="G361" s="2484">
        <v>0.15</v>
      </c>
    </row>
    <row r="362" spans="1:7">
      <c r="A362" s="2493" t="s">
        <v>2757</v>
      </c>
      <c r="B362" s="2482" t="s">
        <v>2790</v>
      </c>
      <c r="C362" s="2483">
        <v>0.15</v>
      </c>
      <c r="D362" s="2483">
        <v>0.15</v>
      </c>
      <c r="E362" s="2483">
        <v>0.15</v>
      </c>
      <c r="F362" s="2483">
        <v>0.106</v>
      </c>
      <c r="G362" s="2484">
        <v>0.15</v>
      </c>
    </row>
    <row r="363" spans="1:7">
      <c r="A363" s="2493" t="s">
        <v>2757</v>
      </c>
      <c r="B363" s="2482" t="s">
        <v>2795</v>
      </c>
      <c r="C363" s="2483">
        <v>0.15</v>
      </c>
      <c r="D363" s="2483">
        <v>0.15</v>
      </c>
      <c r="E363" s="2483">
        <v>0.15</v>
      </c>
      <c r="F363" s="2483">
        <v>0.14699999999999999</v>
      </c>
      <c r="G363" s="2484">
        <v>0.15</v>
      </c>
    </row>
    <row r="364" spans="1:7">
      <c r="A364" s="2493" t="s">
        <v>2757</v>
      </c>
      <c r="B364" s="2482" t="s">
        <v>2799</v>
      </c>
      <c r="C364" s="2483">
        <v>0.15</v>
      </c>
      <c r="D364" s="2483">
        <v>0.15</v>
      </c>
      <c r="E364" s="2483">
        <v>0.15</v>
      </c>
      <c r="F364" s="2483">
        <v>0.14799999999999999</v>
      </c>
      <c r="G364" s="2484">
        <v>0.15</v>
      </c>
    </row>
    <row r="365" spans="1:7">
      <c r="A365" s="2493" t="s">
        <v>2757</v>
      </c>
      <c r="B365" s="2482" t="s">
        <v>198</v>
      </c>
      <c r="C365" s="2483">
        <v>0.15</v>
      </c>
      <c r="D365" s="2483">
        <v>0.15</v>
      </c>
      <c r="E365" s="2483">
        <v>0.15</v>
      </c>
      <c r="F365" s="2483">
        <v>0.15</v>
      </c>
      <c r="G365" s="2484">
        <v>0.15</v>
      </c>
    </row>
    <row r="366" spans="1:7">
      <c r="A366" s="2493" t="s">
        <v>2757</v>
      </c>
      <c r="B366" s="2482" t="s">
        <v>2802</v>
      </c>
      <c r="C366" s="2483">
        <v>0.15</v>
      </c>
      <c r="D366" s="2483">
        <v>0.15</v>
      </c>
      <c r="E366" s="2483">
        <v>0.15</v>
      </c>
      <c r="F366" s="2483">
        <v>0.15</v>
      </c>
      <c r="G366" s="2484">
        <v>0.15</v>
      </c>
    </row>
    <row r="367" spans="1:7">
      <c r="A367" s="2493" t="s">
        <v>2757</v>
      </c>
      <c r="B367" s="2482" t="s">
        <v>2805</v>
      </c>
      <c r="C367" s="2483">
        <v>0.15</v>
      </c>
      <c r="D367" s="2483">
        <v>0.15</v>
      </c>
      <c r="E367" s="2483">
        <v>0.15</v>
      </c>
      <c r="F367" s="2483">
        <v>0.14699999999999999</v>
      </c>
      <c r="G367" s="2484">
        <v>0.15</v>
      </c>
    </row>
    <row r="368" spans="1:7">
      <c r="A368" s="2493" t="s">
        <v>2757</v>
      </c>
      <c r="B368" s="2482" t="s">
        <v>2810</v>
      </c>
      <c r="C368" s="2483">
        <v>0.15</v>
      </c>
      <c r="D368" s="2483">
        <v>0.15</v>
      </c>
      <c r="E368" s="2483">
        <v>0.15</v>
      </c>
      <c r="F368" s="2483">
        <v>0.13600000000000001</v>
      </c>
      <c r="G368" s="2484">
        <v>0.15</v>
      </c>
    </row>
    <row r="369" spans="1:7">
      <c r="A369" s="2493" t="s">
        <v>2757</v>
      </c>
      <c r="B369" s="2482" t="s">
        <v>212</v>
      </c>
      <c r="C369" s="2483">
        <v>0.15</v>
      </c>
      <c r="D369" s="2483">
        <v>0.15</v>
      </c>
      <c r="E369" s="2483">
        <v>0.15</v>
      </c>
      <c r="F369" s="2483">
        <v>0.14399999999999999</v>
      </c>
      <c r="G369" s="2484">
        <v>0.15</v>
      </c>
    </row>
    <row r="370" spans="1:7">
      <c r="A370" s="2493" t="s">
        <v>2757</v>
      </c>
      <c r="B370" s="2482" t="s">
        <v>219</v>
      </c>
      <c r="C370" s="2483">
        <v>0.15</v>
      </c>
      <c r="D370" s="2483">
        <v>0.15</v>
      </c>
      <c r="E370" s="2483">
        <v>0.15</v>
      </c>
      <c r="F370" s="2483">
        <v>0.14599999999999999</v>
      </c>
      <c r="G370" s="2484">
        <v>0.15</v>
      </c>
    </row>
    <row r="371" spans="1:7">
      <c r="A371" s="2493" t="s">
        <v>2757</v>
      </c>
      <c r="B371" s="2482" t="s">
        <v>227</v>
      </c>
      <c r="C371" s="2483">
        <v>0.15</v>
      </c>
      <c r="D371" s="2483">
        <v>0.15</v>
      </c>
      <c r="E371" s="2483">
        <v>0.15</v>
      </c>
      <c r="F371" s="2483">
        <v>0.12</v>
      </c>
      <c r="G371" s="2484">
        <v>0.15</v>
      </c>
    </row>
    <row r="372" spans="1:7">
      <c r="A372" s="2493" t="s">
        <v>2757</v>
      </c>
      <c r="B372" s="2482" t="s">
        <v>2818</v>
      </c>
      <c r="C372" s="2483">
        <v>0.15</v>
      </c>
      <c r="D372" s="2483">
        <v>0.15</v>
      </c>
      <c r="E372" s="2483">
        <v>0.15</v>
      </c>
      <c r="F372" s="2483">
        <v>0.14299999999999999</v>
      </c>
      <c r="G372" s="2484">
        <v>0.15</v>
      </c>
    </row>
    <row r="373" spans="1:7">
      <c r="A373" s="2493" t="s">
        <v>2757</v>
      </c>
      <c r="B373" s="2482" t="s">
        <v>256</v>
      </c>
      <c r="C373" s="2483">
        <v>0.15</v>
      </c>
      <c r="D373" s="2483">
        <v>0.15</v>
      </c>
      <c r="E373" s="2483">
        <v>0.15</v>
      </c>
      <c r="F373" s="2483">
        <v>0.14599999999999999</v>
      </c>
      <c r="G373" s="2484">
        <v>0.15</v>
      </c>
    </row>
    <row r="374" spans="1:7">
      <c r="A374" s="2493" t="s">
        <v>2757</v>
      </c>
      <c r="B374" s="2482" t="s">
        <v>264</v>
      </c>
      <c r="C374" s="2483">
        <v>0.15</v>
      </c>
      <c r="D374" s="2483">
        <v>0.15</v>
      </c>
      <c r="E374" s="2483">
        <v>0.15</v>
      </c>
      <c r="F374" s="2483">
        <v>0.14399999999999999</v>
      </c>
      <c r="G374" s="2484">
        <v>0.15</v>
      </c>
    </row>
    <row r="375" spans="1:7">
      <c r="A375" s="2493" t="s">
        <v>2757</v>
      </c>
      <c r="B375" s="2482" t="s">
        <v>2826</v>
      </c>
      <c r="C375" s="2483">
        <v>0.15</v>
      </c>
      <c r="D375" s="2483">
        <v>0.15</v>
      </c>
      <c r="E375" s="2483">
        <v>0.15</v>
      </c>
      <c r="F375" s="2483">
        <v>0.13</v>
      </c>
      <c r="G375" s="2484">
        <v>0.15</v>
      </c>
    </row>
    <row r="376" spans="1:7">
      <c r="A376" s="2493" t="s">
        <v>2757</v>
      </c>
      <c r="B376" s="2482" t="s">
        <v>275</v>
      </c>
      <c r="C376" s="2483">
        <v>0.15</v>
      </c>
      <c r="D376" s="2483">
        <v>0.15</v>
      </c>
      <c r="E376" s="2483">
        <v>0.15</v>
      </c>
      <c r="F376" s="2483">
        <v>0.14199999999999999</v>
      </c>
      <c r="G376" s="2484">
        <v>0.15</v>
      </c>
    </row>
    <row r="377" spans="1:7" ht="14.25" thickBot="1">
      <c r="A377" s="2496" t="s">
        <v>2757</v>
      </c>
      <c r="B377" s="2486" t="s">
        <v>2832</v>
      </c>
      <c r="C377" s="2487">
        <v>0.15</v>
      </c>
      <c r="D377" s="2487">
        <v>0.15</v>
      </c>
      <c r="E377" s="2487">
        <v>0.15</v>
      </c>
      <c r="F377" s="2487">
        <v>0.14000000000000001</v>
      </c>
      <c r="G377" s="2489">
        <v>0.15</v>
      </c>
    </row>
    <row r="378" spans="1:7">
      <c r="A378" s="2492" t="s">
        <v>2758</v>
      </c>
      <c r="B378" s="2478" t="s">
        <v>2772</v>
      </c>
      <c r="C378" s="2479">
        <v>0.15</v>
      </c>
      <c r="D378" s="2479">
        <v>0.15</v>
      </c>
      <c r="E378" s="2479">
        <v>0.15</v>
      </c>
      <c r="F378" s="2479">
        <v>0.107</v>
      </c>
      <c r="G378" s="2480">
        <v>0.15</v>
      </c>
    </row>
    <row r="379" spans="1:7">
      <c r="A379" s="2493" t="s">
        <v>2758</v>
      </c>
      <c r="B379" s="2482" t="s">
        <v>2778</v>
      </c>
      <c r="C379" s="2483">
        <v>0.15</v>
      </c>
      <c r="D379" s="2483">
        <v>0.15</v>
      </c>
      <c r="E379" s="2483">
        <v>0.15</v>
      </c>
      <c r="F379" s="2483">
        <v>0.115</v>
      </c>
      <c r="G379" s="2484">
        <v>0.14899999999999999</v>
      </c>
    </row>
    <row r="380" spans="1:7">
      <c r="A380" s="2493" t="s">
        <v>2758</v>
      </c>
      <c r="B380" s="2482" t="s">
        <v>2784</v>
      </c>
      <c r="C380" s="2483">
        <v>0.15</v>
      </c>
      <c r="D380" s="2483">
        <v>0.15</v>
      </c>
      <c r="E380" s="2483">
        <v>0.15</v>
      </c>
      <c r="F380" s="2483">
        <v>0.1</v>
      </c>
      <c r="G380" s="2484">
        <v>0.14799999999999999</v>
      </c>
    </row>
    <row r="381" spans="1:7">
      <c r="A381" s="2493" t="s">
        <v>2758</v>
      </c>
      <c r="B381" s="2482" t="s">
        <v>2787</v>
      </c>
      <c r="C381" s="2483">
        <v>0.15</v>
      </c>
      <c r="D381" s="2483">
        <v>0.15</v>
      </c>
      <c r="E381" s="2483">
        <v>0.15</v>
      </c>
      <c r="F381" s="2483">
        <v>0.126</v>
      </c>
      <c r="G381" s="2484">
        <v>0.15</v>
      </c>
    </row>
    <row r="382" spans="1:7">
      <c r="A382" s="2493" t="s">
        <v>2758</v>
      </c>
      <c r="B382" s="2482" t="s">
        <v>2791</v>
      </c>
      <c r="C382" s="2483">
        <v>0.15</v>
      </c>
      <c r="D382" s="2483">
        <v>0.15</v>
      </c>
      <c r="E382" s="2483">
        <v>0.15</v>
      </c>
      <c r="F382" s="2483">
        <v>0.15</v>
      </c>
      <c r="G382" s="2484">
        <v>0.15</v>
      </c>
    </row>
    <row r="383" spans="1:7">
      <c r="A383" s="2493" t="s">
        <v>2758</v>
      </c>
      <c r="B383" s="2482" t="s">
        <v>2796</v>
      </c>
      <c r="C383" s="2483">
        <v>0.15</v>
      </c>
      <c r="D383" s="2483">
        <v>0.15</v>
      </c>
      <c r="E383" s="2483">
        <v>0.15</v>
      </c>
      <c r="F383" s="2483">
        <v>0.14699999999999999</v>
      </c>
      <c r="G383" s="2484">
        <v>0.15</v>
      </c>
    </row>
    <row r="384" spans="1:7" ht="14.25" thickBot="1">
      <c r="A384" s="2503" t="s">
        <v>2758</v>
      </c>
      <c r="B384" s="2504" t="s">
        <v>2800</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348"/>
  </cols>
  <sheetData>
    <row r="1" spans="1:6">
      <c r="A1" s="4572" t="s">
        <v>3139</v>
      </c>
      <c r="B1" s="4572"/>
      <c r="C1" s="4572"/>
      <c r="D1" s="4572"/>
      <c r="E1" s="4572"/>
      <c r="F1" s="4573"/>
    </row>
    <row r="2" spans="1:6">
      <c r="A2" s="2507" t="s">
        <v>3140</v>
      </c>
    </row>
    <row r="3" spans="1:6">
      <c r="A3" s="2507" t="s">
        <v>3141</v>
      </c>
      <c r="F3" s="2508" t="s">
        <v>3142</v>
      </c>
    </row>
    <row r="4" spans="1:6">
      <c r="A4" s="2509" t="s">
        <v>652</v>
      </c>
      <c r="B4" s="2509" t="s">
        <v>653</v>
      </c>
      <c r="C4" s="2509" t="s">
        <v>19</v>
      </c>
      <c r="D4" s="2509" t="s">
        <v>654</v>
      </c>
      <c r="E4" s="2509" t="s">
        <v>3</v>
      </c>
      <c r="F4" s="2509" t="s">
        <v>3143</v>
      </c>
    </row>
    <row r="5" spans="1:6">
      <c r="A5" s="2510" t="s">
        <v>655</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68" t="str">
        <f>IF(项目基本情况!B9="房地产市场价值","估价结果一览表","结果表-2")</f>
        <v>结果表-2</v>
      </c>
      <c r="B1" s="4168"/>
      <c r="C1" s="4168"/>
      <c r="D1" s="4168"/>
      <c r="E1" s="4168"/>
      <c r="F1" s="4168"/>
      <c r="G1" s="4168"/>
      <c r="H1" s="4168"/>
      <c r="I1" s="4168"/>
    </row>
    <row r="2" spans="1:9" ht="30" customHeight="1" thickTop="1">
      <c r="A2" s="4169" t="s">
        <v>908</v>
      </c>
      <c r="B2" s="4169" t="s">
        <v>909</v>
      </c>
      <c r="C2" s="4169" t="s">
        <v>910</v>
      </c>
      <c r="D2" s="4169" t="str">
        <f>结果表!D116</f>
        <v>出让国有建设用地使用权价值</v>
      </c>
      <c r="E2" s="4169"/>
      <c r="F2" s="4169" t="str">
        <f>结果表!F116</f>
        <v>在建建筑物价值</v>
      </c>
      <c r="G2" s="4169"/>
      <c r="H2" s="4169" t="str">
        <f>IF(项目基本情况!B9="房地产市场价值","房地产市场价值","房地产价值")</f>
        <v>房地产价值</v>
      </c>
      <c r="I2" s="4169"/>
    </row>
    <row r="3" spans="1:9" ht="15">
      <c r="A3" s="4164"/>
      <c r="B3" s="4164"/>
      <c r="C3" s="4164"/>
      <c r="D3" s="596" t="s">
        <v>905</v>
      </c>
      <c r="E3" s="596" t="s">
        <v>911</v>
      </c>
      <c r="F3" s="596" t="s">
        <v>905</v>
      </c>
      <c r="G3" s="596" t="s">
        <v>906</v>
      </c>
      <c r="H3" s="596" t="s">
        <v>905</v>
      </c>
      <c r="I3" s="596" t="s">
        <v>906</v>
      </c>
    </row>
    <row r="4" spans="1:9" ht="15">
      <c r="A4" s="1123" t="str">
        <f>项目基本情况!S2</f>
        <v>北京市房地产</v>
      </c>
      <c r="B4" s="596">
        <f>项目基本情况!C17</f>
        <v>145.47</v>
      </c>
      <c r="C4" s="596">
        <f>项目基本情况!C18</f>
        <v>0</v>
      </c>
      <c r="D4" s="596" t="e">
        <f ca="1">结果表!D118</f>
        <v>#REF!</v>
      </c>
      <c r="E4" s="596" t="e">
        <f ca="1">结果表!E118</f>
        <v>#REF!</v>
      </c>
      <c r="F4" s="596" t="e">
        <f ca="1">结果表!F118</f>
        <v>#REF!</v>
      </c>
      <c r="G4" s="596" t="e">
        <f ca="1">结果表!G118</f>
        <v>#REF!</v>
      </c>
      <c r="H4" s="596">
        <f ca="1">结果表!H118</f>
        <v>276</v>
      </c>
      <c r="I4" s="596">
        <f ca="1">结果表!I118</f>
        <v>1304255</v>
      </c>
    </row>
    <row r="5" spans="1:9" ht="30" customHeight="1">
      <c r="A5" s="4164" t="s">
        <v>907</v>
      </c>
      <c r="B5" s="4164"/>
      <c r="C5" s="4164"/>
      <c r="D5" s="4164" t="e">
        <f ca="1">结果表!D119</f>
        <v>#REF!</v>
      </c>
      <c r="E5" s="4164"/>
      <c r="F5" s="4164" t="e">
        <f ca="1">结果表!F119</f>
        <v>#REF!</v>
      </c>
      <c r="G5" s="4164"/>
      <c r="H5" s="4164" t="str">
        <f ca="1">结果表!H119</f>
        <v>贰佰柒拾陆万元整</v>
      </c>
      <c r="I5" s="4164"/>
    </row>
    <row r="6" spans="1:9" ht="15.75">
      <c r="A6" s="4163" t="str">
        <f>结果表!A120</f>
        <v>估价师知悉的法定优先受偿款</v>
      </c>
      <c r="B6" s="4163"/>
      <c r="C6" s="4163"/>
      <c r="D6" s="4163">
        <f>结果表!D120</f>
        <v>0</v>
      </c>
      <c r="E6" s="4163"/>
      <c r="F6" s="4163"/>
      <c r="G6" s="4163"/>
      <c r="H6" s="4163"/>
      <c r="I6" s="4163"/>
    </row>
    <row r="7" spans="1:9" ht="15">
      <c r="A7" s="4164" t="s">
        <v>907</v>
      </c>
      <c r="B7" s="4164"/>
      <c r="C7" s="4164"/>
      <c r="D7" s="4165" t="str">
        <f>结果表!D121</f>
        <v>零元整</v>
      </c>
      <c r="E7" s="4166"/>
      <c r="F7" s="4166"/>
      <c r="G7" s="4166"/>
      <c r="H7" s="4166"/>
      <c r="I7" s="4167"/>
    </row>
    <row r="8" spans="1:9" ht="15.75">
      <c r="A8" s="4163" t="str">
        <f>结果表!A122</f>
        <v>房地产抵押价值</v>
      </c>
      <c r="B8" s="4163"/>
      <c r="C8" s="4163"/>
      <c r="D8" s="4163">
        <f ca="1">结果表!D122</f>
        <v>276</v>
      </c>
      <c r="E8" s="4163"/>
      <c r="F8" s="4163"/>
      <c r="G8" s="4163"/>
      <c r="H8" s="4163"/>
      <c r="I8" s="4163"/>
    </row>
    <row r="9" spans="1:9" ht="15">
      <c r="A9" s="4164" t="s">
        <v>907</v>
      </c>
      <c r="B9" s="4164"/>
      <c r="C9" s="4164"/>
      <c r="D9" s="4164" t="str">
        <f ca="1">结果表!D123</f>
        <v>贰佰柒拾陆万元整</v>
      </c>
      <c r="E9" s="4164"/>
      <c r="F9" s="4164"/>
      <c r="G9" s="4164"/>
      <c r="H9" s="4164"/>
      <c r="I9" s="4164"/>
    </row>
    <row r="10" spans="1:9" ht="15.75">
      <c r="A10" s="4163" t="str">
        <f>结果表!A124</f>
        <v/>
      </c>
      <c r="B10" s="4163"/>
      <c r="C10" s="4163"/>
      <c r="D10" s="4163" t="str">
        <f>结果表!D124</f>
        <v>——</v>
      </c>
      <c r="E10" s="4163"/>
      <c r="F10" s="4163"/>
      <c r="G10" s="4163"/>
      <c r="H10" s="4163"/>
      <c r="I10" s="4163"/>
    </row>
    <row r="11" spans="1:9" ht="15">
      <c r="A11" s="4164" t="s">
        <v>907</v>
      </c>
      <c r="B11" s="4164"/>
      <c r="C11" s="4164"/>
      <c r="D11" s="4164" t="e">
        <f>结果表!D125</f>
        <v>#VALUE!</v>
      </c>
      <c r="E11" s="4164"/>
      <c r="F11" s="4164"/>
      <c r="G11" s="4164"/>
      <c r="H11" s="4164"/>
      <c r="I11" s="4164"/>
    </row>
    <row r="12" spans="1:9" ht="15.75">
      <c r="A12" s="4163" t="str">
        <f>结果表!A126</f>
        <v/>
      </c>
      <c r="B12" s="4163"/>
      <c r="C12" s="4163"/>
      <c r="D12" s="4163" t="str">
        <f>结果表!D126</f>
        <v>——</v>
      </c>
      <c r="E12" s="4163"/>
      <c r="F12" s="4163"/>
      <c r="G12" s="4163"/>
      <c r="H12" s="4163"/>
      <c r="I12" s="4163"/>
    </row>
    <row r="13" spans="1:9" ht="15.75" thickBot="1">
      <c r="A13" s="4161" t="s">
        <v>907</v>
      </c>
      <c r="B13" s="4161"/>
      <c r="C13" s="4161"/>
      <c r="D13" s="4161" t="e">
        <f>结果表!D127</f>
        <v>#VALUE!</v>
      </c>
      <c r="E13" s="4161"/>
      <c r="F13" s="4161"/>
      <c r="G13" s="4161"/>
      <c r="H13" s="4161"/>
      <c r="I13" s="4161"/>
    </row>
    <row r="14" spans="1:9" ht="15" thickTop="1">
      <c r="A14" s="4162" t="s">
        <v>912</v>
      </c>
      <c r="B14" s="4162"/>
      <c r="C14" s="4162"/>
      <c r="D14" s="4162"/>
      <c r="E14" s="4162"/>
      <c r="F14" s="4162"/>
      <c r="G14" s="4162"/>
      <c r="H14" s="4162"/>
      <c r="I14" s="4162"/>
    </row>
    <row r="16" spans="1:9" ht="18.75">
      <c r="A16" s="1124" t="s">
        <v>895</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3282</v>
      </c>
      <c r="C1" s="2439"/>
      <c r="D1" s="2439"/>
      <c r="E1" s="2439"/>
      <c r="F1" s="2439"/>
      <c r="G1" s="2439"/>
      <c r="H1" s="2439"/>
      <c r="I1" s="2439"/>
      <c r="J1" s="2413"/>
      <c r="K1" s="2439" t="s">
        <v>448</v>
      </c>
      <c r="L1" s="2439"/>
      <c r="M1" s="2439"/>
      <c r="N1" s="2439"/>
      <c r="O1" s="2439"/>
      <c r="P1" s="2439"/>
      <c r="Q1" s="2413"/>
      <c r="R1" s="4574" t="s">
        <v>450</v>
      </c>
      <c r="S1" s="4575"/>
      <c r="T1" s="4575"/>
      <c r="U1" s="4575"/>
      <c r="V1" s="4575"/>
      <c r="W1" s="4575"/>
      <c r="X1" s="2413"/>
      <c r="Y1" s="4574" t="s">
        <v>451</v>
      </c>
      <c r="Z1" s="4575"/>
      <c r="AA1" s="4575"/>
      <c r="AB1" s="4575"/>
      <c r="AC1" s="4575"/>
      <c r="AD1" s="4575"/>
    </row>
    <row r="2" spans="1:44" s="1685" customFormat="1" ht="14.25" thickBot="1">
      <c r="B2" s="2399"/>
      <c r="C2" s="2400"/>
      <c r="D2" s="1686" t="s">
        <v>2717</v>
      </c>
      <c r="E2" s="1687" t="s">
        <v>2718</v>
      </c>
      <c r="F2" s="1687" t="s">
        <v>2719</v>
      </c>
      <c r="G2" s="1687" t="s">
        <v>2720</v>
      </c>
      <c r="H2" s="1687" t="s">
        <v>2721</v>
      </c>
      <c r="I2" s="1687" t="s">
        <v>2538</v>
      </c>
      <c r="J2" s="2401"/>
      <c r="K2" s="1686" t="s">
        <v>2717</v>
      </c>
      <c r="L2" s="1687" t="s">
        <v>2718</v>
      </c>
      <c r="M2" s="1687" t="s">
        <v>2719</v>
      </c>
      <c r="N2" s="1687" t="s">
        <v>2720</v>
      </c>
      <c r="O2" s="1687" t="s">
        <v>2722</v>
      </c>
      <c r="P2" s="1687" t="s">
        <v>2538</v>
      </c>
      <c r="Q2" s="2401"/>
      <c r="R2" s="1686" t="s">
        <v>2717</v>
      </c>
      <c r="S2" s="1687" t="s">
        <v>2718</v>
      </c>
      <c r="T2" s="1687" t="s">
        <v>2719</v>
      </c>
      <c r="U2" s="1687" t="s">
        <v>2723</v>
      </c>
      <c r="V2" s="1687" t="s">
        <v>2724</v>
      </c>
      <c r="W2" s="1687" t="s">
        <v>2538</v>
      </c>
      <c r="X2" s="2401"/>
      <c r="Y2" s="1686" t="s">
        <v>2717</v>
      </c>
      <c r="Z2" s="1687" t="s">
        <v>2718</v>
      </c>
      <c r="AA2" s="1687" t="s">
        <v>2719</v>
      </c>
      <c r="AB2" s="1687" t="s">
        <v>2725</v>
      </c>
      <c r="AC2" s="1687" t="s">
        <v>2724</v>
      </c>
      <c r="AD2" s="1687" t="s">
        <v>2538</v>
      </c>
      <c r="AF2" t="s">
        <v>3291</v>
      </c>
      <c r="AG2" t="s">
        <v>653</v>
      </c>
      <c r="AH2" t="s">
        <v>19</v>
      </c>
      <c r="AI2" t="s">
        <v>3292</v>
      </c>
      <c r="AJ2" t="s">
        <v>3</v>
      </c>
      <c r="AK2" t="s">
        <v>3293</v>
      </c>
      <c r="AM2" t="s">
        <v>3291</v>
      </c>
      <c r="AN2" t="s">
        <v>653</v>
      </c>
      <c r="AO2" t="s">
        <v>19</v>
      </c>
      <c r="AP2" t="s">
        <v>3292</v>
      </c>
      <c r="AQ2" t="s">
        <v>3</v>
      </c>
      <c r="AR2" t="s">
        <v>3293</v>
      </c>
    </row>
    <row r="3" spans="1:44" s="2404" customFormat="1" ht="12.75">
      <c r="A3" s="2402" t="s">
        <v>2726</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3695</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3694</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3693</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3696</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3692</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3697</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3305</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3296</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3295</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3286</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3280</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3279</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3275</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3274</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3272</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3271</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3270</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3268</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3259</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2727</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2728</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2729</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2730</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2731</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3285</v>
      </c>
    </row>
    <row r="31" spans="1:44">
      <c r="I31" s="1125" t="s">
        <v>2732</v>
      </c>
    </row>
    <row r="33" spans="1:44" s="1684" customFormat="1" ht="12.75">
      <c r="B33" s="2438" t="s">
        <v>3283</v>
      </c>
      <c r="C33" s="2439"/>
      <c r="D33" s="2439"/>
      <c r="E33" s="2439"/>
      <c r="F33" s="2439"/>
      <c r="G33" s="2439"/>
      <c r="H33" s="2439"/>
      <c r="I33" s="2439"/>
      <c r="J33" s="2413"/>
      <c r="K33" s="2439" t="s">
        <v>2733</v>
      </c>
      <c r="L33" s="2439"/>
      <c r="M33" s="2439"/>
      <c r="N33" s="2439"/>
      <c r="O33" s="2439"/>
      <c r="P33" s="2439"/>
      <c r="Q33" s="2413"/>
      <c r="R33" s="4574" t="s">
        <v>2734</v>
      </c>
      <c r="S33" s="4575"/>
      <c r="T33" s="4575"/>
      <c r="U33" s="4575"/>
      <c r="V33" s="4575"/>
      <c r="W33" s="4575"/>
      <c r="X33" s="2413"/>
      <c r="Y33" s="4574" t="s">
        <v>2735</v>
      </c>
      <c r="Z33" s="4575"/>
      <c r="AA33" s="4575"/>
      <c r="AB33" s="4575"/>
      <c r="AC33" s="4575"/>
      <c r="AD33" s="4575"/>
    </row>
    <row r="34" spans="1:44" s="1685" customFormat="1" ht="14.25" thickBot="1">
      <c r="B34" s="2399"/>
      <c r="C34" s="2400"/>
      <c r="D34" s="1686" t="s">
        <v>2736</v>
      </c>
      <c r="E34" s="1687" t="s">
        <v>2737</v>
      </c>
      <c r="F34" s="1687" t="s">
        <v>2738</v>
      </c>
      <c r="G34" s="1687" t="s">
        <v>2739</v>
      </c>
      <c r="H34" s="1687"/>
      <c r="I34" s="1687" t="s">
        <v>2740</v>
      </c>
      <c r="J34" s="2401"/>
      <c r="K34" s="1686" t="s">
        <v>2736</v>
      </c>
      <c r="L34" s="1687" t="s">
        <v>2737</v>
      </c>
      <c r="M34" s="1687" t="s">
        <v>2738</v>
      </c>
      <c r="N34" s="1687" t="s">
        <v>2739</v>
      </c>
      <c r="O34" s="1687"/>
      <c r="P34" s="1687" t="s">
        <v>2740</v>
      </c>
      <c r="Q34" s="2401"/>
      <c r="R34" s="1686" t="s">
        <v>2736</v>
      </c>
      <c r="S34" s="1687" t="s">
        <v>2737</v>
      </c>
      <c r="T34" s="1687" t="s">
        <v>2738</v>
      </c>
      <c r="U34" s="1687" t="s">
        <v>2739</v>
      </c>
      <c r="V34" s="1687"/>
      <c r="W34" s="1687" t="s">
        <v>2740</v>
      </c>
      <c r="X34" s="2401"/>
      <c r="Y34" s="1686" t="s">
        <v>2736</v>
      </c>
      <c r="Z34" s="1687" t="s">
        <v>2737</v>
      </c>
      <c r="AA34" s="1687" t="s">
        <v>2738</v>
      </c>
      <c r="AB34" s="1687" t="s">
        <v>2739</v>
      </c>
      <c r="AC34" s="1687"/>
      <c r="AD34" s="1687" t="s">
        <v>2740</v>
      </c>
      <c r="AG34" t="s">
        <v>653</v>
      </c>
      <c r="AH34" t="s">
        <v>19</v>
      </c>
      <c r="AI34" t="s">
        <v>3292</v>
      </c>
      <c r="AJ34"/>
      <c r="AK34" t="s">
        <v>3293</v>
      </c>
      <c r="AN34" t="s">
        <v>653</v>
      </c>
      <c r="AO34" t="s">
        <v>19</v>
      </c>
      <c r="AP34" t="s">
        <v>3292</v>
      </c>
      <c r="AQ34"/>
      <c r="AR34" t="s">
        <v>3293</v>
      </c>
    </row>
    <row r="35" spans="1:44" s="2404" customFormat="1" ht="12.75">
      <c r="A35" s="2402" t="s">
        <v>2741</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3695</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3694</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3693</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3698</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3692</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3304</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3305</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3294</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3295</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3277</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3281</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3278</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3276</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3274</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3273</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3271</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3270</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3269</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3259</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2742</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2743</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2744</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2745</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2731</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3284</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79" t="s">
        <v>446</v>
      </c>
      <c r="C1" s="4579"/>
      <c r="D1" s="4579"/>
      <c r="E1" s="4579"/>
      <c r="F1" s="4579"/>
      <c r="G1" s="4575" t="s">
        <v>447</v>
      </c>
      <c r="H1" s="4575"/>
      <c r="I1" s="4575"/>
      <c r="J1" s="4575"/>
      <c r="K1" s="4575"/>
      <c r="L1" s="4575"/>
      <c r="N1" s="4575" t="s">
        <v>448</v>
      </c>
      <c r="O1" s="4575"/>
      <c r="P1" s="4575"/>
      <c r="Q1" s="4575"/>
      <c r="S1" s="4575" t="s">
        <v>449</v>
      </c>
      <c r="T1" s="4575"/>
      <c r="U1" s="4575"/>
      <c r="V1" s="4575"/>
      <c r="X1" s="4574" t="s">
        <v>450</v>
      </c>
      <c r="Y1" s="4575"/>
      <c r="Z1" s="4575"/>
      <c r="AA1" s="4575"/>
      <c r="AB1" s="4575"/>
      <c r="AD1" s="4574" t="s">
        <v>451</v>
      </c>
      <c r="AE1" s="4575"/>
      <c r="AF1" s="4575"/>
      <c r="AG1" s="4575"/>
      <c r="AH1" s="4575"/>
    </row>
    <row r="2" spans="1:34" s="1685" customFormat="1" ht="14.25" thickBot="1">
      <c r="B2" s="1686" t="s">
        <v>452</v>
      </c>
      <c r="C2" s="1686" t="s">
        <v>453</v>
      </c>
      <c r="D2" s="1687" t="s">
        <v>454</v>
      </c>
      <c r="E2" s="1687" t="s">
        <v>455</v>
      </c>
      <c r="F2" s="1686" t="s">
        <v>456</v>
      </c>
      <c r="G2" s="1688"/>
      <c r="I2" s="1686" t="s">
        <v>452</v>
      </c>
      <c r="J2" s="1687" t="s">
        <v>656</v>
      </c>
      <c r="K2" s="1687" t="s">
        <v>306</v>
      </c>
      <c r="L2" s="1686" t="s">
        <v>456</v>
      </c>
      <c r="N2" s="1686" t="s">
        <v>452</v>
      </c>
      <c r="O2" s="1687" t="s">
        <v>656</v>
      </c>
      <c r="P2" s="1687" t="s">
        <v>306</v>
      </c>
      <c r="Q2" s="1686" t="s">
        <v>456</v>
      </c>
      <c r="S2" s="1686" t="s">
        <v>452</v>
      </c>
      <c r="T2" s="1687" t="s">
        <v>656</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2030</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3267</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3264</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2031</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3265</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3266</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2343</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2220</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2219</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2218</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2215</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2214</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2046</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2044</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2043</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2042</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2040</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2039</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2041</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77">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2037</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77"/>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2036</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77"/>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2029</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84"/>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2027</v>
      </c>
      <c r="B25" s="1714">
        <v>439</v>
      </c>
      <c r="C25" s="1714">
        <v>327</v>
      </c>
      <c r="D25" s="1714">
        <f>C25</f>
        <v>327</v>
      </c>
      <c r="E25" s="1714">
        <v>627</v>
      </c>
      <c r="F25" s="1715">
        <v>283</v>
      </c>
      <c r="G25" s="4580">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2028</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77"/>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657</v>
      </c>
      <c r="B27" s="1710">
        <f t="shared" si="232"/>
        <v>419.31181600000002</v>
      </c>
      <c r="C27" s="1710">
        <f t="shared" si="233"/>
        <v>313.95436800000004</v>
      </c>
      <c r="D27" s="1710">
        <f t="shared" si="234"/>
        <v>313.95436800000004</v>
      </c>
      <c r="E27" s="1710">
        <f t="shared" si="235"/>
        <v>596.63028431999999</v>
      </c>
      <c r="F27" s="1710">
        <f t="shared" si="236"/>
        <v>274.74220703999998</v>
      </c>
      <c r="G27" s="4577"/>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84"/>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80">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77"/>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77"/>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78"/>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76">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77"/>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77"/>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78"/>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76">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77"/>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77"/>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78"/>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81">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82"/>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82"/>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83"/>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76">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77"/>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77"/>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78"/>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76">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77">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77">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78">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76">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77">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77">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78">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76">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77">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77">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78">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76">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77">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77">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78">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76">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77">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77">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78">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76">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77">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77">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78">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76">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77">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77">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78">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76">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77">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77">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78">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76">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77">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77">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78">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76">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77">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77">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78">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87" t="s">
        <v>2746</v>
      </c>
      <c r="B1" s="4587"/>
      <c r="C1" s="4587"/>
      <c r="D1" s="4587"/>
      <c r="E1" s="4587"/>
      <c r="F1" s="4587"/>
      <c r="G1" s="4588"/>
      <c r="I1" s="2447" t="s">
        <v>2747</v>
      </c>
      <c r="J1" s="2448" t="s">
        <v>2748</v>
      </c>
      <c r="K1" s="2448" t="s">
        <v>2749</v>
      </c>
      <c r="L1" s="2448" t="s">
        <v>2750</v>
      </c>
      <c r="M1" s="2448" t="s">
        <v>2751</v>
      </c>
      <c r="N1" s="2448" t="s">
        <v>2752</v>
      </c>
      <c r="O1" s="2448" t="s">
        <v>2753</v>
      </c>
      <c r="P1" s="2448" t="s">
        <v>2754</v>
      </c>
      <c r="Q1" s="2448" t="s">
        <v>2755</v>
      </c>
      <c r="R1" s="2448" t="s">
        <v>2756</v>
      </c>
      <c r="S1" s="2448" t="s">
        <v>2757</v>
      </c>
      <c r="T1" s="2449" t="s">
        <v>2758</v>
      </c>
    </row>
    <row r="2" spans="1:20" ht="12" thickBot="1">
      <c r="A2" s="2450" t="s">
        <v>2759</v>
      </c>
      <c r="B2" s="2450"/>
      <c r="C2" s="2450"/>
      <c r="D2" s="2450"/>
      <c r="E2" s="2450"/>
      <c r="F2" s="2450"/>
      <c r="G2" s="2451" t="s">
        <v>2760</v>
      </c>
      <c r="I2" s="2452" t="s">
        <v>2761</v>
      </c>
      <c r="J2" s="2452" t="s">
        <v>2762</v>
      </c>
      <c r="K2" s="2452" t="s">
        <v>2763</v>
      </c>
      <c r="L2" s="2452" t="s">
        <v>2764</v>
      </c>
      <c r="M2" s="2452" t="s">
        <v>2765</v>
      </c>
      <c r="N2" s="2452" t="s">
        <v>2766</v>
      </c>
      <c r="O2" s="2452" t="s">
        <v>2767</v>
      </c>
      <c r="P2" s="2452" t="s">
        <v>2768</v>
      </c>
      <c r="Q2" s="2452" t="s">
        <v>2769</v>
      </c>
      <c r="R2" s="2452" t="s">
        <v>2770</v>
      </c>
      <c r="S2" s="2452" t="s">
        <v>2771</v>
      </c>
      <c r="T2" s="2452" t="s">
        <v>2772</v>
      </c>
    </row>
    <row r="3" spans="1:20" s="2458" customFormat="1">
      <c r="A3" s="4585" t="s">
        <v>2773</v>
      </c>
      <c r="B3" s="2453"/>
      <c r="C3" s="2454" t="s">
        <v>2718</v>
      </c>
      <c r="D3" s="2454" t="s">
        <v>2774</v>
      </c>
      <c r="E3" s="2454" t="s">
        <v>2720</v>
      </c>
      <c r="F3" s="2454" t="s">
        <v>2775</v>
      </c>
      <c r="G3" s="2454" t="s">
        <v>2538</v>
      </c>
      <c r="H3" s="2455"/>
      <c r="I3" s="2456" t="s">
        <v>2776</v>
      </c>
      <c r="J3" s="2457" t="s">
        <v>126</v>
      </c>
      <c r="K3" s="2457" t="s">
        <v>127</v>
      </c>
      <c r="L3" s="2456" t="s">
        <v>128</v>
      </c>
      <c r="M3" s="2456" t="s">
        <v>129</v>
      </c>
      <c r="N3" s="2456" t="s">
        <v>130</v>
      </c>
      <c r="O3" s="2456" t="s">
        <v>131</v>
      </c>
      <c r="P3" s="2456" t="s">
        <v>132</v>
      </c>
      <c r="Q3" s="2456" t="s">
        <v>133</v>
      </c>
      <c r="R3" s="2456" t="s">
        <v>134</v>
      </c>
      <c r="S3" s="2456" t="s">
        <v>2777</v>
      </c>
      <c r="T3" s="2456" t="s">
        <v>2778</v>
      </c>
    </row>
    <row r="4" spans="1:20" s="2458" customFormat="1" ht="12" thickBot="1">
      <c r="A4" s="4586"/>
      <c r="B4" s="2459" t="s">
        <v>2779</v>
      </c>
      <c r="C4" s="2459" t="s">
        <v>2780</v>
      </c>
      <c r="D4" s="2459" t="s">
        <v>2780</v>
      </c>
      <c r="E4" s="2459" t="s">
        <v>2780</v>
      </c>
      <c r="F4" s="2460" t="s">
        <v>2780</v>
      </c>
      <c r="G4" s="2460" t="s">
        <v>2780</v>
      </c>
      <c r="H4" s="2455"/>
      <c r="I4" s="2457" t="s">
        <v>135</v>
      </c>
      <c r="J4" s="2457" t="s">
        <v>109</v>
      </c>
      <c r="K4" s="2457" t="s">
        <v>136</v>
      </c>
      <c r="L4" s="2456" t="s">
        <v>137</v>
      </c>
      <c r="M4" s="2456" t="s">
        <v>138</v>
      </c>
      <c r="N4" s="2456" t="s">
        <v>139</v>
      </c>
      <c r="O4" s="2456" t="s">
        <v>140</v>
      </c>
      <c r="P4" s="2456" t="s">
        <v>141</v>
      </c>
      <c r="Q4" s="2456" t="s">
        <v>2781</v>
      </c>
      <c r="R4" s="2456" t="s">
        <v>2782</v>
      </c>
      <c r="S4" s="2456" t="s">
        <v>2783</v>
      </c>
      <c r="T4" s="2456" t="s">
        <v>2784</v>
      </c>
    </row>
    <row r="5" spans="1:20">
      <c r="A5" s="2461" t="s">
        <v>2747</v>
      </c>
      <c r="B5" s="2452" t="s">
        <v>2761</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2785</v>
      </c>
      <c r="R5" s="2456" t="s">
        <v>2786</v>
      </c>
      <c r="S5" s="2456" t="s">
        <v>151</v>
      </c>
      <c r="T5" s="2456" t="s">
        <v>2787</v>
      </c>
    </row>
    <row r="6" spans="1:20" ht="12" thickBot="1">
      <c r="A6" s="2456" t="s">
        <v>142</v>
      </c>
      <c r="B6" s="2456" t="s">
        <v>2776</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2788</v>
      </c>
      <c r="Q6" s="2456" t="s">
        <v>2789</v>
      </c>
      <c r="R6" s="2456" t="s">
        <v>159</v>
      </c>
      <c r="S6" s="2456" t="s">
        <v>2790</v>
      </c>
      <c r="T6" s="2456" t="s">
        <v>2791</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2792</v>
      </c>
      <c r="Q7" s="2456" t="s">
        <v>2793</v>
      </c>
      <c r="R7" s="2456" t="s">
        <v>2794</v>
      </c>
      <c r="S7" s="2456" t="s">
        <v>2795</v>
      </c>
      <c r="T7" s="2456" t="s">
        <v>2796</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2797</v>
      </c>
      <c r="Q8" s="2456" t="s">
        <v>172</v>
      </c>
      <c r="R8" s="2456" t="s">
        <v>2798</v>
      </c>
      <c r="S8" s="2456" t="s">
        <v>2799</v>
      </c>
      <c r="T8" s="2463" t="s">
        <v>2800</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2801</v>
      </c>
      <c r="Q9" s="2456" t="s">
        <v>180</v>
      </c>
      <c r="R9" s="2456" t="s">
        <v>181</v>
      </c>
      <c r="S9" s="2456" t="s">
        <v>198</v>
      </c>
    </row>
    <row r="10" spans="1:20">
      <c r="A10" s="2461" t="s">
        <v>182</v>
      </c>
      <c r="B10" s="2452" t="s">
        <v>2762</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2802</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2803</v>
      </c>
      <c r="P11" s="2456" t="s">
        <v>189</v>
      </c>
      <c r="Q11" s="2456" t="s">
        <v>197</v>
      </c>
      <c r="R11" s="2456" t="s">
        <v>2804</v>
      </c>
      <c r="S11" s="2456" t="s">
        <v>2805</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2806</v>
      </c>
      <c r="P12" s="2456" t="s">
        <v>2807</v>
      </c>
      <c r="Q12" s="2456" t="s">
        <v>2808</v>
      </c>
      <c r="R12" s="2456" t="s">
        <v>2809</v>
      </c>
      <c r="S12" s="2456" t="s">
        <v>2810</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2811</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2812</v>
      </c>
      <c r="K14" s="2457" t="s">
        <v>213</v>
      </c>
      <c r="L14" s="2456" t="s">
        <v>214</v>
      </c>
      <c r="M14" s="2456" t="s">
        <v>215</v>
      </c>
      <c r="N14" s="2456" t="s">
        <v>216</v>
      </c>
      <c r="O14" s="2456" t="s">
        <v>238</v>
      </c>
      <c r="P14" s="2456" t="s">
        <v>211</v>
      </c>
      <c r="Q14" s="2456" t="s">
        <v>2813</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2814</v>
      </c>
      <c r="P15" s="2456" t="s">
        <v>2815</v>
      </c>
      <c r="Q15" s="2456" t="s">
        <v>240</v>
      </c>
      <c r="R15" s="2456" t="s">
        <v>2816</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2817</v>
      </c>
      <c r="P16" s="2456" t="s">
        <v>225</v>
      </c>
      <c r="Q16" s="2456" t="s">
        <v>248</v>
      </c>
      <c r="R16" s="2456" t="s">
        <v>205</v>
      </c>
      <c r="S16" s="2456" t="s">
        <v>2818</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2819</v>
      </c>
      <c r="P17" s="2456" t="s">
        <v>2820</v>
      </c>
      <c r="Q17" s="2456" t="s">
        <v>254</v>
      </c>
      <c r="R17" s="2456" t="s">
        <v>2821</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2822</v>
      </c>
      <c r="P18" s="2456" t="s">
        <v>239</v>
      </c>
      <c r="Q18" s="2456" t="s">
        <v>2823</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2824</v>
      </c>
      <c r="P19" s="2456" t="s">
        <v>247</v>
      </c>
      <c r="Q19" s="2456" t="s">
        <v>2825</v>
      </c>
      <c r="R19" s="2456" t="s">
        <v>263</v>
      </c>
      <c r="S19" s="2456" t="s">
        <v>2826</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2827</v>
      </c>
      <c r="P20" s="2456" t="s">
        <v>2828</v>
      </c>
      <c r="Q20" s="2456" t="s">
        <v>288</v>
      </c>
      <c r="R20" s="2456" t="s">
        <v>2829</v>
      </c>
      <c r="S20" s="2456" t="s">
        <v>275</v>
      </c>
    </row>
    <row r="21" spans="1:19" ht="14.25" customHeight="1" thickBot="1">
      <c r="A21" s="2456" t="s">
        <v>182</v>
      </c>
      <c r="B21" s="2457" t="s">
        <v>206</v>
      </c>
      <c r="C21" s="3370">
        <v>32370</v>
      </c>
      <c r="D21" s="3370">
        <v>26730</v>
      </c>
      <c r="E21" s="3370">
        <v>26640</v>
      </c>
      <c r="F21" s="3370"/>
      <c r="G21" s="3370">
        <v>19440</v>
      </c>
      <c r="J21" s="2463" t="s">
        <v>2830</v>
      </c>
      <c r="K21" s="2457" t="s">
        <v>265</v>
      </c>
      <c r="L21" s="2456" t="s">
        <v>266</v>
      </c>
      <c r="M21" s="2456" t="s">
        <v>267</v>
      </c>
      <c r="N21" s="2456" t="s">
        <v>268</v>
      </c>
      <c r="O21" s="2456" t="s">
        <v>262</v>
      </c>
      <c r="P21" s="2456" t="s">
        <v>281</v>
      </c>
      <c r="Q21" s="2456" t="s">
        <v>291</v>
      </c>
      <c r="R21" s="2456" t="s">
        <v>2831</v>
      </c>
      <c r="S21" s="2463" t="s">
        <v>2832</v>
      </c>
    </row>
    <row r="22" spans="1:19" ht="14.25" customHeight="1">
      <c r="A22" s="2456" t="s">
        <v>182</v>
      </c>
      <c r="B22" s="2457" t="s">
        <v>2812</v>
      </c>
      <c r="C22" s="3370">
        <v>29830</v>
      </c>
      <c r="D22" s="3370">
        <v>27600</v>
      </c>
      <c r="E22" s="3370">
        <v>28150</v>
      </c>
      <c r="F22" s="3370"/>
      <c r="G22" s="3370">
        <v>20080</v>
      </c>
      <c r="K22" s="2457" t="s">
        <v>2833</v>
      </c>
      <c r="L22" s="2456" t="s">
        <v>270</v>
      </c>
      <c r="M22" s="2456" t="s">
        <v>271</v>
      </c>
      <c r="N22" s="2456" t="s">
        <v>272</v>
      </c>
      <c r="O22" s="2456" t="s">
        <v>2834</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2835</v>
      </c>
      <c r="L23" s="2456" t="s">
        <v>276</v>
      </c>
      <c r="M23" s="2456" t="s">
        <v>277</v>
      </c>
      <c r="N23" s="2456" t="s">
        <v>2836</v>
      </c>
      <c r="O23" s="2456" t="s">
        <v>2837</v>
      </c>
      <c r="P23" s="2456" t="s">
        <v>287</v>
      </c>
      <c r="Q23" s="2456" t="s">
        <v>296</v>
      </c>
      <c r="R23" s="2456" t="s">
        <v>2838</v>
      </c>
    </row>
    <row r="24" spans="1:19" ht="14.25" customHeight="1">
      <c r="A24" s="2456" t="s">
        <v>182</v>
      </c>
      <c r="B24" s="2457" t="s">
        <v>228</v>
      </c>
      <c r="C24" s="3370">
        <v>27930</v>
      </c>
      <c r="D24" s="3370">
        <v>32260</v>
      </c>
      <c r="E24" s="3370">
        <v>32120</v>
      </c>
      <c r="F24" s="3370"/>
      <c r="G24" s="3370">
        <v>23470</v>
      </c>
      <c r="K24" s="2457" t="s">
        <v>2839</v>
      </c>
      <c r="L24" s="2456" t="s">
        <v>279</v>
      </c>
      <c r="M24" s="2456" t="s">
        <v>280</v>
      </c>
      <c r="N24" s="2456" t="s">
        <v>2840</v>
      </c>
      <c r="O24" s="2456" t="s">
        <v>283</v>
      </c>
      <c r="P24" s="2456" t="s">
        <v>2841</v>
      </c>
      <c r="Q24" s="2465" t="s">
        <v>2842</v>
      </c>
      <c r="R24" s="2456" t="s">
        <v>2843</v>
      </c>
    </row>
    <row r="25" spans="1:19" ht="14.25" customHeight="1">
      <c r="A25" s="2456" t="s">
        <v>182</v>
      </c>
      <c r="B25" s="2457" t="s">
        <v>233</v>
      </c>
      <c r="C25" s="3370">
        <v>32230</v>
      </c>
      <c r="D25" s="3370">
        <v>29640</v>
      </c>
      <c r="E25" s="3370">
        <v>29510</v>
      </c>
      <c r="F25" s="3370"/>
      <c r="G25" s="3370">
        <v>21560</v>
      </c>
      <c r="K25" s="2457" t="s">
        <v>2844</v>
      </c>
      <c r="L25" s="2456" t="s">
        <v>2845</v>
      </c>
      <c r="M25" s="2456" t="s">
        <v>282</v>
      </c>
      <c r="N25" s="2456" t="s">
        <v>290</v>
      </c>
      <c r="O25" s="2456" t="s">
        <v>286</v>
      </c>
      <c r="P25" s="2456" t="s">
        <v>273</v>
      </c>
      <c r="Q25" s="2465" t="s">
        <v>269</v>
      </c>
      <c r="R25" s="2456" t="s">
        <v>2846</v>
      </c>
    </row>
    <row r="26" spans="1:19" ht="14.25" customHeight="1" thickBot="1">
      <c r="A26" s="2456" t="s">
        <v>182</v>
      </c>
      <c r="B26" s="2457" t="s">
        <v>242</v>
      </c>
      <c r="C26" s="3370">
        <v>31690</v>
      </c>
      <c r="D26" s="3370">
        <v>27650</v>
      </c>
      <c r="E26" s="3370">
        <v>28200</v>
      </c>
      <c r="F26" s="3370"/>
      <c r="G26" s="3370">
        <v>20110</v>
      </c>
      <c r="K26" s="2462" t="s">
        <v>2847</v>
      </c>
      <c r="L26" s="2456" t="s">
        <v>2848</v>
      </c>
      <c r="M26" s="2456" t="s">
        <v>285</v>
      </c>
      <c r="N26" s="2456" t="s">
        <v>292</v>
      </c>
      <c r="O26" s="2456" t="s">
        <v>2849</v>
      </c>
      <c r="P26" s="2456" t="s">
        <v>2850</v>
      </c>
      <c r="Q26" s="2465" t="s">
        <v>274</v>
      </c>
      <c r="R26" s="2456" t="s">
        <v>2851</v>
      </c>
    </row>
    <row r="27" spans="1:19" ht="14.25" customHeight="1">
      <c r="A27" s="2456" t="s">
        <v>182</v>
      </c>
      <c r="B27" s="2457" t="s">
        <v>249</v>
      </c>
      <c r="C27" s="3370">
        <v>29610</v>
      </c>
      <c r="D27" s="3370">
        <v>27770</v>
      </c>
      <c r="E27" s="3370">
        <v>28300</v>
      </c>
      <c r="F27" s="3370"/>
      <c r="G27" s="3370">
        <v>20210</v>
      </c>
      <c r="L27" s="2456" t="s">
        <v>2852</v>
      </c>
      <c r="M27" s="2456" t="s">
        <v>289</v>
      </c>
      <c r="N27" s="2456" t="s">
        <v>295</v>
      </c>
      <c r="O27" s="2456" t="s">
        <v>2853</v>
      </c>
      <c r="P27" s="2456" t="s">
        <v>2854</v>
      </c>
      <c r="Q27" s="2456" t="s">
        <v>2855</v>
      </c>
      <c r="R27" s="2456" t="s">
        <v>2856</v>
      </c>
    </row>
    <row r="28" spans="1:19" ht="14.25" customHeight="1">
      <c r="A28" s="2456" t="s">
        <v>182</v>
      </c>
      <c r="B28" s="2457" t="s">
        <v>257</v>
      </c>
      <c r="C28" s="3370"/>
      <c r="D28" s="3370">
        <v>31520</v>
      </c>
      <c r="E28" s="3370">
        <v>31410</v>
      </c>
      <c r="F28" s="3370"/>
      <c r="G28" s="3370">
        <v>22940</v>
      </c>
      <c r="L28" s="2456" t="s">
        <v>2857</v>
      </c>
      <c r="M28" s="2456" t="s">
        <v>2858</v>
      </c>
      <c r="N28" s="2456" t="s">
        <v>2859</v>
      </c>
      <c r="O28" s="2456" t="s">
        <v>2860</v>
      </c>
      <c r="P28" s="2456" t="s">
        <v>2861</v>
      </c>
      <c r="Q28" s="2456" t="s">
        <v>2862</v>
      </c>
      <c r="R28" s="2456" t="s">
        <v>2863</v>
      </c>
    </row>
    <row r="29" spans="1:19" ht="14.25" customHeight="1" thickBot="1">
      <c r="A29" s="2464" t="s">
        <v>182</v>
      </c>
      <c r="B29" s="2466" t="s">
        <v>2830</v>
      </c>
      <c r="C29" s="3372"/>
      <c r="D29" s="3372">
        <v>29460</v>
      </c>
      <c r="E29" s="3372">
        <v>28640</v>
      </c>
      <c r="F29" s="3372"/>
      <c r="G29" s="3372">
        <v>21430</v>
      </c>
      <c r="L29" s="2456" t="s">
        <v>2864</v>
      </c>
      <c r="M29" s="2456" t="s">
        <v>2865</v>
      </c>
      <c r="N29" s="2456" t="s">
        <v>2866</v>
      </c>
      <c r="O29" s="2456" t="s">
        <v>2867</v>
      </c>
      <c r="P29" s="2456" t="s">
        <v>2868</v>
      </c>
      <c r="Q29" s="2456" t="s">
        <v>2869</v>
      </c>
      <c r="R29" s="2456" t="s">
        <v>278</v>
      </c>
    </row>
    <row r="30" spans="1:19" ht="14.25" customHeight="1">
      <c r="A30" s="2461" t="s">
        <v>294</v>
      </c>
      <c r="B30" s="2452" t="s">
        <v>2763</v>
      </c>
      <c r="C30" s="3369">
        <v>26890</v>
      </c>
      <c r="D30" s="3369">
        <v>26770</v>
      </c>
      <c r="E30" s="3369">
        <v>25700</v>
      </c>
      <c r="F30" s="3369">
        <v>8180</v>
      </c>
      <c r="G30" s="3373">
        <v>18740</v>
      </c>
      <c r="L30" s="2456" t="s">
        <v>2870</v>
      </c>
      <c r="M30" s="2456" t="s">
        <v>2871</v>
      </c>
      <c r="N30" s="2456" t="s">
        <v>2872</v>
      </c>
      <c r="O30" s="2456" t="s">
        <v>2873</v>
      </c>
      <c r="P30" s="2456" t="s">
        <v>2874</v>
      </c>
      <c r="Q30" s="2456" t="s">
        <v>2875</v>
      </c>
      <c r="R30" s="2456" t="s">
        <v>2876</v>
      </c>
    </row>
    <row r="31" spans="1:19" ht="14.25" customHeight="1">
      <c r="A31" s="2456" t="s">
        <v>294</v>
      </c>
      <c r="B31" s="2457" t="s">
        <v>127</v>
      </c>
      <c r="C31" s="3370">
        <v>24550</v>
      </c>
      <c r="D31" s="3370">
        <v>23990</v>
      </c>
      <c r="E31" s="3370">
        <v>22930</v>
      </c>
      <c r="F31" s="3370">
        <v>7470</v>
      </c>
      <c r="G31" s="3374">
        <v>16790</v>
      </c>
      <c r="L31" s="2456" t="s">
        <v>2877</v>
      </c>
      <c r="M31" s="2456" t="s">
        <v>2878</v>
      </c>
      <c r="N31" s="2456" t="s">
        <v>2879</v>
      </c>
      <c r="O31" s="2456" t="s">
        <v>2880</v>
      </c>
      <c r="P31" s="2456" t="s">
        <v>2881</v>
      </c>
      <c r="Q31" s="2456" t="s">
        <v>2882</v>
      </c>
      <c r="R31" s="2456" t="s">
        <v>2883</v>
      </c>
    </row>
    <row r="32" spans="1:19" ht="14.25" customHeight="1" thickBot="1">
      <c r="A32" s="2456" t="s">
        <v>294</v>
      </c>
      <c r="B32" s="2457" t="s">
        <v>136</v>
      </c>
      <c r="C32" s="3370">
        <v>27210</v>
      </c>
      <c r="D32" s="3370">
        <v>23240</v>
      </c>
      <c r="E32" s="3370">
        <v>23260</v>
      </c>
      <c r="F32" s="3370">
        <v>7130</v>
      </c>
      <c r="G32" s="3374">
        <v>16270</v>
      </c>
      <c r="L32" s="2456" t="s">
        <v>2884</v>
      </c>
      <c r="M32" s="2456" t="s">
        <v>2885</v>
      </c>
      <c r="N32" s="2456" t="s">
        <v>298</v>
      </c>
      <c r="O32" s="2456" t="s">
        <v>2886</v>
      </c>
      <c r="P32" s="2456" t="s">
        <v>297</v>
      </c>
      <c r="Q32" s="2456" t="s">
        <v>2887</v>
      </c>
      <c r="R32" s="2463" t="s">
        <v>2888</v>
      </c>
    </row>
    <row r="33" spans="1:17" ht="14.25" customHeight="1" thickBot="1">
      <c r="A33" s="2456" t="s">
        <v>294</v>
      </c>
      <c r="B33" s="2457" t="s">
        <v>145</v>
      </c>
      <c r="C33" s="3370">
        <v>27300</v>
      </c>
      <c r="D33" s="3370">
        <v>22980</v>
      </c>
      <c r="E33" s="3370">
        <v>24260</v>
      </c>
      <c r="F33" s="3370">
        <v>5860</v>
      </c>
      <c r="G33" s="3374">
        <v>16090</v>
      </c>
      <c r="L33" s="2463" t="s">
        <v>2889</v>
      </c>
      <c r="M33" s="2456" t="s">
        <v>2890</v>
      </c>
      <c r="N33" s="2456" t="s">
        <v>299</v>
      </c>
      <c r="O33" s="2456" t="s">
        <v>2891</v>
      </c>
      <c r="P33" s="2456" t="s">
        <v>2892</v>
      </c>
      <c r="Q33" s="2456" t="s">
        <v>2893</v>
      </c>
    </row>
    <row r="34" spans="1:17" ht="14.25" customHeight="1">
      <c r="A34" s="2456" t="s">
        <v>294</v>
      </c>
      <c r="B34" s="2457" t="s">
        <v>154</v>
      </c>
      <c r="C34" s="3370">
        <v>23090</v>
      </c>
      <c r="D34" s="3370">
        <v>23390</v>
      </c>
      <c r="E34" s="3370">
        <v>23510</v>
      </c>
      <c r="F34" s="3370">
        <v>6700</v>
      </c>
      <c r="G34" s="3374">
        <v>16370</v>
      </c>
      <c r="M34" s="2456" t="s">
        <v>2894</v>
      </c>
      <c r="N34" s="2456" t="s">
        <v>300</v>
      </c>
      <c r="O34" s="2456" t="s">
        <v>2895</v>
      </c>
      <c r="P34" s="2456" t="s">
        <v>2896</v>
      </c>
      <c r="Q34" s="2456" t="s">
        <v>2897</v>
      </c>
    </row>
    <row r="35" spans="1:17" ht="14.25" customHeight="1">
      <c r="A35" s="2456" t="s">
        <v>294</v>
      </c>
      <c r="B35" s="2457" t="s">
        <v>161</v>
      </c>
      <c r="C35" s="3370">
        <v>27270</v>
      </c>
      <c r="D35" s="3370">
        <v>24270</v>
      </c>
      <c r="E35" s="3370">
        <v>24950</v>
      </c>
      <c r="F35" s="3370">
        <v>6600</v>
      </c>
      <c r="G35" s="3374">
        <v>16990</v>
      </c>
      <c r="M35" s="2456" t="s">
        <v>2898</v>
      </c>
      <c r="N35" s="2456" t="s">
        <v>2899</v>
      </c>
      <c r="O35" s="2456" t="s">
        <v>2900</v>
      </c>
      <c r="P35" s="2456" t="s">
        <v>2901</v>
      </c>
      <c r="Q35" s="2456" t="s">
        <v>2902</v>
      </c>
    </row>
    <row r="36" spans="1:17" ht="14.25" customHeight="1">
      <c r="A36" s="2456" t="s">
        <v>294</v>
      </c>
      <c r="B36" s="2457" t="s">
        <v>167</v>
      </c>
      <c r="C36" s="3370">
        <v>23490</v>
      </c>
      <c r="D36" s="3370">
        <v>23020</v>
      </c>
      <c r="E36" s="3370">
        <v>25230</v>
      </c>
      <c r="F36" s="3370">
        <v>6780</v>
      </c>
      <c r="G36" s="3374">
        <v>16120</v>
      </c>
      <c r="M36" s="2456" t="s">
        <v>2903</v>
      </c>
      <c r="N36" s="2456" t="s">
        <v>2904</v>
      </c>
      <c r="O36" s="2456" t="s">
        <v>2905</v>
      </c>
      <c r="P36" s="2456" t="s">
        <v>2906</v>
      </c>
      <c r="Q36" s="2456" t="s">
        <v>2907</v>
      </c>
    </row>
    <row r="37" spans="1:17" ht="14.25" customHeight="1">
      <c r="A37" s="2456" t="s">
        <v>294</v>
      </c>
      <c r="B37" s="2457" t="s">
        <v>174</v>
      </c>
      <c r="C37" s="3370">
        <v>24380</v>
      </c>
      <c r="D37" s="3370">
        <v>22240</v>
      </c>
      <c r="E37" s="3370">
        <v>25980</v>
      </c>
      <c r="F37" s="3370">
        <v>8160</v>
      </c>
      <c r="G37" s="3374">
        <v>15570</v>
      </c>
      <c r="M37" s="2456" t="s">
        <v>2908</v>
      </c>
      <c r="N37" s="2456" t="s">
        <v>2909</v>
      </c>
      <c r="O37" s="2456" t="s">
        <v>2910</v>
      </c>
      <c r="P37" s="2456" t="s">
        <v>2911</v>
      </c>
      <c r="Q37" s="2456" t="s">
        <v>2912</v>
      </c>
    </row>
    <row r="38" spans="1:17" ht="14.25" customHeight="1">
      <c r="A38" s="2456" t="s">
        <v>294</v>
      </c>
      <c r="B38" s="2457" t="s">
        <v>184</v>
      </c>
      <c r="C38" s="3370">
        <v>23120</v>
      </c>
      <c r="D38" s="3370">
        <v>24630</v>
      </c>
      <c r="E38" s="3370">
        <v>25030</v>
      </c>
      <c r="F38" s="3370">
        <v>7710</v>
      </c>
      <c r="G38" s="3374">
        <v>17240</v>
      </c>
      <c r="M38" s="2456" t="s">
        <v>2913</v>
      </c>
      <c r="N38" s="2456" t="s">
        <v>2914</v>
      </c>
      <c r="O38" s="2456" t="s">
        <v>2915</v>
      </c>
      <c r="P38" s="2456" t="s">
        <v>2916</v>
      </c>
      <c r="Q38" s="2456" t="s">
        <v>2917</v>
      </c>
    </row>
    <row r="39" spans="1:17" ht="14.25" customHeight="1">
      <c r="A39" s="2456" t="s">
        <v>294</v>
      </c>
      <c r="B39" s="2457" t="s">
        <v>193</v>
      </c>
      <c r="C39" s="3370">
        <v>22330</v>
      </c>
      <c r="D39" s="3370">
        <v>21140</v>
      </c>
      <c r="E39" s="3370">
        <v>23970</v>
      </c>
      <c r="F39" s="3370">
        <v>7940</v>
      </c>
      <c r="G39" s="3374">
        <v>14790</v>
      </c>
      <c r="M39" s="2456" t="s">
        <v>2918</v>
      </c>
      <c r="N39" s="2456" t="s">
        <v>2919</v>
      </c>
      <c r="O39" s="2456" t="s">
        <v>2920</v>
      </c>
      <c r="P39" s="2456" t="s">
        <v>2921</v>
      </c>
      <c r="Q39" s="2456" t="s">
        <v>2922</v>
      </c>
    </row>
    <row r="40" spans="1:17" ht="14.25" customHeight="1">
      <c r="A40" s="2456" t="s">
        <v>294</v>
      </c>
      <c r="B40" s="2457" t="s">
        <v>200</v>
      </c>
      <c r="C40" s="3370">
        <v>24740</v>
      </c>
      <c r="D40" s="3370">
        <v>24690</v>
      </c>
      <c r="E40" s="3370">
        <v>22610</v>
      </c>
      <c r="F40" s="3370"/>
      <c r="G40" s="3374">
        <v>17280</v>
      </c>
      <c r="M40" s="2456" t="s">
        <v>2923</v>
      </c>
      <c r="N40" s="2456" t="s">
        <v>2924</v>
      </c>
      <c r="O40" s="2456" t="s">
        <v>2925</v>
      </c>
      <c r="P40" s="2456" t="s">
        <v>2926</v>
      </c>
      <c r="Q40" s="2456" t="s">
        <v>2927</v>
      </c>
    </row>
    <row r="41" spans="1:17" ht="14.25" customHeight="1" thickBot="1">
      <c r="A41" s="2456" t="s">
        <v>294</v>
      </c>
      <c r="B41" s="2457" t="s">
        <v>207</v>
      </c>
      <c r="C41" s="3370">
        <v>21220</v>
      </c>
      <c r="D41" s="3370">
        <v>21120</v>
      </c>
      <c r="E41" s="3370">
        <v>22590</v>
      </c>
      <c r="F41" s="3370"/>
      <c r="G41" s="3374">
        <v>14780</v>
      </c>
      <c r="M41" s="2463" t="s">
        <v>2928</v>
      </c>
      <c r="N41" s="2456" t="s">
        <v>2929</v>
      </c>
      <c r="O41" s="2456" t="s">
        <v>2930</v>
      </c>
      <c r="P41" s="2456" t="s">
        <v>2931</v>
      </c>
      <c r="Q41" s="2456" t="s">
        <v>2932</v>
      </c>
    </row>
    <row r="42" spans="1:17" ht="14.25" customHeight="1">
      <c r="A42" s="2456" t="s">
        <v>294</v>
      </c>
      <c r="B42" s="2457" t="s">
        <v>213</v>
      </c>
      <c r="C42" s="3370">
        <v>24800</v>
      </c>
      <c r="D42" s="3370">
        <v>22280</v>
      </c>
      <c r="E42" s="3370">
        <v>24350</v>
      </c>
      <c r="F42" s="3370"/>
      <c r="G42" s="3374">
        <v>15590</v>
      </c>
      <c r="N42" s="2456" t="s">
        <v>2933</v>
      </c>
      <c r="O42" s="2456" t="s">
        <v>2934</v>
      </c>
      <c r="P42" s="2456" t="s">
        <v>2935</v>
      </c>
      <c r="Q42" s="2456" t="s">
        <v>2936</v>
      </c>
    </row>
    <row r="43" spans="1:17" ht="14.25" customHeight="1">
      <c r="A43" s="2456" t="s">
        <v>2937</v>
      </c>
      <c r="B43" s="2457" t="s">
        <v>221</v>
      </c>
      <c r="C43" s="3370">
        <v>21210</v>
      </c>
      <c r="D43" s="3370">
        <v>21160</v>
      </c>
      <c r="E43" s="3370">
        <v>22650</v>
      </c>
      <c r="F43" s="3370"/>
      <c r="G43" s="3374">
        <v>14800</v>
      </c>
      <c r="N43" s="2456" t="s">
        <v>2938</v>
      </c>
      <c r="O43" s="2456" t="s">
        <v>2939</v>
      </c>
      <c r="P43" s="2456" t="s">
        <v>2940</v>
      </c>
      <c r="Q43" s="2456" t="s">
        <v>2941</v>
      </c>
    </row>
    <row r="44" spans="1:17" ht="14.25" customHeight="1" thickBot="1">
      <c r="A44" s="2456" t="s">
        <v>294</v>
      </c>
      <c r="B44" s="2457" t="s">
        <v>229</v>
      </c>
      <c r="C44" s="3370">
        <v>22370</v>
      </c>
      <c r="D44" s="3370">
        <v>23140</v>
      </c>
      <c r="E44" s="3370">
        <v>25090</v>
      </c>
      <c r="F44" s="3370"/>
      <c r="G44" s="3374">
        <v>16190</v>
      </c>
      <c r="N44" s="2456" t="s">
        <v>2942</v>
      </c>
      <c r="O44" s="2456" t="s">
        <v>2943</v>
      </c>
      <c r="P44" s="2463" t="s">
        <v>2944</v>
      </c>
      <c r="Q44" s="2456" t="s">
        <v>2945</v>
      </c>
    </row>
    <row r="45" spans="1:17" ht="14.25" customHeight="1" thickBot="1">
      <c r="A45" s="2456" t="s">
        <v>294</v>
      </c>
      <c r="B45" s="2457" t="s">
        <v>234</v>
      </c>
      <c r="C45" s="3370">
        <v>21240</v>
      </c>
      <c r="D45" s="3370">
        <v>27050</v>
      </c>
      <c r="E45" s="3370">
        <v>28000</v>
      </c>
      <c r="F45" s="3370"/>
      <c r="G45" s="3374">
        <v>18940</v>
      </c>
      <c r="N45" s="2456" t="s">
        <v>2946</v>
      </c>
      <c r="O45" s="2463" t="s">
        <v>2947</v>
      </c>
      <c r="Q45" s="2456" t="s">
        <v>2948</v>
      </c>
    </row>
    <row r="46" spans="1:17" ht="14.25" customHeight="1">
      <c r="A46" s="2456" t="s">
        <v>294</v>
      </c>
      <c r="B46" s="2457" t="s">
        <v>243</v>
      </c>
      <c r="C46" s="3370">
        <v>23240</v>
      </c>
      <c r="D46" s="3370">
        <v>23000</v>
      </c>
      <c r="E46" s="3370">
        <v>24980</v>
      </c>
      <c r="F46" s="3370"/>
      <c r="G46" s="3374">
        <v>16100</v>
      </c>
      <c r="N46" s="2456" t="s">
        <v>2949</v>
      </c>
      <c r="Q46" s="2456" t="s">
        <v>2950</v>
      </c>
    </row>
    <row r="47" spans="1:17" ht="14.25" customHeight="1">
      <c r="A47" s="2456" t="s">
        <v>294</v>
      </c>
      <c r="B47" s="2457" t="s">
        <v>250</v>
      </c>
      <c r="C47" s="3370">
        <v>27150</v>
      </c>
      <c r="D47" s="3370">
        <v>23310</v>
      </c>
      <c r="E47" s="3370">
        <v>25150</v>
      </c>
      <c r="F47" s="3370"/>
      <c r="G47" s="3374">
        <v>16310</v>
      </c>
      <c r="N47" s="2456" t="s">
        <v>2951</v>
      </c>
      <c r="Q47" s="2456" t="s">
        <v>2952</v>
      </c>
    </row>
    <row r="48" spans="1:17" ht="14.25" customHeight="1">
      <c r="A48" s="2456" t="s">
        <v>294</v>
      </c>
      <c r="B48" s="2457" t="s">
        <v>258</v>
      </c>
      <c r="C48" s="3370">
        <v>23100</v>
      </c>
      <c r="D48" s="3370">
        <v>21110</v>
      </c>
      <c r="E48" s="3370">
        <v>23080</v>
      </c>
      <c r="F48" s="3370"/>
      <c r="G48" s="3374">
        <v>14780</v>
      </c>
      <c r="N48" s="2456" t="s">
        <v>2953</v>
      </c>
      <c r="Q48" s="2456" t="s">
        <v>2954</v>
      </c>
    </row>
    <row r="49" spans="1:17" ht="14.25" customHeight="1">
      <c r="A49" s="2456" t="s">
        <v>294</v>
      </c>
      <c r="B49" s="2457" t="s">
        <v>265</v>
      </c>
      <c r="C49" s="3370">
        <v>23400</v>
      </c>
      <c r="D49" s="3370">
        <v>22920</v>
      </c>
      <c r="E49" s="3370">
        <v>24900</v>
      </c>
      <c r="F49" s="3370"/>
      <c r="G49" s="3374">
        <v>16040</v>
      </c>
      <c r="N49" s="2456" t="s">
        <v>2955</v>
      </c>
      <c r="Q49" s="2456" t="s">
        <v>2956</v>
      </c>
    </row>
    <row r="50" spans="1:17" ht="14.25" customHeight="1">
      <c r="A50" s="2456" t="s">
        <v>294</v>
      </c>
      <c r="B50" s="2457" t="s">
        <v>2833</v>
      </c>
      <c r="C50" s="3370">
        <v>21200</v>
      </c>
      <c r="D50" s="3370">
        <v>26540</v>
      </c>
      <c r="E50" s="3370">
        <v>23200</v>
      </c>
      <c r="F50" s="3370"/>
      <c r="G50" s="3374">
        <v>18580</v>
      </c>
      <c r="N50" s="2456" t="s">
        <v>2957</v>
      </c>
      <c r="Q50" s="2457" t="s">
        <v>2958</v>
      </c>
    </row>
    <row r="51" spans="1:17" ht="14.25" customHeight="1" thickBot="1">
      <c r="A51" s="2456" t="s">
        <v>294</v>
      </c>
      <c r="B51" s="2457" t="s">
        <v>2835</v>
      </c>
      <c r="C51" s="3370">
        <v>23000</v>
      </c>
      <c r="D51" s="3370">
        <v>23460</v>
      </c>
      <c r="E51" s="3370">
        <v>25290</v>
      </c>
      <c r="F51" s="3370"/>
      <c r="G51" s="3374">
        <v>16420</v>
      </c>
      <c r="N51" s="2456" t="s">
        <v>2959</v>
      </c>
      <c r="Q51" s="2463" t="s">
        <v>2960</v>
      </c>
    </row>
    <row r="52" spans="1:17" ht="14.25" customHeight="1">
      <c r="A52" s="2456" t="s">
        <v>294</v>
      </c>
      <c r="B52" s="2457" t="s">
        <v>2839</v>
      </c>
      <c r="C52" s="3370">
        <v>26660</v>
      </c>
      <c r="D52" s="3370">
        <v>22350</v>
      </c>
      <c r="E52" s="3370">
        <v>22920</v>
      </c>
      <c r="F52" s="3370"/>
      <c r="G52" s="3374">
        <v>15640</v>
      </c>
      <c r="N52" s="2456" t="s">
        <v>2961</v>
      </c>
    </row>
    <row r="53" spans="1:17" ht="14.25" customHeight="1">
      <c r="A53" s="2456" t="s">
        <v>294</v>
      </c>
      <c r="B53" s="2457" t="s">
        <v>2844</v>
      </c>
      <c r="C53" s="3370">
        <v>23580</v>
      </c>
      <c r="D53" s="3370"/>
      <c r="E53" s="3370">
        <v>24280</v>
      </c>
      <c r="F53" s="3370"/>
      <c r="G53" s="3374"/>
      <c r="N53" s="2456" t="s">
        <v>2962</v>
      </c>
    </row>
    <row r="54" spans="1:17" ht="14.25" customHeight="1" thickBot="1">
      <c r="A54" s="2468" t="s">
        <v>294</v>
      </c>
      <c r="B54" s="2462" t="s">
        <v>2847</v>
      </c>
      <c r="C54" s="3371">
        <v>22460</v>
      </c>
      <c r="D54" s="3371"/>
      <c r="E54" s="3371"/>
      <c r="F54" s="3371"/>
      <c r="G54" s="3375"/>
      <c r="N54" s="2456" t="s">
        <v>2963</v>
      </c>
    </row>
    <row r="55" spans="1:17" ht="14.25" customHeight="1">
      <c r="A55" s="2461" t="s">
        <v>108</v>
      </c>
      <c r="B55" s="2452" t="s">
        <v>2964</v>
      </c>
      <c r="C55" s="3370">
        <v>21970</v>
      </c>
      <c r="D55" s="3370">
        <v>20370</v>
      </c>
      <c r="E55" s="3370">
        <v>20180</v>
      </c>
      <c r="F55" s="3370">
        <v>5730</v>
      </c>
      <c r="G55" s="3370">
        <v>13820</v>
      </c>
      <c r="N55" s="2456" t="s">
        <v>2965</v>
      </c>
    </row>
    <row r="56" spans="1:17" ht="14.25" customHeight="1">
      <c r="A56" s="2456" t="s">
        <v>108</v>
      </c>
      <c r="B56" s="2456" t="s">
        <v>128</v>
      </c>
      <c r="C56" s="3370">
        <v>20470</v>
      </c>
      <c r="D56" s="3370">
        <v>20700</v>
      </c>
      <c r="E56" s="3370">
        <v>20380</v>
      </c>
      <c r="F56" s="3370">
        <v>4760</v>
      </c>
      <c r="G56" s="3370">
        <v>14050</v>
      </c>
      <c r="N56" s="2456" t="s">
        <v>2966</v>
      </c>
    </row>
    <row r="57" spans="1:17" ht="14.25" customHeight="1">
      <c r="A57" s="2456" t="s">
        <v>108</v>
      </c>
      <c r="B57" s="2456" t="s">
        <v>137</v>
      </c>
      <c r="C57" s="3370">
        <v>20790</v>
      </c>
      <c r="D57" s="3370">
        <v>21370</v>
      </c>
      <c r="E57" s="3370">
        <v>20890</v>
      </c>
      <c r="F57" s="3370">
        <v>4910</v>
      </c>
      <c r="G57" s="3370">
        <v>14510</v>
      </c>
      <c r="N57" s="2456" t="s">
        <v>2967</v>
      </c>
    </row>
    <row r="58" spans="1:17" ht="14.25" customHeight="1">
      <c r="A58" s="2456" t="s">
        <v>108</v>
      </c>
      <c r="B58" s="2456" t="s">
        <v>146</v>
      </c>
      <c r="C58" s="3370">
        <v>21460</v>
      </c>
      <c r="D58" s="3370">
        <v>20920</v>
      </c>
      <c r="E58" s="3370">
        <v>23410</v>
      </c>
      <c r="F58" s="3370">
        <v>5100</v>
      </c>
      <c r="G58" s="3370">
        <v>14200</v>
      </c>
      <c r="N58" s="2456" t="s">
        <v>2968</v>
      </c>
    </row>
    <row r="59" spans="1:17" ht="14.25" customHeight="1">
      <c r="A59" s="2456" t="s">
        <v>108</v>
      </c>
      <c r="B59" s="2456" t="s">
        <v>155</v>
      </c>
      <c r="C59" s="3370">
        <v>21000</v>
      </c>
      <c r="D59" s="3370">
        <v>21550</v>
      </c>
      <c r="E59" s="3370">
        <v>21150</v>
      </c>
      <c r="F59" s="3370">
        <v>5250</v>
      </c>
      <c r="G59" s="3370">
        <v>14630</v>
      </c>
      <c r="N59" s="2456" t="s">
        <v>2969</v>
      </c>
    </row>
    <row r="60" spans="1:17" ht="14.25" customHeight="1">
      <c r="A60" s="2456" t="s">
        <v>108</v>
      </c>
      <c r="B60" s="2456" t="s">
        <v>162</v>
      </c>
      <c r="C60" s="3370">
        <v>21640</v>
      </c>
      <c r="D60" s="3370">
        <v>21260</v>
      </c>
      <c r="E60" s="3370">
        <v>24040</v>
      </c>
      <c r="F60" s="3370">
        <v>4470</v>
      </c>
      <c r="G60" s="3370">
        <v>14430</v>
      </c>
      <c r="N60" s="2456" t="s">
        <v>2970</v>
      </c>
    </row>
    <row r="61" spans="1:17" ht="14.25" customHeight="1">
      <c r="A61" s="2456" t="s">
        <v>108</v>
      </c>
      <c r="B61" s="2456" t="s">
        <v>168</v>
      </c>
      <c r="C61" s="3370">
        <v>21330</v>
      </c>
      <c r="D61" s="3370">
        <v>18640</v>
      </c>
      <c r="E61" s="3370">
        <v>21190</v>
      </c>
      <c r="F61" s="3370">
        <v>4180</v>
      </c>
      <c r="G61" s="3370">
        <v>12650</v>
      </c>
      <c r="N61" s="2456" t="s">
        <v>2971</v>
      </c>
    </row>
    <row r="62" spans="1:17" ht="14.25" customHeight="1">
      <c r="A62" s="2456" t="s">
        <v>108</v>
      </c>
      <c r="B62" s="2456" t="s">
        <v>175</v>
      </c>
      <c r="C62" s="3370">
        <v>18710</v>
      </c>
      <c r="D62" s="3370">
        <v>19400</v>
      </c>
      <c r="E62" s="3370">
        <v>23750</v>
      </c>
      <c r="F62" s="3370">
        <v>4860</v>
      </c>
      <c r="G62" s="3370">
        <v>13170</v>
      </c>
      <c r="N62" s="2456" t="s">
        <v>2972</v>
      </c>
    </row>
    <row r="63" spans="1:17" ht="14.25" customHeight="1">
      <c r="A63" s="2456" t="s">
        <v>108</v>
      </c>
      <c r="B63" s="2456" t="s">
        <v>185</v>
      </c>
      <c r="C63" s="3370">
        <v>19480</v>
      </c>
      <c r="D63" s="3370">
        <v>16830</v>
      </c>
      <c r="E63" s="3370">
        <v>21590</v>
      </c>
      <c r="F63" s="3370">
        <v>4560</v>
      </c>
      <c r="G63" s="3370">
        <v>11420</v>
      </c>
      <c r="N63" s="2456" t="s">
        <v>2973</v>
      </c>
    </row>
    <row r="64" spans="1:17" ht="14.25" customHeight="1" thickBot="1">
      <c r="A64" s="2456" t="s">
        <v>108</v>
      </c>
      <c r="B64" s="2456" t="s">
        <v>194</v>
      </c>
      <c r="C64" s="3370">
        <v>16920</v>
      </c>
      <c r="D64" s="3370">
        <v>19190</v>
      </c>
      <c r="E64" s="3370">
        <v>22200</v>
      </c>
      <c r="F64" s="3370">
        <v>4390</v>
      </c>
      <c r="G64" s="3370">
        <v>13030</v>
      </c>
      <c r="N64" s="2463" t="s">
        <v>2974</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2845</v>
      </c>
      <c r="C78" s="3370">
        <v>19820</v>
      </c>
      <c r="D78" s="3370">
        <v>19780</v>
      </c>
      <c r="E78" s="3370">
        <v>18560</v>
      </c>
      <c r="F78" s="3370"/>
      <c r="G78" s="3370">
        <v>13430</v>
      </c>
    </row>
    <row r="79" spans="1:7" s="2321" customFormat="1" ht="14.25" customHeight="1">
      <c r="A79" s="2456" t="s">
        <v>108</v>
      </c>
      <c r="B79" s="2456" t="s">
        <v>2848</v>
      </c>
      <c r="C79" s="3370">
        <v>21660</v>
      </c>
      <c r="D79" s="3370">
        <v>18000</v>
      </c>
      <c r="E79" s="3370">
        <v>22570</v>
      </c>
      <c r="F79" s="3370"/>
      <c r="G79" s="3370">
        <v>12220</v>
      </c>
    </row>
    <row r="80" spans="1:7" s="2321" customFormat="1" ht="14.25" customHeight="1">
      <c r="A80" s="2456" t="s">
        <v>108</v>
      </c>
      <c r="B80" s="2456" t="s">
        <v>2852</v>
      </c>
      <c r="C80" s="3370">
        <v>19850</v>
      </c>
      <c r="D80" s="3370"/>
      <c r="E80" s="3370">
        <v>21700</v>
      </c>
      <c r="F80" s="3370"/>
      <c r="G80" s="3370"/>
    </row>
    <row r="81" spans="1:7" s="2321" customFormat="1" ht="14.25" customHeight="1">
      <c r="A81" s="2456" t="s">
        <v>108</v>
      </c>
      <c r="B81" s="2456" t="s">
        <v>2857</v>
      </c>
      <c r="C81" s="3370">
        <v>18080</v>
      </c>
      <c r="D81" s="3370"/>
      <c r="E81" s="3370">
        <v>20900</v>
      </c>
      <c r="F81" s="3370"/>
      <c r="G81" s="3370"/>
    </row>
    <row r="82" spans="1:7" s="2321" customFormat="1" ht="14.25" customHeight="1">
      <c r="A82" s="2456" t="s">
        <v>108</v>
      </c>
      <c r="B82" s="2456" t="s">
        <v>2864</v>
      </c>
      <c r="C82" s="3370"/>
      <c r="D82" s="3370"/>
      <c r="E82" s="3370">
        <v>20840</v>
      </c>
      <c r="F82" s="3370"/>
      <c r="G82" s="3370"/>
    </row>
    <row r="83" spans="1:7" s="2321" customFormat="1" ht="14.25" customHeight="1">
      <c r="A83" s="2456" t="s">
        <v>108</v>
      </c>
      <c r="B83" s="2456" t="s">
        <v>2975</v>
      </c>
      <c r="C83" s="3370"/>
      <c r="D83" s="3370"/>
      <c r="E83" s="3370"/>
      <c r="F83" s="3370">
        <v>4770</v>
      </c>
      <c r="G83" s="3370"/>
    </row>
    <row r="84" spans="1:7" s="2321" customFormat="1" ht="14.25" customHeight="1">
      <c r="A84" s="2456" t="s">
        <v>108</v>
      </c>
      <c r="B84" s="2456" t="s">
        <v>2976</v>
      </c>
      <c r="C84" s="3370"/>
      <c r="D84" s="3370"/>
      <c r="E84" s="3370"/>
      <c r="F84" s="3370">
        <v>4600</v>
      </c>
      <c r="G84" s="3370"/>
    </row>
    <row r="85" spans="1:7" s="2321" customFormat="1" ht="14.25" customHeight="1">
      <c r="A85" s="2456" t="s">
        <v>108</v>
      </c>
      <c r="B85" s="2456" t="s">
        <v>2977</v>
      </c>
      <c r="C85" s="3370"/>
      <c r="D85" s="3370"/>
      <c r="E85" s="3370"/>
      <c r="F85" s="3370">
        <v>4680</v>
      </c>
      <c r="G85" s="3370"/>
    </row>
    <row r="86" spans="1:7" s="2321" customFormat="1" ht="14.25" customHeight="1" thickBot="1">
      <c r="A86" s="2464" t="s">
        <v>108</v>
      </c>
      <c r="B86" s="2466" t="s">
        <v>2978</v>
      </c>
      <c r="C86" s="3372">
        <v>16610</v>
      </c>
      <c r="D86" s="3372">
        <v>16540</v>
      </c>
      <c r="E86" s="3372">
        <v>18850</v>
      </c>
      <c r="F86" s="3372"/>
      <c r="G86" s="3372">
        <v>11220</v>
      </c>
    </row>
    <row r="87" spans="1:7" s="2321" customFormat="1" ht="14.25" customHeight="1">
      <c r="A87" s="2461" t="s">
        <v>301</v>
      </c>
      <c r="B87" s="2452" t="s">
        <v>2979</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2858</v>
      </c>
      <c r="C113" s="3370">
        <v>15520</v>
      </c>
      <c r="D113" s="3370">
        <v>15450</v>
      </c>
      <c r="E113" s="3370"/>
      <c r="F113" s="3370"/>
      <c r="G113" s="3374">
        <v>10210</v>
      </c>
    </row>
    <row r="114" spans="1:7" s="2321" customFormat="1" ht="14.25" customHeight="1">
      <c r="A114" s="2456" t="s">
        <v>301</v>
      </c>
      <c r="B114" s="2456" t="s">
        <v>2865</v>
      </c>
      <c r="C114" s="3370">
        <v>13110</v>
      </c>
      <c r="D114" s="3370">
        <v>13050</v>
      </c>
      <c r="E114" s="3370"/>
      <c r="F114" s="3370"/>
      <c r="G114" s="3374">
        <v>8620</v>
      </c>
    </row>
    <row r="115" spans="1:7" s="2321" customFormat="1" ht="14.25" customHeight="1">
      <c r="A115" s="2456" t="s">
        <v>301</v>
      </c>
      <c r="B115" s="2456" t="s">
        <v>2871</v>
      </c>
      <c r="C115" s="3370">
        <v>12460</v>
      </c>
      <c r="D115" s="3370">
        <v>12390</v>
      </c>
      <c r="E115" s="3370"/>
      <c r="F115" s="3370"/>
      <c r="G115" s="3374">
        <v>8190</v>
      </c>
    </row>
    <row r="116" spans="1:7" s="2321" customFormat="1" ht="14.25" customHeight="1">
      <c r="A116" s="2456" t="s">
        <v>301</v>
      </c>
      <c r="B116" s="2456" t="s">
        <v>2878</v>
      </c>
      <c r="C116" s="3370">
        <v>13580</v>
      </c>
      <c r="D116" s="3370">
        <v>13520</v>
      </c>
      <c r="E116" s="3370"/>
      <c r="F116" s="3370"/>
      <c r="G116" s="3374">
        <v>8930</v>
      </c>
    </row>
    <row r="117" spans="1:7" s="2321" customFormat="1" ht="14.25" customHeight="1">
      <c r="A117" s="2456" t="s">
        <v>301</v>
      </c>
      <c r="B117" s="2456" t="s">
        <v>2885</v>
      </c>
      <c r="C117" s="3370">
        <v>17120</v>
      </c>
      <c r="D117" s="3370">
        <v>17040</v>
      </c>
      <c r="E117" s="3370"/>
      <c r="F117" s="3370"/>
      <c r="G117" s="3374">
        <v>11260</v>
      </c>
    </row>
    <row r="118" spans="1:7" s="2321" customFormat="1" ht="14.25" customHeight="1">
      <c r="A118" s="2456" t="s">
        <v>301</v>
      </c>
      <c r="B118" s="2456" t="s">
        <v>2890</v>
      </c>
      <c r="C118" s="3370">
        <v>14860</v>
      </c>
      <c r="D118" s="3370">
        <v>14790</v>
      </c>
      <c r="E118" s="3370"/>
      <c r="F118" s="3370"/>
      <c r="G118" s="3374">
        <v>9780</v>
      </c>
    </row>
    <row r="119" spans="1:7" s="2321" customFormat="1" ht="14.25" customHeight="1">
      <c r="A119" s="2456" t="s">
        <v>301</v>
      </c>
      <c r="B119" s="2456" t="s">
        <v>2894</v>
      </c>
      <c r="C119" s="3370">
        <v>16470</v>
      </c>
      <c r="D119" s="3370">
        <v>16400</v>
      </c>
      <c r="E119" s="3370"/>
      <c r="F119" s="3370"/>
      <c r="G119" s="3374">
        <v>10840</v>
      </c>
    </row>
    <row r="120" spans="1:7" s="2321" customFormat="1" ht="14.25" customHeight="1">
      <c r="A120" s="2456" t="s">
        <v>301</v>
      </c>
      <c r="B120" s="2456" t="s">
        <v>2980</v>
      </c>
      <c r="C120" s="3370"/>
      <c r="D120" s="3370"/>
      <c r="E120" s="3370"/>
      <c r="F120" s="3370">
        <v>4160</v>
      </c>
      <c r="G120" s="3374"/>
    </row>
    <row r="121" spans="1:7" s="2321" customFormat="1" ht="14.25" customHeight="1">
      <c r="A121" s="2456" t="s">
        <v>301</v>
      </c>
      <c r="B121" s="2456" t="s">
        <v>2981</v>
      </c>
      <c r="C121" s="3370"/>
      <c r="D121" s="3370"/>
      <c r="E121" s="3370"/>
      <c r="F121" s="3370">
        <v>3880</v>
      </c>
      <c r="G121" s="3374"/>
    </row>
    <row r="122" spans="1:7" s="2321" customFormat="1" ht="14.25" customHeight="1">
      <c r="A122" s="2456" t="s">
        <v>301</v>
      </c>
      <c r="B122" s="2456" t="s">
        <v>2982</v>
      </c>
      <c r="C122" s="3370">
        <v>13750</v>
      </c>
      <c r="D122" s="3370">
        <v>13680</v>
      </c>
      <c r="E122" s="3370">
        <v>16460</v>
      </c>
      <c r="F122" s="3370">
        <v>2880</v>
      </c>
      <c r="G122" s="3374">
        <v>9040</v>
      </c>
    </row>
    <row r="123" spans="1:7" s="2321" customFormat="1" ht="14.25" customHeight="1">
      <c r="A123" s="2456" t="s">
        <v>301</v>
      </c>
      <c r="B123" s="2456" t="s">
        <v>2913</v>
      </c>
      <c r="C123" s="3370">
        <v>13590</v>
      </c>
      <c r="D123" s="3370">
        <v>13520</v>
      </c>
      <c r="E123" s="3370">
        <v>16290</v>
      </c>
      <c r="F123" s="3370">
        <v>2790</v>
      </c>
      <c r="G123" s="3374">
        <v>8930</v>
      </c>
    </row>
    <row r="124" spans="1:7" s="2321" customFormat="1" ht="14.25" customHeight="1">
      <c r="A124" s="2456" t="s">
        <v>301</v>
      </c>
      <c r="B124" s="2456" t="s">
        <v>2918</v>
      </c>
      <c r="C124" s="3370">
        <v>13400</v>
      </c>
      <c r="D124" s="3370">
        <v>13320</v>
      </c>
      <c r="E124" s="3370">
        <v>16100</v>
      </c>
      <c r="F124" s="3370">
        <v>2320</v>
      </c>
      <c r="G124" s="3374">
        <v>8800</v>
      </c>
    </row>
    <row r="125" spans="1:7" s="2321" customFormat="1" ht="14.25" customHeight="1">
      <c r="A125" s="2456" t="s">
        <v>301</v>
      </c>
      <c r="B125" s="2456" t="s">
        <v>2923</v>
      </c>
      <c r="C125" s="3370">
        <v>12860</v>
      </c>
      <c r="D125" s="3370">
        <v>12790</v>
      </c>
      <c r="E125" s="3370">
        <v>15370</v>
      </c>
      <c r="F125" s="3370">
        <v>2280</v>
      </c>
      <c r="G125" s="3374">
        <v>8450</v>
      </c>
    </row>
    <row r="126" spans="1:7" s="2321" customFormat="1" ht="14.25" customHeight="1" thickBot="1">
      <c r="A126" s="2468" t="s">
        <v>301</v>
      </c>
      <c r="B126" s="2463" t="s">
        <v>2928</v>
      </c>
      <c r="C126" s="3371">
        <v>12960</v>
      </c>
      <c r="D126" s="3371">
        <v>12890</v>
      </c>
      <c r="E126" s="3371">
        <v>15530</v>
      </c>
      <c r="F126" s="3371">
        <v>2910</v>
      </c>
      <c r="G126" s="3375">
        <v>8520</v>
      </c>
    </row>
    <row r="127" spans="1:7" s="2321" customFormat="1" ht="14.25" customHeight="1">
      <c r="A127" s="2461" t="s">
        <v>27</v>
      </c>
      <c r="B127" s="2452" t="s">
        <v>2983</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2984</v>
      </c>
      <c r="C148" s="3370">
        <v>10370</v>
      </c>
      <c r="D148" s="3370">
        <v>10310</v>
      </c>
      <c r="E148" s="3370">
        <v>12970</v>
      </c>
      <c r="F148" s="3370"/>
      <c r="G148" s="3370">
        <v>6630</v>
      </c>
    </row>
    <row r="149" spans="1:7" s="2321" customFormat="1" ht="14.25" customHeight="1">
      <c r="A149" s="2456" t="s">
        <v>27</v>
      </c>
      <c r="B149" s="2456" t="s">
        <v>2985</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2859</v>
      </c>
      <c r="C153" s="3370">
        <v>10880</v>
      </c>
      <c r="D153" s="3370">
        <v>10820</v>
      </c>
      <c r="E153" s="3370">
        <v>13660</v>
      </c>
      <c r="F153" s="3370">
        <v>2260</v>
      </c>
      <c r="G153" s="3370">
        <v>6970</v>
      </c>
    </row>
    <row r="154" spans="1:7" s="2321" customFormat="1" ht="14.25" customHeight="1">
      <c r="A154" s="2456" t="s">
        <v>27</v>
      </c>
      <c r="B154" s="2456" t="s">
        <v>2986</v>
      </c>
      <c r="C154" s="3370">
        <v>11220</v>
      </c>
      <c r="D154" s="3370">
        <v>11160</v>
      </c>
      <c r="E154" s="3370">
        <v>14130</v>
      </c>
      <c r="F154" s="3370">
        <v>2230</v>
      </c>
      <c r="G154" s="3370">
        <v>7180</v>
      </c>
    </row>
    <row r="155" spans="1:7" s="2321" customFormat="1" ht="14.25" customHeight="1">
      <c r="A155" s="2456" t="s">
        <v>27</v>
      </c>
      <c r="B155" s="2456" t="s">
        <v>2872</v>
      </c>
      <c r="C155" s="3370">
        <v>10430</v>
      </c>
      <c r="D155" s="3370">
        <v>10380</v>
      </c>
      <c r="E155" s="3370">
        <v>13140</v>
      </c>
      <c r="F155" s="3370">
        <v>2080</v>
      </c>
      <c r="G155" s="3370">
        <v>6650</v>
      </c>
    </row>
    <row r="156" spans="1:7" s="2321" customFormat="1" ht="14.25" customHeight="1">
      <c r="A156" s="2456" t="s">
        <v>27</v>
      </c>
      <c r="B156" s="2456" t="s">
        <v>2987</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2988</v>
      </c>
      <c r="C160" s="3370">
        <v>11180</v>
      </c>
      <c r="D160" s="3370">
        <v>11140</v>
      </c>
      <c r="E160" s="3370">
        <v>14050</v>
      </c>
      <c r="F160" s="3370">
        <v>2270</v>
      </c>
      <c r="G160" s="3370">
        <v>7170</v>
      </c>
    </row>
    <row r="161" spans="1:7" s="2321" customFormat="1" ht="14.25" customHeight="1">
      <c r="A161" s="2456" t="s">
        <v>27</v>
      </c>
      <c r="B161" s="2456" t="s">
        <v>2904</v>
      </c>
      <c r="C161" s="3370">
        <v>11160</v>
      </c>
      <c r="D161" s="3370">
        <v>11120</v>
      </c>
      <c r="E161" s="3370">
        <v>14020</v>
      </c>
      <c r="F161" s="3370">
        <v>2150</v>
      </c>
      <c r="G161" s="3370">
        <v>7160</v>
      </c>
    </row>
    <row r="162" spans="1:7" s="2321" customFormat="1" ht="14.25" customHeight="1">
      <c r="A162" s="2456" t="s">
        <v>27</v>
      </c>
      <c r="B162" s="2456" t="s">
        <v>2909</v>
      </c>
      <c r="C162" s="3370">
        <v>9620</v>
      </c>
      <c r="D162" s="3370">
        <v>9570</v>
      </c>
      <c r="E162" s="3370">
        <v>12320</v>
      </c>
      <c r="F162" s="3370">
        <v>2010</v>
      </c>
      <c r="G162" s="3370">
        <v>6160</v>
      </c>
    </row>
    <row r="163" spans="1:7" s="2321" customFormat="1" ht="14.25" customHeight="1">
      <c r="A163" s="2456" t="s">
        <v>27</v>
      </c>
      <c r="B163" s="2456" t="s">
        <v>2914</v>
      </c>
      <c r="C163" s="3370">
        <v>9320</v>
      </c>
      <c r="D163" s="3370">
        <v>9270</v>
      </c>
      <c r="E163" s="3370">
        <v>11790</v>
      </c>
      <c r="F163" s="3370">
        <v>1920</v>
      </c>
      <c r="G163" s="3370">
        <v>5960</v>
      </c>
    </row>
    <row r="164" spans="1:7" s="2321" customFormat="1" ht="14.25" customHeight="1">
      <c r="A164" s="2456" t="s">
        <v>27</v>
      </c>
      <c r="B164" s="2456" t="s">
        <v>2919</v>
      </c>
      <c r="C164" s="3370"/>
      <c r="D164" s="3370"/>
      <c r="E164" s="3370"/>
      <c r="F164" s="3370">
        <v>1980</v>
      </c>
      <c r="G164" s="3370"/>
    </row>
    <row r="165" spans="1:7" s="2321" customFormat="1" ht="14.25" customHeight="1">
      <c r="A165" s="2456" t="s">
        <v>27</v>
      </c>
      <c r="B165" s="2456" t="s">
        <v>2989</v>
      </c>
      <c r="C165" s="3370">
        <v>11060</v>
      </c>
      <c r="D165" s="3370">
        <v>11030</v>
      </c>
      <c r="E165" s="3370">
        <v>13850</v>
      </c>
      <c r="F165" s="3370">
        <v>2170</v>
      </c>
      <c r="G165" s="3370">
        <v>7090</v>
      </c>
    </row>
    <row r="166" spans="1:7" s="2321" customFormat="1" ht="14.25" customHeight="1">
      <c r="A166" s="2456" t="s">
        <v>27</v>
      </c>
      <c r="B166" s="2456" t="s">
        <v>2929</v>
      </c>
      <c r="C166" s="3370">
        <v>11050</v>
      </c>
      <c r="D166" s="3370">
        <v>11010</v>
      </c>
      <c r="E166" s="3370">
        <v>13920</v>
      </c>
      <c r="F166" s="3370">
        <v>2140</v>
      </c>
      <c r="G166" s="3370">
        <v>7080</v>
      </c>
    </row>
    <row r="167" spans="1:7" s="2321" customFormat="1" ht="14.25" customHeight="1">
      <c r="A167" s="2456" t="s">
        <v>27</v>
      </c>
      <c r="B167" s="2456" t="s">
        <v>2933</v>
      </c>
      <c r="C167" s="3370">
        <v>10930</v>
      </c>
      <c r="D167" s="3370">
        <v>10890</v>
      </c>
      <c r="E167" s="3370">
        <v>13790</v>
      </c>
      <c r="F167" s="3370">
        <v>2010</v>
      </c>
      <c r="G167" s="3370">
        <v>7000</v>
      </c>
    </row>
    <row r="168" spans="1:7" s="2321" customFormat="1" ht="14.25" customHeight="1">
      <c r="A168" s="2456" t="s">
        <v>27</v>
      </c>
      <c r="B168" s="2456" t="s">
        <v>2938</v>
      </c>
      <c r="C168" s="3370">
        <v>9420</v>
      </c>
      <c r="D168" s="3370">
        <v>9380</v>
      </c>
      <c r="E168" s="3370">
        <v>11970</v>
      </c>
      <c r="F168" s="3370"/>
      <c r="G168" s="3370">
        <v>6040</v>
      </c>
    </row>
    <row r="169" spans="1:7" s="2321" customFormat="1" ht="14.25" customHeight="1">
      <c r="A169" s="2456" t="s">
        <v>27</v>
      </c>
      <c r="B169" s="2456" t="s">
        <v>2990</v>
      </c>
      <c r="C169" s="3370"/>
      <c r="D169" s="3370"/>
      <c r="E169" s="3370"/>
      <c r="F169" s="3370">
        <v>2880</v>
      </c>
      <c r="G169" s="3370"/>
    </row>
    <row r="170" spans="1:7" s="2321" customFormat="1" ht="14.25" customHeight="1">
      <c r="A170" s="2456" t="s">
        <v>27</v>
      </c>
      <c r="B170" s="2456" t="s">
        <v>2946</v>
      </c>
      <c r="C170" s="3370"/>
      <c r="D170" s="3370"/>
      <c r="E170" s="3370"/>
      <c r="F170" s="3370">
        <v>2880</v>
      </c>
      <c r="G170" s="3370"/>
    </row>
    <row r="171" spans="1:7" s="2321" customFormat="1" ht="14.25" customHeight="1">
      <c r="A171" s="2456" t="s">
        <v>27</v>
      </c>
      <c r="B171" s="2456" t="s">
        <v>2949</v>
      </c>
      <c r="C171" s="3370"/>
      <c r="D171" s="3370"/>
      <c r="E171" s="3370"/>
      <c r="F171" s="3370">
        <v>2880</v>
      </c>
      <c r="G171" s="3370"/>
    </row>
    <row r="172" spans="1:7" s="2321" customFormat="1" ht="14.25" customHeight="1">
      <c r="A172" s="2456" t="s">
        <v>27</v>
      </c>
      <c r="B172" s="2456" t="s">
        <v>2951</v>
      </c>
      <c r="C172" s="3370"/>
      <c r="D172" s="3370"/>
      <c r="E172" s="3370"/>
      <c r="F172" s="3370">
        <v>2880</v>
      </c>
      <c r="G172" s="3370"/>
    </row>
    <row r="173" spans="1:7" s="2321" customFormat="1" ht="14.25" customHeight="1">
      <c r="A173" s="2456" t="s">
        <v>27</v>
      </c>
      <c r="B173" s="2456" t="s">
        <v>2953</v>
      </c>
      <c r="C173" s="3370"/>
      <c r="D173" s="3370"/>
      <c r="E173" s="3370"/>
      <c r="F173" s="3370">
        <v>2150</v>
      </c>
      <c r="G173" s="3370"/>
    </row>
    <row r="174" spans="1:7" s="2321" customFormat="1" ht="14.25" customHeight="1">
      <c r="A174" s="2456" t="s">
        <v>27</v>
      </c>
      <c r="B174" s="2456" t="s">
        <v>2955</v>
      </c>
      <c r="C174" s="3370"/>
      <c r="D174" s="3370"/>
      <c r="E174" s="3370"/>
      <c r="F174" s="3370">
        <v>2030</v>
      </c>
      <c r="G174" s="3370"/>
    </row>
    <row r="175" spans="1:7" s="2321" customFormat="1" ht="14.25" customHeight="1">
      <c r="A175" s="2456" t="s">
        <v>27</v>
      </c>
      <c r="B175" s="2456" t="s">
        <v>2957</v>
      </c>
      <c r="C175" s="3370"/>
      <c r="D175" s="3370"/>
      <c r="E175" s="3370"/>
      <c r="F175" s="3370">
        <v>2780</v>
      </c>
      <c r="G175" s="3370"/>
    </row>
    <row r="176" spans="1:7" s="2321" customFormat="1" ht="14.25" customHeight="1">
      <c r="A176" s="2456" t="s">
        <v>27</v>
      </c>
      <c r="B176" s="2456" t="s">
        <v>2959</v>
      </c>
      <c r="C176" s="3370"/>
      <c r="D176" s="3370"/>
      <c r="E176" s="3370"/>
      <c r="F176" s="3370">
        <v>2780</v>
      </c>
      <c r="G176" s="3370"/>
    </row>
    <row r="177" spans="1:7" s="2321" customFormat="1" ht="14.25" customHeight="1">
      <c r="A177" s="2456" t="s">
        <v>27</v>
      </c>
      <c r="B177" s="2456" t="s">
        <v>2991</v>
      </c>
      <c r="C177" s="3370"/>
      <c r="D177" s="3370"/>
      <c r="E177" s="3370"/>
      <c r="F177" s="3370">
        <v>2780</v>
      </c>
      <c r="G177" s="3370"/>
    </row>
    <row r="178" spans="1:7" s="2321" customFormat="1" ht="14.25" customHeight="1">
      <c r="A178" s="2456" t="s">
        <v>27</v>
      </c>
      <c r="B178" s="2456" t="s">
        <v>2992</v>
      </c>
      <c r="C178" s="3370"/>
      <c r="D178" s="3370"/>
      <c r="E178" s="3370"/>
      <c r="F178" s="3370">
        <v>2060</v>
      </c>
      <c r="G178" s="3370"/>
    </row>
    <row r="179" spans="1:7" s="2321" customFormat="1" ht="14.25" customHeight="1">
      <c r="A179" s="2456" t="s">
        <v>27</v>
      </c>
      <c r="B179" s="2456" t="s">
        <v>2993</v>
      </c>
      <c r="C179" s="3370"/>
      <c r="D179" s="3370"/>
      <c r="E179" s="3370"/>
      <c r="F179" s="3370">
        <v>2120</v>
      </c>
      <c r="G179" s="3370"/>
    </row>
    <row r="180" spans="1:7" s="2321" customFormat="1" ht="14.25" customHeight="1">
      <c r="A180" s="2456" t="s">
        <v>27</v>
      </c>
      <c r="B180" s="2456" t="s">
        <v>2965</v>
      </c>
      <c r="C180" s="3370"/>
      <c r="D180" s="3370"/>
      <c r="E180" s="3370"/>
      <c r="F180" s="3370">
        <v>2340</v>
      </c>
      <c r="G180" s="3370"/>
    </row>
    <row r="181" spans="1:7" s="2321" customFormat="1" ht="14.25" customHeight="1">
      <c r="A181" s="2456" t="s">
        <v>27</v>
      </c>
      <c r="B181" s="2456" t="s">
        <v>2966</v>
      </c>
      <c r="C181" s="3370"/>
      <c r="D181" s="3370"/>
      <c r="E181" s="3370"/>
      <c r="F181" s="3370">
        <v>2340</v>
      </c>
      <c r="G181" s="3370"/>
    </row>
    <row r="182" spans="1:7" s="2321" customFormat="1" ht="14.25" customHeight="1">
      <c r="A182" s="2456" t="s">
        <v>27</v>
      </c>
      <c r="B182" s="2456" t="s">
        <v>2967</v>
      </c>
      <c r="C182" s="3370"/>
      <c r="D182" s="3370"/>
      <c r="E182" s="3370"/>
      <c r="F182" s="3370">
        <v>2340</v>
      </c>
      <c r="G182" s="3370"/>
    </row>
    <row r="183" spans="1:7" s="2321" customFormat="1" ht="14.25" customHeight="1">
      <c r="A183" s="2456" t="s">
        <v>27</v>
      </c>
      <c r="B183" s="2456" t="s">
        <v>2968</v>
      </c>
      <c r="C183" s="3370"/>
      <c r="D183" s="3370"/>
      <c r="E183" s="3370"/>
      <c r="F183" s="3370">
        <v>2340</v>
      </c>
      <c r="G183" s="3370"/>
    </row>
    <row r="184" spans="1:7" s="2321" customFormat="1" ht="14.25" customHeight="1">
      <c r="A184" s="2456" t="s">
        <v>27</v>
      </c>
      <c r="B184" s="2456" t="s">
        <v>2969</v>
      </c>
      <c r="C184" s="3370"/>
      <c r="D184" s="3370"/>
      <c r="E184" s="3370"/>
      <c r="F184" s="3370">
        <v>2340</v>
      </c>
      <c r="G184" s="3370"/>
    </row>
    <row r="185" spans="1:7" s="2321" customFormat="1" ht="14.25" customHeight="1">
      <c r="A185" s="2456" t="s">
        <v>27</v>
      </c>
      <c r="B185" s="2456" t="s">
        <v>2970</v>
      </c>
      <c r="C185" s="3370"/>
      <c r="D185" s="3370"/>
      <c r="E185" s="3370"/>
      <c r="F185" s="3370">
        <v>2530</v>
      </c>
      <c r="G185" s="3370"/>
    </row>
    <row r="186" spans="1:7" s="2321" customFormat="1" ht="14.25" customHeight="1">
      <c r="A186" s="2456" t="s">
        <v>27</v>
      </c>
      <c r="B186" s="2456" t="s">
        <v>2971</v>
      </c>
      <c r="C186" s="3370"/>
      <c r="D186" s="3370"/>
      <c r="E186" s="3370"/>
      <c r="F186" s="3370">
        <v>2550</v>
      </c>
      <c r="G186" s="3370"/>
    </row>
    <row r="187" spans="1:7" s="2321" customFormat="1" ht="14.25" customHeight="1">
      <c r="A187" s="2456" t="s">
        <v>27</v>
      </c>
      <c r="B187" s="2456" t="s">
        <v>2972</v>
      </c>
      <c r="C187" s="3370"/>
      <c r="D187" s="3370"/>
      <c r="E187" s="3370"/>
      <c r="F187" s="3370">
        <v>2070</v>
      </c>
      <c r="G187" s="3370"/>
    </row>
    <row r="188" spans="1:7" s="2321" customFormat="1" ht="14.25" customHeight="1">
      <c r="A188" s="2456" t="s">
        <v>27</v>
      </c>
      <c r="B188" s="2456" t="s">
        <v>2973</v>
      </c>
      <c r="C188" s="3370"/>
      <c r="D188" s="3370"/>
      <c r="E188" s="3370"/>
      <c r="F188" s="3370">
        <v>2340</v>
      </c>
      <c r="G188" s="3370"/>
    </row>
    <row r="189" spans="1:7" s="2321" customFormat="1" ht="14.25" customHeight="1" thickBot="1">
      <c r="A189" s="2464" t="s">
        <v>27</v>
      </c>
      <c r="B189" s="2467" t="s">
        <v>2974</v>
      </c>
      <c r="C189" s="3372"/>
      <c r="D189" s="3372"/>
      <c r="E189" s="3372"/>
      <c r="F189" s="3372">
        <v>2050</v>
      </c>
      <c r="G189" s="3372"/>
    </row>
    <row r="190" spans="1:7" s="2321" customFormat="1" ht="14.25" customHeight="1">
      <c r="A190" s="2461" t="s">
        <v>302</v>
      </c>
      <c r="B190" s="2452" t="s">
        <v>2994</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2995</v>
      </c>
      <c r="C199" s="3370">
        <v>8690</v>
      </c>
      <c r="D199" s="3370">
        <v>8630</v>
      </c>
      <c r="E199" s="3370">
        <v>11350</v>
      </c>
      <c r="F199" s="3370">
        <v>1600</v>
      </c>
      <c r="G199" s="3374">
        <v>5450</v>
      </c>
    </row>
    <row r="200" spans="1:7" s="2321" customFormat="1" ht="14.25" customHeight="1">
      <c r="A200" s="2456" t="s">
        <v>302</v>
      </c>
      <c r="B200" s="2456" t="s">
        <v>2806</v>
      </c>
      <c r="C200" s="3370"/>
      <c r="D200" s="3370"/>
      <c r="E200" s="3370"/>
      <c r="F200" s="3370">
        <v>1510</v>
      </c>
      <c r="G200" s="3374"/>
    </row>
    <row r="201" spans="1:7" s="2321" customFormat="1" ht="14.25" customHeight="1">
      <c r="A201" s="2456" t="s">
        <v>302</v>
      </c>
      <c r="B201" s="2456" t="s">
        <v>2996</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2997</v>
      </c>
      <c r="C203" s="3370">
        <v>8130</v>
      </c>
      <c r="D203" s="3370">
        <v>8070</v>
      </c>
      <c r="E203" s="3370">
        <v>10820</v>
      </c>
      <c r="F203" s="3370">
        <v>1690</v>
      </c>
      <c r="G203" s="3374">
        <v>5100</v>
      </c>
    </row>
    <row r="204" spans="1:7" s="2321" customFormat="1" ht="14.25" customHeight="1">
      <c r="A204" s="2456" t="s">
        <v>302</v>
      </c>
      <c r="B204" s="2456" t="s">
        <v>2817</v>
      </c>
      <c r="C204" s="3370">
        <v>8350</v>
      </c>
      <c r="D204" s="3370">
        <v>8290</v>
      </c>
      <c r="E204" s="3370">
        <v>11080</v>
      </c>
      <c r="F204" s="3370">
        <v>1450</v>
      </c>
      <c r="G204" s="3374">
        <v>5240</v>
      </c>
    </row>
    <row r="205" spans="1:7" s="2321" customFormat="1" ht="14.25" customHeight="1">
      <c r="A205" s="2456" t="s">
        <v>302</v>
      </c>
      <c r="B205" s="2456" t="s">
        <v>2819</v>
      </c>
      <c r="C205" s="3370">
        <v>7190</v>
      </c>
      <c r="D205" s="3370">
        <v>7130</v>
      </c>
      <c r="E205" s="3370">
        <v>9490</v>
      </c>
      <c r="F205" s="3370">
        <v>1470</v>
      </c>
      <c r="G205" s="3374">
        <v>4510</v>
      </c>
    </row>
    <row r="206" spans="1:7" s="2321" customFormat="1" ht="14.25" customHeight="1">
      <c r="A206" s="2456" t="s">
        <v>302</v>
      </c>
      <c r="B206" s="2456" t="s">
        <v>2822</v>
      </c>
      <c r="C206" s="3370">
        <v>7000</v>
      </c>
      <c r="D206" s="3370">
        <v>6950</v>
      </c>
      <c r="E206" s="3370">
        <v>9170</v>
      </c>
      <c r="F206" s="3370">
        <v>1400</v>
      </c>
      <c r="G206" s="3374">
        <v>4380</v>
      </c>
    </row>
    <row r="207" spans="1:7" s="2321" customFormat="1" ht="14.25" customHeight="1">
      <c r="A207" s="2456" t="s">
        <v>302</v>
      </c>
      <c r="B207" s="2456" t="s">
        <v>2824</v>
      </c>
      <c r="C207" s="3370">
        <v>6950</v>
      </c>
      <c r="D207" s="3370">
        <v>6900</v>
      </c>
      <c r="E207" s="3370">
        <v>9110</v>
      </c>
      <c r="F207" s="3370">
        <v>1790</v>
      </c>
      <c r="G207" s="3374">
        <v>4360</v>
      </c>
    </row>
    <row r="208" spans="1:7" s="2321" customFormat="1" ht="14.25" customHeight="1">
      <c r="A208" s="2456" t="s">
        <v>302</v>
      </c>
      <c r="B208" s="2456" t="s">
        <v>2998</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2834</v>
      </c>
      <c r="C210" s="3370">
        <v>8710</v>
      </c>
      <c r="D210" s="3370">
        <v>8660</v>
      </c>
      <c r="E210" s="3370">
        <v>11440</v>
      </c>
      <c r="F210" s="3370">
        <v>1740</v>
      </c>
      <c r="G210" s="3374">
        <v>5470</v>
      </c>
    </row>
    <row r="211" spans="1:7" s="2321" customFormat="1" ht="14.25" customHeight="1">
      <c r="A211" s="2456" t="s">
        <v>302</v>
      </c>
      <c r="B211" s="2456" t="s">
        <v>2999</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3000</v>
      </c>
      <c r="C214" s="3370">
        <v>8090</v>
      </c>
      <c r="D214" s="3370">
        <v>8030</v>
      </c>
      <c r="E214" s="3370">
        <v>10780</v>
      </c>
      <c r="F214" s="3370">
        <v>1570</v>
      </c>
      <c r="G214" s="3374">
        <v>5070</v>
      </c>
    </row>
    <row r="215" spans="1:7" s="2321" customFormat="1" ht="14.25" customHeight="1">
      <c r="A215" s="2456" t="s">
        <v>302</v>
      </c>
      <c r="B215" s="2456" t="s">
        <v>3001</v>
      </c>
      <c r="C215" s="3370">
        <v>7950</v>
      </c>
      <c r="D215" s="3370">
        <v>7900</v>
      </c>
      <c r="E215" s="3370">
        <v>10560</v>
      </c>
      <c r="F215" s="3370">
        <v>1630</v>
      </c>
      <c r="G215" s="3374">
        <v>4990</v>
      </c>
    </row>
    <row r="216" spans="1:7" s="2321" customFormat="1" ht="14.25" customHeight="1">
      <c r="A216" s="2456" t="s">
        <v>302</v>
      </c>
      <c r="B216" s="2456" t="s">
        <v>3002</v>
      </c>
      <c r="C216" s="3370">
        <v>8490</v>
      </c>
      <c r="D216" s="3370">
        <v>8440</v>
      </c>
      <c r="E216" s="3370">
        <v>11260</v>
      </c>
      <c r="F216" s="3370">
        <v>1690</v>
      </c>
      <c r="G216" s="3374">
        <v>5330</v>
      </c>
    </row>
    <row r="217" spans="1:7" s="2321" customFormat="1" ht="14.25" customHeight="1">
      <c r="A217" s="2456" t="s">
        <v>302</v>
      </c>
      <c r="B217" s="2456" t="s">
        <v>2867</v>
      </c>
      <c r="C217" s="3370">
        <v>8200</v>
      </c>
      <c r="D217" s="3370">
        <v>8150</v>
      </c>
      <c r="E217" s="3370">
        <v>10910</v>
      </c>
      <c r="F217" s="3370">
        <v>1670</v>
      </c>
      <c r="G217" s="3374">
        <v>5150</v>
      </c>
    </row>
    <row r="218" spans="1:7" s="2321" customFormat="1" ht="14.25" customHeight="1">
      <c r="A218" s="2456" t="s">
        <v>302</v>
      </c>
      <c r="B218" s="2456" t="s">
        <v>3003</v>
      </c>
      <c r="C218" s="3370"/>
      <c r="D218" s="3370"/>
      <c r="E218" s="3370"/>
      <c r="F218" s="3370">
        <v>2040</v>
      </c>
      <c r="G218" s="3374"/>
    </row>
    <row r="219" spans="1:7" s="2321" customFormat="1" ht="14.25" customHeight="1">
      <c r="A219" s="2456" t="s">
        <v>302</v>
      </c>
      <c r="B219" s="2456" t="s">
        <v>3004</v>
      </c>
      <c r="C219" s="3370"/>
      <c r="D219" s="3370"/>
      <c r="E219" s="3370"/>
      <c r="F219" s="3370">
        <v>2040</v>
      </c>
      <c r="G219" s="3374"/>
    </row>
    <row r="220" spans="1:7" s="2321" customFormat="1" ht="14.25" customHeight="1">
      <c r="A220" s="2456" t="s">
        <v>302</v>
      </c>
      <c r="B220" s="2456" t="s">
        <v>3005</v>
      </c>
      <c r="C220" s="3370"/>
      <c r="D220" s="3370"/>
      <c r="E220" s="3370"/>
      <c r="F220" s="3370">
        <v>2040</v>
      </c>
      <c r="G220" s="3374"/>
    </row>
    <row r="221" spans="1:7" s="2321" customFormat="1" ht="14.25" customHeight="1">
      <c r="A221" s="2456" t="s">
        <v>302</v>
      </c>
      <c r="B221" s="2456" t="s">
        <v>3006</v>
      </c>
      <c r="C221" s="3370"/>
      <c r="D221" s="3370"/>
      <c r="E221" s="3370"/>
      <c r="F221" s="3370">
        <v>2040</v>
      </c>
      <c r="G221" s="3374"/>
    </row>
    <row r="222" spans="1:7" s="2321" customFormat="1" ht="14.25" customHeight="1">
      <c r="A222" s="2456" t="s">
        <v>302</v>
      </c>
      <c r="B222" s="2456" t="s">
        <v>3007</v>
      </c>
      <c r="C222" s="3370"/>
      <c r="D222" s="3370"/>
      <c r="E222" s="3370"/>
      <c r="F222" s="3370">
        <v>2040</v>
      </c>
      <c r="G222" s="3374"/>
    </row>
    <row r="223" spans="1:7" s="2321" customFormat="1" ht="14.25" customHeight="1">
      <c r="A223" s="2456" t="s">
        <v>302</v>
      </c>
      <c r="B223" s="2456" t="s">
        <v>3008</v>
      </c>
      <c r="C223" s="3370"/>
      <c r="D223" s="3370"/>
      <c r="E223" s="3370"/>
      <c r="F223" s="3370">
        <v>1930</v>
      </c>
      <c r="G223" s="3374"/>
    </row>
    <row r="224" spans="1:7" s="2321" customFormat="1" ht="14.25" customHeight="1">
      <c r="A224" s="2456" t="s">
        <v>302</v>
      </c>
      <c r="B224" s="2456" t="s">
        <v>3009</v>
      </c>
      <c r="C224" s="3370"/>
      <c r="D224" s="3370"/>
      <c r="E224" s="3370"/>
      <c r="F224" s="3370">
        <v>1930</v>
      </c>
      <c r="G224" s="3374"/>
    </row>
    <row r="225" spans="1:7" s="2321" customFormat="1" ht="14.25" customHeight="1">
      <c r="A225" s="2456" t="s">
        <v>302</v>
      </c>
      <c r="B225" s="2456" t="s">
        <v>3010</v>
      </c>
      <c r="C225" s="3370"/>
      <c r="D225" s="3370"/>
      <c r="E225" s="3370"/>
      <c r="F225" s="3370">
        <v>1930</v>
      </c>
      <c r="G225" s="3374"/>
    </row>
    <row r="226" spans="1:7" s="2321" customFormat="1" ht="14.25" customHeight="1">
      <c r="A226" s="2456" t="s">
        <v>302</v>
      </c>
      <c r="B226" s="2456" t="s">
        <v>3011</v>
      </c>
      <c r="C226" s="3370"/>
      <c r="D226" s="3370"/>
      <c r="E226" s="3370"/>
      <c r="F226" s="3370">
        <v>1700</v>
      </c>
      <c r="G226" s="3374"/>
    </row>
    <row r="227" spans="1:7" s="2321" customFormat="1" ht="14.25" customHeight="1">
      <c r="A227" s="2456" t="s">
        <v>302</v>
      </c>
      <c r="B227" s="2456" t="s">
        <v>3012</v>
      </c>
      <c r="C227" s="3370"/>
      <c r="D227" s="3370"/>
      <c r="E227" s="3370"/>
      <c r="F227" s="3370">
        <v>1520</v>
      </c>
      <c r="G227" s="3374"/>
    </row>
    <row r="228" spans="1:7" s="2321" customFormat="1" ht="14.25" customHeight="1">
      <c r="A228" s="2456" t="s">
        <v>302</v>
      </c>
      <c r="B228" s="2456" t="s">
        <v>3013</v>
      </c>
      <c r="C228" s="3370"/>
      <c r="D228" s="3370"/>
      <c r="E228" s="3370"/>
      <c r="F228" s="3370">
        <v>1520</v>
      </c>
      <c r="G228" s="3374"/>
    </row>
    <row r="229" spans="1:7" s="2321" customFormat="1" ht="14.25" customHeight="1">
      <c r="A229" s="2456" t="s">
        <v>302</v>
      </c>
      <c r="B229" s="2456" t="s">
        <v>2930</v>
      </c>
      <c r="C229" s="3370"/>
      <c r="D229" s="3370"/>
      <c r="E229" s="3370"/>
      <c r="F229" s="3370">
        <v>1520</v>
      </c>
      <c r="G229" s="3374"/>
    </row>
    <row r="230" spans="1:7" s="2321" customFormat="1" ht="14.25" customHeight="1">
      <c r="A230" s="2456" t="s">
        <v>302</v>
      </c>
      <c r="B230" s="2456" t="s">
        <v>3014</v>
      </c>
      <c r="C230" s="3370"/>
      <c r="D230" s="3370"/>
      <c r="E230" s="3370"/>
      <c r="F230" s="3370">
        <v>1820</v>
      </c>
      <c r="G230" s="3374"/>
    </row>
    <row r="231" spans="1:7" s="2321" customFormat="1" ht="14.25" customHeight="1">
      <c r="A231" s="2456" t="s">
        <v>302</v>
      </c>
      <c r="B231" s="2456" t="s">
        <v>3015</v>
      </c>
      <c r="C231" s="3370"/>
      <c r="D231" s="3370"/>
      <c r="E231" s="3370"/>
      <c r="F231" s="3370">
        <v>1760</v>
      </c>
      <c r="G231" s="3374"/>
    </row>
    <row r="232" spans="1:7" s="2321" customFormat="1" ht="14.25" customHeight="1">
      <c r="A232" s="2456" t="s">
        <v>302</v>
      </c>
      <c r="B232" s="2456" t="s">
        <v>3016</v>
      </c>
      <c r="C232" s="3370"/>
      <c r="D232" s="3370"/>
      <c r="E232" s="3370"/>
      <c r="F232" s="3370">
        <v>1840</v>
      </c>
      <c r="G232" s="3374"/>
    </row>
    <row r="233" spans="1:7" s="2321" customFormat="1" ht="14.25" customHeight="1" thickBot="1">
      <c r="A233" s="2468" t="s">
        <v>302</v>
      </c>
      <c r="B233" s="2463" t="s">
        <v>2947</v>
      </c>
      <c r="C233" s="3371"/>
      <c r="D233" s="3371"/>
      <c r="E233" s="3371"/>
      <c r="F233" s="3371">
        <v>1770</v>
      </c>
      <c r="G233" s="3375"/>
    </row>
    <row r="234" spans="1:7" s="2321" customFormat="1" ht="14.25" customHeight="1">
      <c r="A234" s="2461" t="s">
        <v>303</v>
      </c>
      <c r="B234" s="2452" t="s">
        <v>3017</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2788</v>
      </c>
      <c r="C238" s="3370">
        <v>6920</v>
      </c>
      <c r="D238" s="3370">
        <v>6890</v>
      </c>
      <c r="E238" s="3370">
        <v>8640</v>
      </c>
      <c r="F238" s="3370">
        <v>1310</v>
      </c>
      <c r="G238" s="3370">
        <v>4230</v>
      </c>
    </row>
    <row r="239" spans="1:7" s="2321" customFormat="1" ht="14.25" customHeight="1">
      <c r="A239" s="2456" t="s">
        <v>303</v>
      </c>
      <c r="B239" s="2456" t="s">
        <v>3018</v>
      </c>
      <c r="C239" s="3370">
        <v>6780</v>
      </c>
      <c r="D239" s="3370">
        <v>6750</v>
      </c>
      <c r="E239" s="3370">
        <v>8440</v>
      </c>
      <c r="F239" s="3370">
        <v>1160</v>
      </c>
      <c r="G239" s="3370">
        <v>4140</v>
      </c>
    </row>
    <row r="240" spans="1:7" s="2321" customFormat="1" ht="14.25" customHeight="1">
      <c r="A240" s="2456" t="s">
        <v>303</v>
      </c>
      <c r="B240" s="2456" t="s">
        <v>3019</v>
      </c>
      <c r="C240" s="3370">
        <v>5420</v>
      </c>
      <c r="D240" s="3370">
        <v>5380</v>
      </c>
      <c r="E240" s="3370">
        <v>6640</v>
      </c>
      <c r="F240" s="3370">
        <v>1020</v>
      </c>
      <c r="G240" s="3370">
        <v>3300</v>
      </c>
    </row>
    <row r="241" spans="1:7" s="2321" customFormat="1" ht="14.25" customHeight="1">
      <c r="A241" s="2456" t="s">
        <v>303</v>
      </c>
      <c r="B241" s="2456" t="s">
        <v>3020</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3021</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3022</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3023</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3024</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3025</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2850</v>
      </c>
      <c r="C258" s="3370">
        <v>6190</v>
      </c>
      <c r="D258" s="3370">
        <v>6160</v>
      </c>
      <c r="E258" s="3370">
        <v>7680</v>
      </c>
      <c r="F258" s="3370">
        <v>1170</v>
      </c>
      <c r="G258" s="3370">
        <v>3780</v>
      </c>
    </row>
    <row r="259" spans="1:7" s="2321" customFormat="1" ht="14.25" customHeight="1">
      <c r="A259" s="2456" t="s">
        <v>303</v>
      </c>
      <c r="B259" s="2456" t="s">
        <v>3026</v>
      </c>
      <c r="C259" s="3370">
        <v>7610</v>
      </c>
      <c r="D259" s="3370">
        <v>7570</v>
      </c>
      <c r="E259" s="3370">
        <v>9350</v>
      </c>
      <c r="F259" s="3370">
        <v>1350</v>
      </c>
      <c r="G259" s="3370">
        <v>4650</v>
      </c>
    </row>
    <row r="260" spans="1:7" s="2321" customFormat="1" ht="14.25" customHeight="1">
      <c r="A260" s="2456" t="s">
        <v>303</v>
      </c>
      <c r="B260" s="2456" t="s">
        <v>3027</v>
      </c>
      <c r="C260" s="3370">
        <v>6920</v>
      </c>
      <c r="D260" s="3370">
        <v>6880</v>
      </c>
      <c r="E260" s="3370">
        <v>8380</v>
      </c>
      <c r="F260" s="3370">
        <v>1160</v>
      </c>
      <c r="G260" s="3370">
        <v>4220</v>
      </c>
    </row>
    <row r="261" spans="1:7" s="2321" customFormat="1" ht="14.25" customHeight="1">
      <c r="A261" s="2456" t="s">
        <v>303</v>
      </c>
      <c r="B261" s="2456" t="s">
        <v>3028</v>
      </c>
      <c r="C261" s="3370">
        <v>6850</v>
      </c>
      <c r="D261" s="3370">
        <v>6810</v>
      </c>
      <c r="E261" s="3370">
        <v>8290</v>
      </c>
      <c r="F261" s="3370">
        <v>1130</v>
      </c>
      <c r="G261" s="3370">
        <v>4180</v>
      </c>
    </row>
    <row r="262" spans="1:7" s="2321" customFormat="1" ht="14.25" customHeight="1">
      <c r="A262" s="2456" t="s">
        <v>303</v>
      </c>
      <c r="B262" s="2456" t="s">
        <v>3029</v>
      </c>
      <c r="C262" s="3370">
        <v>5860</v>
      </c>
      <c r="D262" s="3370">
        <v>5820</v>
      </c>
      <c r="E262" s="3370">
        <v>7640</v>
      </c>
      <c r="F262" s="3370">
        <v>1070</v>
      </c>
      <c r="G262" s="3370">
        <v>3570</v>
      </c>
    </row>
    <row r="263" spans="1:7" s="2321" customFormat="1" ht="14.25" customHeight="1">
      <c r="A263" s="2456" t="s">
        <v>303</v>
      </c>
      <c r="B263" s="2456" t="s">
        <v>3030</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3031</v>
      </c>
      <c r="C265" s="3370"/>
      <c r="D265" s="3370"/>
      <c r="E265" s="3370"/>
      <c r="F265" s="3370">
        <v>1500</v>
      </c>
      <c r="G265" s="3370"/>
    </row>
    <row r="266" spans="1:7" s="2321" customFormat="1" ht="14.25" customHeight="1">
      <c r="A266" s="2456" t="s">
        <v>303</v>
      </c>
      <c r="B266" s="2456" t="s">
        <v>3032</v>
      </c>
      <c r="C266" s="3370"/>
      <c r="D266" s="3370"/>
      <c r="E266" s="3370"/>
      <c r="F266" s="3370">
        <v>1500</v>
      </c>
      <c r="G266" s="3370"/>
    </row>
    <row r="267" spans="1:7" s="2321" customFormat="1" ht="14.25" customHeight="1">
      <c r="A267" s="2456" t="s">
        <v>303</v>
      </c>
      <c r="B267" s="2456" t="s">
        <v>3033</v>
      </c>
      <c r="C267" s="3370"/>
      <c r="D267" s="3370"/>
      <c r="E267" s="3370"/>
      <c r="F267" s="3370">
        <v>1500</v>
      </c>
      <c r="G267" s="3370"/>
    </row>
    <row r="268" spans="1:7" s="2321" customFormat="1" ht="14.25" customHeight="1">
      <c r="A268" s="2456" t="s">
        <v>303</v>
      </c>
      <c r="B268" s="2456" t="s">
        <v>3034</v>
      </c>
      <c r="C268" s="3370"/>
      <c r="D268" s="3370"/>
      <c r="E268" s="3370"/>
      <c r="F268" s="3370">
        <v>1290</v>
      </c>
      <c r="G268" s="3370"/>
    </row>
    <row r="269" spans="1:7" s="2321" customFormat="1" ht="14.25" customHeight="1">
      <c r="A269" s="2456" t="s">
        <v>303</v>
      </c>
      <c r="B269" s="2456" t="s">
        <v>3035</v>
      </c>
      <c r="C269" s="3370"/>
      <c r="D269" s="3370"/>
      <c r="E269" s="3370"/>
      <c r="F269" s="3370">
        <v>1150</v>
      </c>
      <c r="G269" s="3370"/>
    </row>
    <row r="270" spans="1:7" s="2321" customFormat="1" ht="14.25" customHeight="1">
      <c r="A270" s="2456" t="s">
        <v>303</v>
      </c>
      <c r="B270" s="2456" t="s">
        <v>3036</v>
      </c>
      <c r="C270" s="3370"/>
      <c r="D270" s="3370"/>
      <c r="E270" s="3370"/>
      <c r="F270" s="3370">
        <v>1380</v>
      </c>
      <c r="G270" s="3370"/>
    </row>
    <row r="271" spans="1:7" s="2321" customFormat="1" ht="14.25" customHeight="1">
      <c r="A271" s="2456" t="s">
        <v>303</v>
      </c>
      <c r="B271" s="2456" t="s">
        <v>3037</v>
      </c>
      <c r="C271" s="3370"/>
      <c r="D271" s="3370"/>
      <c r="E271" s="3370"/>
      <c r="F271" s="3370">
        <v>1460</v>
      </c>
      <c r="G271" s="3370"/>
    </row>
    <row r="272" spans="1:7" s="2321" customFormat="1" ht="14.25" customHeight="1">
      <c r="A272" s="2456" t="s">
        <v>303</v>
      </c>
      <c r="B272" s="2456" t="s">
        <v>3038</v>
      </c>
      <c r="C272" s="3370"/>
      <c r="D272" s="3370"/>
      <c r="E272" s="3370"/>
      <c r="F272" s="3370">
        <v>1460</v>
      </c>
      <c r="G272" s="3370"/>
    </row>
    <row r="273" spans="1:7" s="2321" customFormat="1" ht="14.25" customHeight="1">
      <c r="A273" s="2456" t="s">
        <v>303</v>
      </c>
      <c r="B273" s="2456" t="s">
        <v>2931</v>
      </c>
      <c r="C273" s="3370"/>
      <c r="D273" s="3370"/>
      <c r="E273" s="3370"/>
      <c r="F273" s="3370">
        <v>1490</v>
      </c>
      <c r="G273" s="3370"/>
    </row>
    <row r="274" spans="1:7" s="2321" customFormat="1" ht="14.25" customHeight="1">
      <c r="A274" s="2456" t="s">
        <v>303</v>
      </c>
      <c r="B274" s="2456" t="s">
        <v>3039</v>
      </c>
      <c r="C274" s="3370"/>
      <c r="D274" s="3370"/>
      <c r="E274" s="3370"/>
      <c r="F274" s="3370">
        <v>1490</v>
      </c>
      <c r="G274" s="3370"/>
    </row>
    <row r="275" spans="1:7" s="2321" customFormat="1" ht="14.25" customHeight="1">
      <c r="A275" s="2456" t="s">
        <v>303</v>
      </c>
      <c r="B275" s="2456" t="s">
        <v>3040</v>
      </c>
      <c r="C275" s="3370"/>
      <c r="D275" s="3370"/>
      <c r="E275" s="3370"/>
      <c r="F275" s="3370">
        <v>1220</v>
      </c>
      <c r="G275" s="3370"/>
    </row>
    <row r="276" spans="1:7" s="2321" customFormat="1" ht="14.25" customHeight="1" thickBot="1">
      <c r="A276" s="2464" t="s">
        <v>303</v>
      </c>
      <c r="B276" s="2466" t="s">
        <v>3041</v>
      </c>
      <c r="C276" s="3372"/>
      <c r="D276" s="3372"/>
      <c r="E276" s="3372"/>
      <c r="F276" s="3372">
        <v>1380</v>
      </c>
      <c r="G276" s="3372"/>
    </row>
    <row r="277" spans="1:7" s="2321" customFormat="1" ht="14.25" customHeight="1">
      <c r="A277" s="2461" t="s">
        <v>304</v>
      </c>
      <c r="B277" s="2452" t="s">
        <v>3042</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3043</v>
      </c>
      <c r="C279" s="3370">
        <v>4760</v>
      </c>
      <c r="D279" s="3370">
        <v>4720</v>
      </c>
      <c r="E279" s="3370">
        <v>5540</v>
      </c>
      <c r="F279" s="3370">
        <v>810</v>
      </c>
      <c r="G279" s="3374">
        <v>2850</v>
      </c>
    </row>
    <row r="280" spans="1:7" s="2321" customFormat="1" ht="14.25" customHeight="1">
      <c r="A280" s="2456" t="s">
        <v>304</v>
      </c>
      <c r="B280" s="2456" t="s">
        <v>3044</v>
      </c>
      <c r="C280" s="3370">
        <v>4010</v>
      </c>
      <c r="D280" s="3370">
        <v>3950</v>
      </c>
      <c r="E280" s="3370">
        <v>4710</v>
      </c>
      <c r="F280" s="3370">
        <v>800</v>
      </c>
      <c r="G280" s="3374">
        <v>2390</v>
      </c>
    </row>
    <row r="281" spans="1:7" s="2321" customFormat="1" ht="14.25" customHeight="1">
      <c r="A281" s="2456" t="s">
        <v>304</v>
      </c>
      <c r="B281" s="2456" t="s">
        <v>3045</v>
      </c>
      <c r="C281" s="3370">
        <v>4480</v>
      </c>
      <c r="D281" s="3370">
        <v>4420</v>
      </c>
      <c r="E281" s="3370">
        <v>5230</v>
      </c>
      <c r="F281" s="3370">
        <v>870</v>
      </c>
      <c r="G281" s="3374">
        <v>2660</v>
      </c>
    </row>
    <row r="282" spans="1:7" s="2321" customFormat="1" ht="14.25" customHeight="1">
      <c r="A282" s="2456" t="s">
        <v>304</v>
      </c>
      <c r="B282" s="2456" t="s">
        <v>3046</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3047</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3048</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2823</v>
      </c>
      <c r="C293" s="3370">
        <v>5320</v>
      </c>
      <c r="D293" s="3370">
        <v>5270</v>
      </c>
      <c r="E293" s="3370">
        <v>6160</v>
      </c>
      <c r="F293" s="3370">
        <v>990</v>
      </c>
      <c r="G293" s="3374">
        <v>3170</v>
      </c>
    </row>
    <row r="294" spans="1:7" s="2321" customFormat="1" ht="14.25" customHeight="1">
      <c r="A294" s="2456" t="s">
        <v>304</v>
      </c>
      <c r="B294" s="2456" t="s">
        <v>3049</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2842</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3050</v>
      </c>
      <c r="C302" s="3370">
        <v>5520</v>
      </c>
      <c r="D302" s="3370">
        <v>5470</v>
      </c>
      <c r="E302" s="3370">
        <v>6410</v>
      </c>
      <c r="F302" s="3370">
        <v>950</v>
      </c>
      <c r="G302" s="3374">
        <v>3300</v>
      </c>
    </row>
    <row r="303" spans="1:7" s="2321" customFormat="1" ht="14.25" customHeight="1">
      <c r="A303" s="2456" t="s">
        <v>304</v>
      </c>
      <c r="B303" s="2456" t="s">
        <v>2862</v>
      </c>
      <c r="C303" s="3370">
        <v>5630</v>
      </c>
      <c r="D303" s="3370">
        <v>5590</v>
      </c>
      <c r="E303" s="3370">
        <v>6550</v>
      </c>
      <c r="F303" s="3370">
        <v>1010</v>
      </c>
      <c r="G303" s="3374">
        <v>3370</v>
      </c>
    </row>
    <row r="304" spans="1:7" s="2321" customFormat="1" ht="14.25" customHeight="1">
      <c r="A304" s="2456" t="s">
        <v>304</v>
      </c>
      <c r="B304" s="2456" t="s">
        <v>2869</v>
      </c>
      <c r="C304" s="3370">
        <v>5680</v>
      </c>
      <c r="D304" s="3370">
        <v>5620</v>
      </c>
      <c r="E304" s="3370">
        <v>6620</v>
      </c>
      <c r="F304" s="3370">
        <v>1050</v>
      </c>
      <c r="G304" s="3374">
        <v>3390</v>
      </c>
    </row>
    <row r="305" spans="1:7" s="2321" customFormat="1" ht="14.25" customHeight="1">
      <c r="A305" s="2456" t="s">
        <v>304</v>
      </c>
      <c r="B305" s="2456" t="s">
        <v>2875</v>
      </c>
      <c r="C305" s="3370">
        <v>5590</v>
      </c>
      <c r="D305" s="3370">
        <v>5530</v>
      </c>
      <c r="E305" s="3370">
        <v>6460</v>
      </c>
      <c r="F305" s="3370">
        <v>900</v>
      </c>
      <c r="G305" s="3374">
        <v>3340</v>
      </c>
    </row>
    <row r="306" spans="1:7" s="2321" customFormat="1" ht="14.25" customHeight="1">
      <c r="A306" s="2456" t="s">
        <v>304</v>
      </c>
      <c r="B306" s="2456" t="s">
        <v>3051</v>
      </c>
      <c r="C306" s="3370">
        <v>5560</v>
      </c>
      <c r="D306" s="3370">
        <v>5510</v>
      </c>
      <c r="E306" s="3370">
        <v>6440</v>
      </c>
      <c r="F306" s="3370">
        <v>900</v>
      </c>
      <c r="G306" s="3374">
        <v>3320</v>
      </c>
    </row>
    <row r="307" spans="1:7" s="2321" customFormat="1" ht="14.25" customHeight="1">
      <c r="A307" s="2456" t="s">
        <v>304</v>
      </c>
      <c r="B307" s="2456" t="s">
        <v>2887</v>
      </c>
      <c r="C307" s="3370">
        <v>5650</v>
      </c>
      <c r="D307" s="3370">
        <v>5600</v>
      </c>
      <c r="E307" s="3370">
        <v>6590</v>
      </c>
      <c r="F307" s="3370">
        <v>930</v>
      </c>
      <c r="G307" s="3374">
        <v>3380</v>
      </c>
    </row>
    <row r="308" spans="1:7" s="2321" customFormat="1" ht="14.25" customHeight="1">
      <c r="A308" s="2456" t="s">
        <v>304</v>
      </c>
      <c r="B308" s="2456" t="s">
        <v>3052</v>
      </c>
      <c r="C308" s="3370">
        <v>5620</v>
      </c>
      <c r="D308" s="3370">
        <v>5580</v>
      </c>
      <c r="E308" s="3370">
        <v>6540</v>
      </c>
      <c r="F308" s="3370">
        <v>910</v>
      </c>
      <c r="G308" s="3374">
        <v>3370</v>
      </c>
    </row>
    <row r="309" spans="1:7" s="2321" customFormat="1" ht="14.25" customHeight="1">
      <c r="A309" s="2456" t="s">
        <v>304</v>
      </c>
      <c r="B309" s="2456" t="s">
        <v>3053</v>
      </c>
      <c r="C309" s="3370">
        <v>5060</v>
      </c>
      <c r="D309" s="3370">
        <v>5020</v>
      </c>
      <c r="E309" s="3370">
        <v>6370</v>
      </c>
      <c r="F309" s="3370">
        <v>800</v>
      </c>
      <c r="G309" s="3374">
        <v>3020</v>
      </c>
    </row>
    <row r="310" spans="1:7" s="2321" customFormat="1" ht="14.25" customHeight="1">
      <c r="A310" s="2456" t="s">
        <v>304</v>
      </c>
      <c r="B310" s="2456" t="s">
        <v>2902</v>
      </c>
      <c r="C310" s="3370">
        <v>5150</v>
      </c>
      <c r="D310" s="3370">
        <v>5110</v>
      </c>
      <c r="E310" s="3370">
        <v>6500</v>
      </c>
      <c r="F310" s="3370">
        <v>880</v>
      </c>
      <c r="G310" s="3374">
        <v>3080</v>
      </c>
    </row>
    <row r="311" spans="1:7" s="2321" customFormat="1" ht="14.25" customHeight="1">
      <c r="A311" s="2456" t="s">
        <v>304</v>
      </c>
      <c r="B311" s="2456" t="s">
        <v>3054</v>
      </c>
      <c r="C311" s="3370">
        <v>4750</v>
      </c>
      <c r="D311" s="3370">
        <v>4710</v>
      </c>
      <c r="E311" s="3370">
        <v>5510</v>
      </c>
      <c r="F311" s="3370">
        <v>880</v>
      </c>
      <c r="G311" s="3374">
        <v>2840</v>
      </c>
    </row>
    <row r="312" spans="1:7" s="2321" customFormat="1" ht="14.25" customHeight="1">
      <c r="A312" s="2456" t="s">
        <v>304</v>
      </c>
      <c r="B312" s="2456" t="s">
        <v>2912</v>
      </c>
      <c r="C312" s="3370">
        <v>4690</v>
      </c>
      <c r="D312" s="3370">
        <v>4640</v>
      </c>
      <c r="E312" s="3370">
        <v>5420</v>
      </c>
      <c r="F312" s="3370">
        <v>800</v>
      </c>
      <c r="G312" s="3374">
        <v>2800</v>
      </c>
    </row>
    <row r="313" spans="1:7" s="2321" customFormat="1" ht="14.25" customHeight="1">
      <c r="A313" s="2456" t="s">
        <v>304</v>
      </c>
      <c r="B313" s="2456" t="s">
        <v>2917</v>
      </c>
      <c r="C313" s="3370">
        <v>4810</v>
      </c>
      <c r="D313" s="3370">
        <v>4760</v>
      </c>
      <c r="E313" s="3370">
        <v>5550</v>
      </c>
      <c r="F313" s="3370">
        <v>920</v>
      </c>
      <c r="G313" s="3374">
        <v>2870</v>
      </c>
    </row>
    <row r="314" spans="1:7" s="2321" customFormat="1" ht="14.25" customHeight="1">
      <c r="A314" s="2456" t="s">
        <v>304</v>
      </c>
      <c r="B314" s="2456" t="s">
        <v>3055</v>
      </c>
      <c r="C314" s="3370"/>
      <c r="D314" s="3370"/>
      <c r="E314" s="3370"/>
      <c r="F314" s="3370">
        <v>1020</v>
      </c>
      <c r="G314" s="3374"/>
    </row>
    <row r="315" spans="1:7" s="2321" customFormat="1" ht="14.25" customHeight="1">
      <c r="A315" s="2456" t="s">
        <v>304</v>
      </c>
      <c r="B315" s="2456" t="s">
        <v>3056</v>
      </c>
      <c r="C315" s="3370"/>
      <c r="D315" s="3370"/>
      <c r="E315" s="3370"/>
      <c r="F315" s="3370">
        <v>1050</v>
      </c>
      <c r="G315" s="3374"/>
    </row>
    <row r="316" spans="1:7" s="2321" customFormat="1" ht="14.25" customHeight="1">
      <c r="A316" s="2456" t="s">
        <v>304</v>
      </c>
      <c r="B316" s="2456" t="s">
        <v>2932</v>
      </c>
      <c r="C316" s="3370"/>
      <c r="D316" s="3370"/>
      <c r="E316" s="3370"/>
      <c r="F316" s="3370">
        <v>900</v>
      </c>
      <c r="G316" s="3374"/>
    </row>
    <row r="317" spans="1:7" s="2321" customFormat="1" ht="14.25" customHeight="1">
      <c r="A317" s="2456" t="s">
        <v>304</v>
      </c>
      <c r="B317" s="2456" t="s">
        <v>3057</v>
      </c>
      <c r="C317" s="3370"/>
      <c r="D317" s="3370"/>
      <c r="E317" s="3370"/>
      <c r="F317" s="3370">
        <v>920</v>
      </c>
      <c r="G317" s="3374"/>
    </row>
    <row r="318" spans="1:7" s="2321" customFormat="1" ht="14.25" customHeight="1">
      <c r="A318" s="2456" t="s">
        <v>304</v>
      </c>
      <c r="B318" s="2456" t="s">
        <v>3058</v>
      </c>
      <c r="C318" s="3370"/>
      <c r="D318" s="3370"/>
      <c r="E318" s="3370"/>
      <c r="F318" s="3370">
        <v>1080</v>
      </c>
      <c r="G318" s="3374"/>
    </row>
    <row r="319" spans="1:7" s="2321" customFormat="1" ht="14.25" customHeight="1">
      <c r="A319" s="2456" t="s">
        <v>304</v>
      </c>
      <c r="B319" s="2456" t="s">
        <v>2945</v>
      </c>
      <c r="C319" s="3370"/>
      <c r="D319" s="3370"/>
      <c r="E319" s="3370"/>
      <c r="F319" s="3370">
        <v>1020</v>
      </c>
      <c r="G319" s="3374"/>
    </row>
    <row r="320" spans="1:7" s="2321" customFormat="1" ht="14.25" customHeight="1">
      <c r="A320" s="2456" t="s">
        <v>304</v>
      </c>
      <c r="B320" s="2456" t="s">
        <v>2948</v>
      </c>
      <c r="C320" s="3370"/>
      <c r="D320" s="3370"/>
      <c r="E320" s="3370"/>
      <c r="F320" s="3370">
        <v>1050</v>
      </c>
      <c r="G320" s="3374"/>
    </row>
    <row r="321" spans="1:7" s="2321" customFormat="1" ht="14.25" customHeight="1">
      <c r="A321" s="2456" t="s">
        <v>304</v>
      </c>
      <c r="B321" s="2456" t="s">
        <v>2950</v>
      </c>
      <c r="C321" s="3370"/>
      <c r="D321" s="3370"/>
      <c r="E321" s="3370"/>
      <c r="F321" s="3370">
        <v>960</v>
      </c>
      <c r="G321" s="3374"/>
    </row>
    <row r="322" spans="1:7" s="2321" customFormat="1" ht="14.25" customHeight="1">
      <c r="A322" s="2456" t="s">
        <v>304</v>
      </c>
      <c r="B322" s="2456" t="s">
        <v>2952</v>
      </c>
      <c r="C322" s="3370"/>
      <c r="D322" s="3370"/>
      <c r="E322" s="3370"/>
      <c r="F322" s="3370">
        <v>960</v>
      </c>
      <c r="G322" s="3374"/>
    </row>
    <row r="323" spans="1:7" s="2321" customFormat="1" ht="14.25" customHeight="1">
      <c r="A323" s="2456" t="s">
        <v>304</v>
      </c>
      <c r="B323" s="2456" t="s">
        <v>2954</v>
      </c>
      <c r="C323" s="3370"/>
      <c r="D323" s="3370"/>
      <c r="E323" s="3370"/>
      <c r="F323" s="3370">
        <v>880</v>
      </c>
      <c r="G323" s="3374"/>
    </row>
    <row r="324" spans="1:7" s="2321" customFormat="1" ht="14.25" customHeight="1">
      <c r="A324" s="2456" t="s">
        <v>304</v>
      </c>
      <c r="B324" s="2456" t="s">
        <v>2956</v>
      </c>
      <c r="C324" s="3370"/>
      <c r="D324" s="3370"/>
      <c r="E324" s="3370"/>
      <c r="F324" s="3370">
        <v>930</v>
      </c>
      <c r="G324" s="3374"/>
    </row>
    <row r="325" spans="1:7" s="2321" customFormat="1" ht="14.25" customHeight="1">
      <c r="A325" s="2456" t="s">
        <v>304</v>
      </c>
      <c r="B325" s="2457" t="s">
        <v>2958</v>
      </c>
      <c r="C325" s="3370"/>
      <c r="D325" s="3370"/>
      <c r="E325" s="3370"/>
      <c r="F325" s="3370">
        <v>900</v>
      </c>
      <c r="G325" s="3374"/>
    </row>
    <row r="326" spans="1:7" s="2321" customFormat="1" ht="14.25" customHeight="1" thickBot="1">
      <c r="A326" s="2468" t="s">
        <v>304</v>
      </c>
      <c r="B326" s="2463" t="s">
        <v>2960</v>
      </c>
      <c r="C326" s="3371"/>
      <c r="D326" s="3371"/>
      <c r="E326" s="3371"/>
      <c r="F326" s="3371">
        <v>790</v>
      </c>
      <c r="G326" s="3375"/>
    </row>
    <row r="327" spans="1:7" s="2321" customFormat="1" ht="14.25" customHeight="1">
      <c r="A327" s="2461" t="s">
        <v>305</v>
      </c>
      <c r="B327" s="2452" t="s">
        <v>3059</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3060</v>
      </c>
      <c r="C329" s="3370">
        <v>2730</v>
      </c>
      <c r="D329" s="3370">
        <v>2690</v>
      </c>
      <c r="E329" s="3370">
        <v>3100</v>
      </c>
      <c r="F329" s="3370">
        <v>660</v>
      </c>
      <c r="G329" s="3370">
        <v>1610</v>
      </c>
    </row>
    <row r="330" spans="1:7" s="2321" customFormat="1" ht="14.25" customHeight="1">
      <c r="A330" s="2456" t="s">
        <v>305</v>
      </c>
      <c r="B330" s="2456" t="s">
        <v>3061</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2794</v>
      </c>
      <c r="C332" s="3370">
        <v>3520</v>
      </c>
      <c r="D332" s="3370">
        <v>3480</v>
      </c>
      <c r="E332" s="3370">
        <v>3830</v>
      </c>
      <c r="F332" s="3370">
        <v>720</v>
      </c>
      <c r="G332" s="3370">
        <v>2090</v>
      </c>
    </row>
    <row r="333" spans="1:7" s="2321" customFormat="1" ht="14.25" customHeight="1">
      <c r="A333" s="2456" t="s">
        <v>305</v>
      </c>
      <c r="B333" s="2456" t="s">
        <v>3062</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2804</v>
      </c>
      <c r="C336" s="3370">
        <v>3570</v>
      </c>
      <c r="D336" s="3370">
        <v>3530</v>
      </c>
      <c r="E336" s="3370">
        <v>3880</v>
      </c>
      <c r="F336" s="3370">
        <v>770</v>
      </c>
      <c r="G336" s="3370">
        <v>2110</v>
      </c>
    </row>
    <row r="337" spans="1:10" s="2321" customFormat="1" ht="14.25" customHeight="1">
      <c r="A337" s="2456" t="s">
        <v>305</v>
      </c>
      <c r="B337" s="2456" t="s">
        <v>3063</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3064</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3065</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2829</v>
      </c>
      <c r="C345" s="3370">
        <v>3190</v>
      </c>
      <c r="D345" s="3370">
        <v>3140</v>
      </c>
      <c r="E345" s="3370">
        <v>3450</v>
      </c>
      <c r="F345" s="3370">
        <v>720</v>
      </c>
      <c r="G345" s="3370">
        <v>1880</v>
      </c>
      <c r="J345" s="2321"/>
    </row>
    <row r="346" spans="1:10">
      <c r="A346" s="2456" t="s">
        <v>305</v>
      </c>
      <c r="B346" s="2456" t="s">
        <v>3066</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2838</v>
      </c>
      <c r="C348" s="3370">
        <v>4000</v>
      </c>
      <c r="D348" s="3370">
        <v>3950</v>
      </c>
      <c r="E348" s="3370">
        <v>4430</v>
      </c>
      <c r="F348" s="3370">
        <v>760</v>
      </c>
      <c r="G348" s="3370">
        <v>2360</v>
      </c>
      <c r="J348" s="2321"/>
    </row>
    <row r="349" spans="1:10">
      <c r="A349" s="2456" t="s">
        <v>305</v>
      </c>
      <c r="B349" s="2456" t="s">
        <v>2843</v>
      </c>
      <c r="C349" s="3370">
        <v>3820</v>
      </c>
      <c r="D349" s="3370">
        <v>3780</v>
      </c>
      <c r="E349" s="3370">
        <v>4170</v>
      </c>
      <c r="F349" s="3370">
        <v>710</v>
      </c>
      <c r="G349" s="3370">
        <v>2260</v>
      </c>
      <c r="J349" s="2321"/>
    </row>
    <row r="350" spans="1:10">
      <c r="A350" s="2456" t="s">
        <v>305</v>
      </c>
      <c r="B350" s="2456" t="s">
        <v>3067</v>
      </c>
      <c r="C350" s="3370">
        <v>3760</v>
      </c>
      <c r="D350" s="3370">
        <v>3730</v>
      </c>
      <c r="E350" s="3370">
        <v>4100</v>
      </c>
      <c r="F350" s="3370">
        <v>800</v>
      </c>
      <c r="G350" s="3370">
        <v>2230</v>
      </c>
      <c r="J350" s="2321"/>
    </row>
    <row r="351" spans="1:10">
      <c r="A351" s="2456" t="s">
        <v>305</v>
      </c>
      <c r="B351" s="2456" t="s">
        <v>2851</v>
      </c>
      <c r="C351" s="3370">
        <v>3610</v>
      </c>
      <c r="D351" s="3370">
        <v>3580</v>
      </c>
      <c r="E351" s="3370">
        <v>3930</v>
      </c>
      <c r="F351" s="3370">
        <v>700</v>
      </c>
      <c r="G351" s="3370">
        <v>2140</v>
      </c>
      <c r="J351" s="2321"/>
    </row>
    <row r="352" spans="1:10">
      <c r="A352" s="2456" t="s">
        <v>305</v>
      </c>
      <c r="B352" s="2456" t="s">
        <v>2856</v>
      </c>
      <c r="C352" s="3370">
        <v>3670</v>
      </c>
      <c r="D352" s="3370">
        <v>3630</v>
      </c>
      <c r="E352" s="3370">
        <v>4000</v>
      </c>
      <c r="F352" s="3370">
        <v>750</v>
      </c>
      <c r="G352" s="3370">
        <v>2180</v>
      </c>
    </row>
    <row r="353" spans="1:7" s="2322" customFormat="1">
      <c r="A353" s="2456" t="s">
        <v>305</v>
      </c>
      <c r="B353" s="2456" t="s">
        <v>3068</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2876</v>
      </c>
      <c r="C355" s="3370">
        <v>3650</v>
      </c>
      <c r="D355" s="3370">
        <v>3610</v>
      </c>
      <c r="E355" s="3370">
        <v>4200</v>
      </c>
      <c r="F355" s="3370">
        <v>640</v>
      </c>
      <c r="G355" s="3370">
        <v>2160</v>
      </c>
    </row>
    <row r="356" spans="1:7" s="2322" customFormat="1">
      <c r="A356" s="2456" t="s">
        <v>305</v>
      </c>
      <c r="B356" s="2456" t="s">
        <v>2883</v>
      </c>
      <c r="C356" s="3370">
        <v>3260</v>
      </c>
      <c r="D356" s="3370">
        <v>3230</v>
      </c>
      <c r="E356" s="3370">
        <v>3740</v>
      </c>
      <c r="F356" s="3370">
        <v>600</v>
      </c>
      <c r="G356" s="3370">
        <v>1930</v>
      </c>
    </row>
    <row r="357" spans="1:7" s="2322" customFormat="1" ht="12" thickBot="1">
      <c r="A357" s="2464" t="s">
        <v>305</v>
      </c>
      <c r="B357" s="2467" t="s">
        <v>3069</v>
      </c>
      <c r="C357" s="3372">
        <v>3690</v>
      </c>
      <c r="D357" s="3372">
        <v>3650</v>
      </c>
      <c r="E357" s="3372">
        <v>4020</v>
      </c>
      <c r="F357" s="3372">
        <v>700</v>
      </c>
      <c r="G357" s="3372">
        <v>2190</v>
      </c>
    </row>
    <row r="358" spans="1:7" s="2322" customFormat="1">
      <c r="A358" s="2461" t="s">
        <v>3070</v>
      </c>
      <c r="B358" s="2452" t="s">
        <v>3071</v>
      </c>
      <c r="C358" s="3369">
        <v>2080</v>
      </c>
      <c r="D358" s="3369">
        <v>2040</v>
      </c>
      <c r="E358" s="3369">
        <v>2010</v>
      </c>
      <c r="F358" s="3369">
        <v>530</v>
      </c>
      <c r="G358" s="3373">
        <v>1230</v>
      </c>
    </row>
    <row r="359" spans="1:7" s="2322" customFormat="1">
      <c r="A359" s="2456" t="s">
        <v>3070</v>
      </c>
      <c r="B359" s="2456" t="s">
        <v>3072</v>
      </c>
      <c r="C359" s="3370">
        <v>1850</v>
      </c>
      <c r="D359" s="3370">
        <v>1820</v>
      </c>
      <c r="E359" s="3370">
        <v>1780</v>
      </c>
      <c r="F359" s="3370">
        <v>520</v>
      </c>
      <c r="G359" s="3374">
        <v>1100</v>
      </c>
    </row>
    <row r="360" spans="1:7" s="2322" customFormat="1">
      <c r="A360" s="2456" t="s">
        <v>3070</v>
      </c>
      <c r="B360" s="2456" t="s">
        <v>3073</v>
      </c>
      <c r="C360" s="3370">
        <v>2020</v>
      </c>
      <c r="D360" s="3370">
        <v>1990</v>
      </c>
      <c r="E360" s="3370">
        <v>1950</v>
      </c>
      <c r="F360" s="3370">
        <v>500</v>
      </c>
      <c r="G360" s="3374">
        <v>1200</v>
      </c>
    </row>
    <row r="361" spans="1:7" s="2322" customFormat="1">
      <c r="A361" s="2456" t="s">
        <v>3070</v>
      </c>
      <c r="B361" s="2456" t="s">
        <v>151</v>
      </c>
      <c r="C361" s="3370">
        <v>2260</v>
      </c>
      <c r="D361" s="3370">
        <v>2220</v>
      </c>
      <c r="E361" s="3370">
        <v>2180</v>
      </c>
      <c r="F361" s="3370">
        <v>580</v>
      </c>
      <c r="G361" s="3374">
        <v>1340</v>
      </c>
    </row>
    <row r="362" spans="1:7" s="2322" customFormat="1">
      <c r="A362" s="2456" t="s">
        <v>3070</v>
      </c>
      <c r="B362" s="2456" t="s">
        <v>3074</v>
      </c>
      <c r="C362" s="3370">
        <v>2650</v>
      </c>
      <c r="D362" s="3370">
        <v>2610</v>
      </c>
      <c r="E362" s="3370">
        <v>2570</v>
      </c>
      <c r="F362" s="3370">
        <v>630</v>
      </c>
      <c r="G362" s="3374">
        <v>1570</v>
      </c>
    </row>
    <row r="363" spans="1:7" s="2322" customFormat="1">
      <c r="A363" s="2456" t="s">
        <v>3070</v>
      </c>
      <c r="B363" s="2456" t="s">
        <v>2795</v>
      </c>
      <c r="C363" s="3370">
        <v>2390</v>
      </c>
      <c r="D363" s="3370">
        <v>2360</v>
      </c>
      <c r="E363" s="3370">
        <v>2320</v>
      </c>
      <c r="F363" s="3370">
        <v>600</v>
      </c>
      <c r="G363" s="3374">
        <v>1420</v>
      </c>
    </row>
    <row r="364" spans="1:7" s="2322" customFormat="1">
      <c r="A364" s="2456" t="s">
        <v>3070</v>
      </c>
      <c r="B364" s="2456" t="s">
        <v>3075</v>
      </c>
      <c r="C364" s="3370">
        <v>2050</v>
      </c>
      <c r="D364" s="3370">
        <v>2030</v>
      </c>
      <c r="E364" s="3370">
        <v>1990</v>
      </c>
      <c r="F364" s="3370">
        <v>550</v>
      </c>
      <c r="G364" s="3374">
        <v>1220</v>
      </c>
    </row>
    <row r="365" spans="1:7" s="2322" customFormat="1">
      <c r="A365" s="2456" t="s">
        <v>3070</v>
      </c>
      <c r="B365" s="2456" t="s">
        <v>198</v>
      </c>
      <c r="C365" s="3370">
        <v>2140</v>
      </c>
      <c r="D365" s="3370">
        <v>2100</v>
      </c>
      <c r="E365" s="3370">
        <v>2060</v>
      </c>
      <c r="F365" s="3370">
        <v>540</v>
      </c>
      <c r="G365" s="3374">
        <v>1270</v>
      </c>
    </row>
    <row r="366" spans="1:7" s="2322" customFormat="1">
      <c r="A366" s="2456" t="s">
        <v>3070</v>
      </c>
      <c r="B366" s="2456" t="s">
        <v>2802</v>
      </c>
      <c r="C366" s="3370">
        <v>2410</v>
      </c>
      <c r="D366" s="3370">
        <v>2370</v>
      </c>
      <c r="E366" s="3370">
        <v>2330</v>
      </c>
      <c r="F366" s="3370">
        <v>570</v>
      </c>
      <c r="G366" s="3374">
        <v>1440</v>
      </c>
    </row>
    <row r="367" spans="1:7" s="2322" customFormat="1">
      <c r="A367" s="2456" t="s">
        <v>3070</v>
      </c>
      <c r="B367" s="2456" t="s">
        <v>3076</v>
      </c>
      <c r="C367" s="3370">
        <v>2300</v>
      </c>
      <c r="D367" s="3370">
        <v>2260</v>
      </c>
      <c r="E367" s="3370">
        <v>2220</v>
      </c>
      <c r="F367" s="3370">
        <v>560</v>
      </c>
      <c r="G367" s="3374">
        <v>1370</v>
      </c>
    </row>
    <row r="368" spans="1:7" s="2322" customFormat="1">
      <c r="A368" s="2456" t="s">
        <v>3070</v>
      </c>
      <c r="B368" s="2456" t="s">
        <v>3077</v>
      </c>
      <c r="C368" s="3370">
        <v>2430</v>
      </c>
      <c r="D368" s="3370">
        <v>2390</v>
      </c>
      <c r="E368" s="3370">
        <v>2350</v>
      </c>
      <c r="F368" s="3370">
        <v>570</v>
      </c>
      <c r="G368" s="3374">
        <v>1450</v>
      </c>
    </row>
    <row r="369" spans="1:7" s="2322" customFormat="1">
      <c r="A369" s="2456" t="s">
        <v>3070</v>
      </c>
      <c r="B369" s="2456" t="s">
        <v>212</v>
      </c>
      <c r="C369" s="3370">
        <v>2320</v>
      </c>
      <c r="D369" s="3370">
        <v>2290</v>
      </c>
      <c r="E369" s="3370">
        <v>2250</v>
      </c>
      <c r="F369" s="3370">
        <v>550</v>
      </c>
      <c r="G369" s="3374">
        <v>1380</v>
      </c>
    </row>
    <row r="370" spans="1:7" s="2322" customFormat="1">
      <c r="A370" s="2456" t="s">
        <v>3070</v>
      </c>
      <c r="B370" s="2456" t="s">
        <v>219</v>
      </c>
      <c r="C370" s="3370">
        <v>2190</v>
      </c>
      <c r="D370" s="3370">
        <v>2170</v>
      </c>
      <c r="E370" s="3370">
        <v>2130</v>
      </c>
      <c r="F370" s="3370">
        <v>530</v>
      </c>
      <c r="G370" s="3374">
        <v>1310</v>
      </c>
    </row>
    <row r="371" spans="1:7" s="2322" customFormat="1">
      <c r="A371" s="2456" t="s">
        <v>3070</v>
      </c>
      <c r="B371" s="2456" t="s">
        <v>227</v>
      </c>
      <c r="C371" s="3370">
        <v>2460</v>
      </c>
      <c r="D371" s="3370">
        <v>2420</v>
      </c>
      <c r="E371" s="3370">
        <v>2370</v>
      </c>
      <c r="F371" s="3370">
        <v>560</v>
      </c>
      <c r="G371" s="3374">
        <v>1470</v>
      </c>
    </row>
    <row r="372" spans="1:7" s="2322" customFormat="1">
      <c r="A372" s="2456" t="s">
        <v>3070</v>
      </c>
      <c r="B372" s="2456" t="s">
        <v>3078</v>
      </c>
      <c r="C372" s="3370">
        <v>2250</v>
      </c>
      <c r="D372" s="3370">
        <v>2210</v>
      </c>
      <c r="E372" s="3370">
        <v>2180</v>
      </c>
      <c r="F372" s="3370">
        <v>550</v>
      </c>
      <c r="G372" s="3374">
        <v>1340</v>
      </c>
    </row>
    <row r="373" spans="1:7" s="2322" customFormat="1">
      <c r="A373" s="2456" t="s">
        <v>3070</v>
      </c>
      <c r="B373" s="2456" t="s">
        <v>256</v>
      </c>
      <c r="C373" s="3370">
        <v>2210</v>
      </c>
      <c r="D373" s="3370">
        <v>2190</v>
      </c>
      <c r="E373" s="3370">
        <v>2150</v>
      </c>
      <c r="F373" s="3370">
        <v>530</v>
      </c>
      <c r="G373" s="3374">
        <v>1320</v>
      </c>
    </row>
    <row r="374" spans="1:7" s="2322" customFormat="1">
      <c r="A374" s="2456" t="s">
        <v>3070</v>
      </c>
      <c r="B374" s="2456" t="s">
        <v>264</v>
      </c>
      <c r="C374" s="3370">
        <v>2320</v>
      </c>
      <c r="D374" s="3370">
        <v>2280</v>
      </c>
      <c r="E374" s="3370">
        <v>2230</v>
      </c>
      <c r="F374" s="3370">
        <v>580</v>
      </c>
      <c r="G374" s="3374">
        <v>1380</v>
      </c>
    </row>
    <row r="375" spans="1:7" s="2322" customFormat="1">
      <c r="A375" s="2456" t="s">
        <v>3070</v>
      </c>
      <c r="B375" s="2456" t="s">
        <v>3079</v>
      </c>
      <c r="C375" s="3370">
        <v>2090</v>
      </c>
      <c r="D375" s="3370">
        <v>2050</v>
      </c>
      <c r="E375" s="3370">
        <v>2020</v>
      </c>
      <c r="F375" s="3370">
        <v>520</v>
      </c>
      <c r="G375" s="3374">
        <v>1240</v>
      </c>
    </row>
    <row r="376" spans="1:7" s="2322" customFormat="1">
      <c r="A376" s="2456" t="s">
        <v>3070</v>
      </c>
      <c r="B376" s="2456" t="s">
        <v>275</v>
      </c>
      <c r="C376" s="3370">
        <v>2010</v>
      </c>
      <c r="D376" s="3370">
        <v>1980</v>
      </c>
      <c r="E376" s="3370">
        <v>1940</v>
      </c>
      <c r="F376" s="3370">
        <v>540</v>
      </c>
      <c r="G376" s="3374">
        <v>1190</v>
      </c>
    </row>
    <row r="377" spans="1:7" s="2322" customFormat="1" ht="12" thickBot="1">
      <c r="A377" s="2464" t="s">
        <v>3070</v>
      </c>
      <c r="B377" s="2467" t="s">
        <v>2832</v>
      </c>
      <c r="C377" s="3372">
        <v>1930</v>
      </c>
      <c r="D377" s="3372">
        <v>1890</v>
      </c>
      <c r="E377" s="3372">
        <v>1860</v>
      </c>
      <c r="F377" s="3372">
        <v>530</v>
      </c>
      <c r="G377" s="3376">
        <v>1150</v>
      </c>
    </row>
    <row r="378" spans="1:7" s="2322" customFormat="1">
      <c r="A378" s="2469" t="s">
        <v>3080</v>
      </c>
      <c r="B378" s="2452" t="s">
        <v>3081</v>
      </c>
      <c r="C378" s="3369">
        <v>1520</v>
      </c>
      <c r="D378" s="3369">
        <v>1490</v>
      </c>
      <c r="E378" s="3369">
        <v>1460</v>
      </c>
      <c r="F378" s="3369">
        <v>460</v>
      </c>
      <c r="G378" s="3373">
        <v>940</v>
      </c>
    </row>
    <row r="379" spans="1:7" s="2322" customFormat="1">
      <c r="A379" s="2470" t="s">
        <v>3080</v>
      </c>
      <c r="B379" s="2456" t="s">
        <v>3082</v>
      </c>
      <c r="C379" s="3370">
        <v>1500</v>
      </c>
      <c r="D379" s="3370">
        <v>1470</v>
      </c>
      <c r="E379" s="3370">
        <v>1430</v>
      </c>
      <c r="F379" s="3370">
        <v>460</v>
      </c>
      <c r="G379" s="3374">
        <v>920</v>
      </c>
    </row>
    <row r="380" spans="1:7" s="2322" customFormat="1">
      <c r="A380" s="2470" t="s">
        <v>3080</v>
      </c>
      <c r="B380" s="2456" t="s">
        <v>3083</v>
      </c>
      <c r="C380" s="3370">
        <v>1620</v>
      </c>
      <c r="D380" s="3370">
        <v>1590</v>
      </c>
      <c r="E380" s="3370">
        <v>1560</v>
      </c>
      <c r="F380" s="3370">
        <v>480</v>
      </c>
      <c r="G380" s="3374">
        <v>1000</v>
      </c>
    </row>
    <row r="381" spans="1:7" s="2322" customFormat="1">
      <c r="A381" s="2470" t="s">
        <v>3080</v>
      </c>
      <c r="B381" s="2456" t="s">
        <v>3084</v>
      </c>
      <c r="C381" s="3370">
        <v>1460</v>
      </c>
      <c r="D381" s="3370">
        <v>1430</v>
      </c>
      <c r="E381" s="3370">
        <v>1390</v>
      </c>
      <c r="F381" s="3370">
        <v>450</v>
      </c>
      <c r="G381" s="3374">
        <v>900</v>
      </c>
    </row>
    <row r="382" spans="1:7" s="2322" customFormat="1">
      <c r="A382" s="2470" t="s">
        <v>3080</v>
      </c>
      <c r="B382" s="2456" t="s">
        <v>3085</v>
      </c>
      <c r="C382" s="3370">
        <v>1310</v>
      </c>
      <c r="D382" s="3370">
        <v>1280</v>
      </c>
      <c r="E382" s="3370">
        <v>1250</v>
      </c>
      <c r="F382" s="3370">
        <v>440</v>
      </c>
      <c r="G382" s="3374">
        <v>800</v>
      </c>
    </row>
    <row r="383" spans="1:7" s="2322" customFormat="1">
      <c r="A383" s="2470" t="s">
        <v>3080</v>
      </c>
      <c r="B383" s="2456" t="s">
        <v>3086</v>
      </c>
      <c r="C383" s="3370">
        <v>1260</v>
      </c>
      <c r="D383" s="3370">
        <v>1230</v>
      </c>
      <c r="E383" s="3370">
        <v>1200</v>
      </c>
      <c r="F383" s="3370">
        <v>420</v>
      </c>
      <c r="G383" s="3374">
        <v>770</v>
      </c>
    </row>
    <row r="384" spans="1:7" s="2322" customFormat="1" ht="12" thickBot="1">
      <c r="A384" s="2471" t="s">
        <v>3080</v>
      </c>
      <c r="B384" s="2463" t="s">
        <v>3087</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2216</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76" t="s">
        <v>929</v>
      </c>
      <c r="B1" s="4176"/>
      <c r="C1" s="4176"/>
      <c r="D1" s="4176"/>
    </row>
    <row r="2" spans="1:4" ht="18">
      <c r="A2" s="4177" t="s">
        <v>913</v>
      </c>
      <c r="B2" s="4177"/>
      <c r="C2" s="4177"/>
      <c r="D2" s="4177"/>
    </row>
    <row r="3" spans="1:4" ht="18.75">
      <c r="A3" s="1127" t="s">
        <v>914</v>
      </c>
      <c r="B3" s="1127" t="s">
        <v>915</v>
      </c>
      <c r="C3" s="1127" t="s">
        <v>916</v>
      </c>
      <c r="D3" s="1127" t="s">
        <v>917</v>
      </c>
    </row>
    <row r="4" spans="1:4" ht="56.25" customHeight="1">
      <c r="A4" s="1128">
        <f>项目基本情况!B4</f>
        <v>0</v>
      </c>
      <c r="B4" s="1129">
        <f>项目基本情况!C4</f>
        <v>0</v>
      </c>
      <c r="C4" s="1130"/>
      <c r="D4" s="1131" t="s">
        <v>918</v>
      </c>
    </row>
    <row r="5" spans="1:4" ht="56.25" customHeight="1">
      <c r="A5" s="1128">
        <f>项目基本情况!D4</f>
        <v>0</v>
      </c>
      <c r="B5" s="1129">
        <f>项目基本情况!E4</f>
        <v>0</v>
      </c>
      <c r="C5" s="1132"/>
      <c r="D5" s="1131" t="s">
        <v>918</v>
      </c>
    </row>
    <row r="6" spans="1:4" ht="18">
      <c r="A6" s="4177" t="s">
        <v>919</v>
      </c>
      <c r="B6" s="4177"/>
      <c r="C6" s="4177"/>
      <c r="D6" s="4177"/>
    </row>
    <row r="7" spans="1:4" ht="18.75">
      <c r="A7" s="1127" t="s">
        <v>914</v>
      </c>
      <c r="B7" s="1129" t="s">
        <v>920</v>
      </c>
      <c r="C7" s="1127" t="s">
        <v>916</v>
      </c>
      <c r="D7" s="1127" t="s">
        <v>917</v>
      </c>
    </row>
    <row r="8" spans="1:4" ht="56.25" customHeight="1">
      <c r="A8" s="1133" t="s">
        <v>384</v>
      </c>
      <c r="B8" s="1133" t="s">
        <v>0</v>
      </c>
      <c r="C8" s="1130"/>
      <c r="D8" s="1131" t="s">
        <v>918</v>
      </c>
    </row>
    <row r="10" spans="1:4" ht="18.75">
      <c r="A10" s="1134" t="s">
        <v>921</v>
      </c>
    </row>
    <row r="11" spans="1:4" ht="30" customHeight="1">
      <c r="A11" s="4178" t="s">
        <v>922</v>
      </c>
      <c r="B11" s="4170"/>
      <c r="C11" s="4170"/>
      <c r="D11" s="4170"/>
    </row>
    <row r="12" spans="1:4" ht="15.75">
      <c r="A12" s="4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5"/>
      <c r="C12" s="4175"/>
      <c r="D12" s="4175"/>
    </row>
    <row r="13" spans="1:4" ht="30" customHeight="1">
      <c r="A13" s="4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5"/>
      <c r="C13" s="4175"/>
      <c r="D13" s="4175"/>
    </row>
    <row r="14" spans="1:4" ht="15.75" customHeight="1">
      <c r="A14" s="4170" t="str">
        <f>IF(项目基本情况!B8="抵押","4.本次评估估价师所知悉的法定优先受偿款情况说明如下：","——")</f>
        <v>4.本次评估估价师所知悉的法定优先受偿款情况说明如下：</v>
      </c>
      <c r="B14" s="4175"/>
      <c r="C14" s="4175"/>
      <c r="D14" s="4175"/>
    </row>
    <row r="15" spans="1:4" ht="42" customHeight="1">
      <c r="A15" s="4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0"/>
      <c r="C15" s="4170"/>
      <c r="D15" s="4170"/>
    </row>
    <row r="16" spans="1:4" ht="30" customHeight="1">
      <c r="A16" s="4172" t="s">
        <v>923</v>
      </c>
      <c r="B16" s="4172"/>
      <c r="C16" s="4172"/>
      <c r="D16" s="4172"/>
    </row>
    <row r="17" spans="1:4" ht="144" customHeight="1">
      <c r="A17" s="4172" t="s">
        <v>924</v>
      </c>
      <c r="B17" s="4172"/>
      <c r="C17" s="4172"/>
      <c r="D17" s="4172"/>
    </row>
    <row r="18" spans="1:4" ht="15.75" customHeight="1">
      <c r="A18" s="4170" t="str">
        <f>IF(项目基本情况!B8="抵押",结果表!K120,"——")</f>
        <v>故，本次评估不存在估价师知悉的法定优先受偿款</v>
      </c>
      <c r="B18" s="4170"/>
      <c r="C18" s="4170"/>
      <c r="D18" s="4170"/>
    </row>
    <row r="19" spans="1:4" ht="46.5" customHeight="1">
      <c r="A19" s="4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0"/>
      <c r="C19" s="4170"/>
      <c r="D19" s="4170"/>
    </row>
    <row r="20" spans="1:4" ht="57.75" customHeight="1">
      <c r="A20" s="4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0"/>
      <c r="C20" s="4170"/>
      <c r="D20" s="4170"/>
    </row>
    <row r="21" spans="1:4" ht="57.75" customHeight="1">
      <c r="A21" s="4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3"/>
      <c r="C21" s="4173"/>
      <c r="D21" s="4173"/>
    </row>
    <row r="22" spans="1:4" ht="18.75" customHeight="1">
      <c r="A22" s="4174" t="s">
        <v>925</v>
      </c>
      <c r="B22" s="4174"/>
      <c r="C22" s="4174"/>
      <c r="D22" s="4174"/>
    </row>
    <row r="23" spans="1:4">
      <c r="A23" s="1135"/>
      <c r="B23" s="1108"/>
      <c r="C23" s="1108"/>
      <c r="D23" s="1108"/>
    </row>
    <row r="24" spans="1:4">
      <c r="A24" s="1135"/>
      <c r="B24" s="1108"/>
      <c r="C24" s="1108"/>
      <c r="D24" s="1108"/>
    </row>
    <row r="25" spans="1:4" ht="18.75">
      <c r="A25" s="1136" t="s">
        <v>926</v>
      </c>
    </row>
    <row r="26" spans="1:4" ht="18">
      <c r="A26" s="1106"/>
    </row>
    <row r="27" spans="1:4" ht="18.75">
      <c r="A27" s="1106" t="s">
        <v>927</v>
      </c>
    </row>
    <row r="30" spans="1:4" ht="18.75">
      <c r="D30" s="1136" t="s">
        <v>928</v>
      </c>
    </row>
    <row r="31" spans="1:4" ht="13.5" customHeight="1">
      <c r="C31" s="4171">
        <v>42551</v>
      </c>
      <c r="D31" s="4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930</v>
      </c>
    </row>
    <row r="3" spans="1:7">
      <c r="A3" s="1140" t="s">
        <v>53</v>
      </c>
      <c r="B3" s="1125" t="s">
        <v>931</v>
      </c>
      <c r="G3" s="1141"/>
    </row>
    <row r="4" spans="1:7">
      <c r="G4" s="1141"/>
    </row>
    <row r="5" spans="1:7">
      <c r="A5" s="1143" t="s">
        <v>44</v>
      </c>
      <c r="B5" s="1125" t="s">
        <v>932</v>
      </c>
      <c r="G5" s="1141"/>
    </row>
    <row r="6" spans="1:7">
      <c r="G6" s="1141"/>
    </row>
    <row r="7" spans="1:7">
      <c r="A7" s="1144" t="s">
        <v>106</v>
      </c>
      <c r="B7" s="1125" t="s">
        <v>933</v>
      </c>
      <c r="G7" s="1141"/>
    </row>
    <row r="8" spans="1:7">
      <c r="G8" s="1141"/>
    </row>
    <row r="9" spans="1:7">
      <c r="A9" s="1145" t="s">
        <v>45</v>
      </c>
      <c r="B9" s="1125" t="s">
        <v>934</v>
      </c>
    </row>
    <row r="11" spans="1:7">
      <c r="A11" s="1146" t="s">
        <v>46</v>
      </c>
      <c r="B11" s="1147" t="s">
        <v>43</v>
      </c>
    </row>
    <row r="13" spans="1:7">
      <c r="A13" s="1148" t="s">
        <v>935</v>
      </c>
    </row>
    <row r="15" spans="1:7" ht="13.5">
      <c r="A15" s="4184" t="s">
        <v>936</v>
      </c>
      <c r="B15" s="4179" t="s">
        <v>107</v>
      </c>
      <c r="C15" s="4180"/>
    </row>
    <row r="16" spans="1:7" ht="13.5">
      <c r="A16" s="4185"/>
      <c r="B16" s="4179" t="s">
        <v>40</v>
      </c>
      <c r="C16" s="4180"/>
    </row>
    <row r="17" spans="1:3" ht="13.5">
      <c r="A17" s="4185"/>
      <c r="B17" s="4182" t="s">
        <v>937</v>
      </c>
      <c r="C17" s="1149" t="s">
        <v>936</v>
      </c>
    </row>
    <row r="18" spans="1:3" ht="13.5">
      <c r="A18" s="4185"/>
      <c r="B18" s="4182"/>
      <c r="C18" s="1149" t="s">
        <v>938</v>
      </c>
    </row>
    <row r="19" spans="1:3" ht="13.5">
      <c r="A19" s="4185"/>
      <c r="B19" s="4182"/>
      <c r="C19" s="1149" t="s">
        <v>939</v>
      </c>
    </row>
    <row r="20" spans="1:3" ht="13.5">
      <c r="A20" s="4186"/>
      <c r="B20" s="4181" t="s">
        <v>940</v>
      </c>
      <c r="C20" s="4180"/>
    </row>
    <row r="21" spans="1:3" ht="13.5">
      <c r="A21" s="1150" t="s">
        <v>941</v>
      </c>
      <c r="B21" s="1151"/>
      <c r="C21" s="1152"/>
    </row>
    <row r="22" spans="1:3" ht="13.5">
      <c r="A22" s="4183" t="s">
        <v>942</v>
      </c>
      <c r="B22" s="4181" t="s">
        <v>943</v>
      </c>
      <c r="C22" s="4180"/>
    </row>
    <row r="23" spans="1:3" ht="13.5">
      <c r="A23" s="4183"/>
      <c r="B23" s="4181" t="s">
        <v>944</v>
      </c>
      <c r="C23" s="4180"/>
    </row>
    <row r="24" spans="1:3" ht="13.5">
      <c r="A24" s="4183"/>
      <c r="B24" s="4181" t="s">
        <v>945</v>
      </c>
      <c r="C24" s="4180"/>
    </row>
    <row r="25" spans="1:3" ht="13.5">
      <c r="A25" s="4183"/>
      <c r="B25" s="4182" t="s">
        <v>946</v>
      </c>
      <c r="C25" s="1149" t="s">
        <v>947</v>
      </c>
    </row>
    <row r="26" spans="1:3" ht="13.5">
      <c r="A26" s="4183"/>
      <c r="B26" s="4182"/>
      <c r="C26" s="1149" t="s">
        <v>948</v>
      </c>
    </row>
    <row r="27" spans="1:3" ht="13.5">
      <c r="A27" s="4183"/>
      <c r="B27" s="4182"/>
      <c r="C27" s="1149" t="s">
        <v>949</v>
      </c>
    </row>
    <row r="28" spans="1:3" ht="13.5">
      <c r="A28" s="4183"/>
      <c r="B28" s="4182"/>
      <c r="C28" s="1149" t="s">
        <v>950</v>
      </c>
    </row>
    <row r="29" spans="1:3" ht="13.5">
      <c r="A29" s="4183"/>
      <c r="B29" s="4182"/>
      <c r="C29" s="1149" t="s">
        <v>951</v>
      </c>
    </row>
    <row r="30" spans="1:3" ht="13.5">
      <c r="A30" s="4183"/>
      <c r="B30" s="4182"/>
      <c r="C30" s="1149" t="s">
        <v>952</v>
      </c>
    </row>
    <row r="31" spans="1:3" ht="13.5">
      <c r="A31" s="4183"/>
      <c r="B31" s="4182"/>
      <c r="C31" s="1149" t="s">
        <v>953</v>
      </c>
    </row>
    <row r="32" spans="1:3" ht="13.5">
      <c r="A32" s="4183"/>
      <c r="B32" s="4182"/>
      <c r="C32" s="1149" t="s">
        <v>954</v>
      </c>
    </row>
    <row r="33" spans="1:3" ht="13.5">
      <c r="A33" s="4183"/>
      <c r="B33" s="4182"/>
      <c r="C33" s="1149" t="s">
        <v>955</v>
      </c>
    </row>
    <row r="34" spans="1:3">
      <c r="A34" s="1153" t="s">
        <v>47</v>
      </c>
    </row>
    <row r="37" spans="1:3">
      <c r="A37" s="1153" t="s">
        <v>956</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2055</v>
      </c>
      <c r="B2" s="1798">
        <f ca="1">TODAY()</f>
        <v>46086</v>
      </c>
      <c r="C2" s="1799" t="s">
        <v>2056</v>
      </c>
      <c r="D2" s="1799"/>
      <c r="E2" s="1799"/>
      <c r="F2" s="1795"/>
      <c r="G2" s="1795"/>
      <c r="H2" s="1795"/>
    </row>
    <row r="3" spans="1:8" ht="24" customHeight="1">
      <c r="A3" s="1800" t="s">
        <v>2057</v>
      </c>
      <c r="B3" s="946" t="s">
        <v>2058</v>
      </c>
      <c r="C3" s="946" t="s">
        <v>2059</v>
      </c>
      <c r="D3" s="1801" t="s">
        <v>2060</v>
      </c>
      <c r="E3" s="1802" t="s">
        <v>2061</v>
      </c>
      <c r="F3" s="946" t="s">
        <v>2062</v>
      </c>
      <c r="G3" s="946" t="s">
        <v>2059</v>
      </c>
      <c r="H3" s="1801" t="s">
        <v>2063</v>
      </c>
    </row>
    <row r="4" spans="1:8" ht="24" customHeight="1">
      <c r="A4" s="946" t="s">
        <v>2064</v>
      </c>
      <c r="B4" s="4058" t="str">
        <f ca="1">IF(C4&lt;B2,"已过期",1119970066)</f>
        <v>已过期</v>
      </c>
      <c r="C4" s="1803">
        <v>45937</v>
      </c>
      <c r="D4" s="1804" t="str">
        <f ca="1">A4&amp;"（注册号："&amp;B4&amp;"）"</f>
        <v>梁津（注册号：已过期）</v>
      </c>
      <c r="E4" s="1805" t="s">
        <v>2064</v>
      </c>
      <c r="F4" s="4058">
        <f ca="1">IF(G4&lt;B2,"已过期",96010014)</f>
        <v>96010014</v>
      </c>
      <c r="G4" s="1806">
        <v>47118</v>
      </c>
      <c r="H4" s="1807" t="str">
        <f ca="1">E4&amp;"（注册号："&amp;F4&amp;"）"</f>
        <v>梁津（注册号：96010014）</v>
      </c>
    </row>
    <row r="5" spans="1:8" ht="24" customHeight="1">
      <c r="A5" s="946" t="s">
        <v>2065</v>
      </c>
      <c r="B5" s="4058" t="str">
        <f ca="1">IF(C5&lt;B2,"已过期",1119970111)</f>
        <v>已过期</v>
      </c>
      <c r="C5" s="1803">
        <v>45937</v>
      </c>
      <c r="D5" s="1804" t="str">
        <f t="shared" ref="D5:D15" ca="1" si="0">A5&amp;"（注册号："&amp;B5&amp;"）"</f>
        <v>叶凌（注册号：已过期）</v>
      </c>
      <c r="E5" s="1805" t="s">
        <v>2065</v>
      </c>
      <c r="F5" s="4058">
        <f ca="1">IF(G5&lt;B2,"已过期",94010078)</f>
        <v>94010078</v>
      </c>
      <c r="G5" s="1806">
        <v>46387</v>
      </c>
      <c r="H5" s="1807" t="str">
        <f t="shared" ref="H5:H16" ca="1" si="1">E5&amp;"（注册号："&amp;F5&amp;"）"</f>
        <v>叶凌（注册号：94010078）</v>
      </c>
    </row>
    <row r="6" spans="1:8" ht="24" customHeight="1">
      <c r="A6" s="946" t="s">
        <v>2066</v>
      </c>
      <c r="B6" s="4058" t="str">
        <f ca="1">IF(C6&lt;B2,"已过期",1120050019)</f>
        <v>已过期</v>
      </c>
      <c r="C6" s="1803">
        <v>45410</v>
      </c>
      <c r="D6" s="1804" t="str">
        <f t="shared" ca="1" si="0"/>
        <v>王鹏（注册号：已过期）</v>
      </c>
      <c r="E6" s="1805" t="s">
        <v>2066</v>
      </c>
      <c r="F6" s="4058">
        <f ca="1">IF(G6&lt;B2,"已过期",2002110030)</f>
        <v>2002110030</v>
      </c>
      <c r="G6" s="1806">
        <v>46387</v>
      </c>
      <c r="H6" s="1807" t="str">
        <f t="shared" ca="1" si="1"/>
        <v>王鹏（注册号：2002110030）</v>
      </c>
    </row>
    <row r="7" spans="1:8" ht="24" customHeight="1">
      <c r="A7" s="946" t="s">
        <v>2067</v>
      </c>
      <c r="B7" s="4058" t="str">
        <f ca="1">IF(C7&lt;B2,"已过期",1120000080)</f>
        <v>已过期</v>
      </c>
      <c r="C7" s="1803">
        <v>45937</v>
      </c>
      <c r="D7" s="1804" t="str">
        <f t="shared" ca="1" si="0"/>
        <v>欧红伟（注册号：已过期）</v>
      </c>
      <c r="E7" s="1805" t="s">
        <v>2067</v>
      </c>
      <c r="F7" s="4058">
        <f ca="1">IF(G7&lt;B2,"已过期",2000110082)</f>
        <v>2000110082</v>
      </c>
      <c r="G7" s="1806">
        <v>46387</v>
      </c>
      <c r="H7" s="1807" t="str">
        <f t="shared" ca="1" si="1"/>
        <v>欧红伟（注册号：2000110082）</v>
      </c>
    </row>
    <row r="8" spans="1:8" ht="24" customHeight="1">
      <c r="A8" s="946" t="s">
        <v>2068</v>
      </c>
      <c r="B8" s="4058" t="str">
        <f ca="1">IF(C8&lt;B2,"已过期",1419970001)</f>
        <v>已过期</v>
      </c>
      <c r="C8" s="1803">
        <v>45937</v>
      </c>
      <c r="D8" s="1804" t="str">
        <f t="shared" ca="1" si="0"/>
        <v>吴薇（注册号：已过期）</v>
      </c>
      <c r="E8" s="1805" t="s">
        <v>2068</v>
      </c>
      <c r="F8" s="4058">
        <f ca="1">IF(G8&lt;B2,"已过期",2002110125)</f>
        <v>2002110125</v>
      </c>
      <c r="G8" s="1806">
        <v>47118</v>
      </c>
      <c r="H8" s="1807" t="str">
        <f t="shared" ca="1" si="1"/>
        <v>吴薇（注册号：2002110125）</v>
      </c>
    </row>
    <row r="9" spans="1:8" ht="24" customHeight="1">
      <c r="A9" s="946" t="s">
        <v>2069</v>
      </c>
      <c r="B9" s="4058" t="str">
        <f ca="1">IF(C9&lt;B2,"已过期",1120060040)</f>
        <v>已过期</v>
      </c>
      <c r="C9" s="1808">
        <v>45592</v>
      </c>
      <c r="D9" s="1804" t="str">
        <f t="shared" ca="1" si="0"/>
        <v>陈颖（注册号：已过期）</v>
      </c>
      <c r="E9" s="1805" t="s">
        <v>2069</v>
      </c>
      <c r="F9" s="4058">
        <f ca="1">IF(G9&lt;B2,"已过期",2004110096)</f>
        <v>2004110096</v>
      </c>
      <c r="G9" s="1806">
        <v>47118</v>
      </c>
      <c r="H9" s="1807" t="str">
        <f t="shared" ca="1" si="1"/>
        <v>陈颖（注册号：2004110096）</v>
      </c>
    </row>
    <row r="10" spans="1:8" ht="24" customHeight="1">
      <c r="A10" s="946" t="s">
        <v>2070</v>
      </c>
      <c r="B10" s="4058" t="str">
        <f ca="1">IF(C10&lt;B2,"已过期",1120100036)</f>
        <v>已过期</v>
      </c>
      <c r="C10" s="1808">
        <v>45752</v>
      </c>
      <c r="D10" s="1804" t="str">
        <f t="shared" ca="1" si="0"/>
        <v>崔锴（注册号：已过期）</v>
      </c>
      <c r="E10" s="1805" t="s">
        <v>2070</v>
      </c>
      <c r="F10" s="4058">
        <f ca="1">IF(G10&lt;B2,"已过期",2010110070)</f>
        <v>2010110070</v>
      </c>
      <c r="G10" s="1806">
        <v>47907</v>
      </c>
      <c r="H10" s="1807" t="str">
        <f t="shared" ca="1" si="1"/>
        <v>崔锴（注册号：2010110070）</v>
      </c>
    </row>
    <row r="11" spans="1:8" ht="24" customHeight="1">
      <c r="A11" s="946" t="s">
        <v>2071</v>
      </c>
      <c r="B11" s="4058" t="str">
        <f ca="1">IF(C11&lt;B2,"已过期",1120070131)</f>
        <v>已过期</v>
      </c>
      <c r="C11" s="1803">
        <v>45937</v>
      </c>
      <c r="D11" s="1804" t="str">
        <f t="shared" ca="1" si="0"/>
        <v>郑燚（注册号：已过期）</v>
      </c>
      <c r="E11" s="1805" t="s">
        <v>2071</v>
      </c>
      <c r="F11" s="4058">
        <f ca="1">IF(G11&lt;B2,"已过期",2014110011)</f>
        <v>2014110011</v>
      </c>
      <c r="G11" s="1806">
        <v>49302</v>
      </c>
      <c r="H11" s="1807" t="str">
        <f t="shared" ca="1" si="1"/>
        <v>郑燚（注册号：2014110011）</v>
      </c>
    </row>
    <row r="12" spans="1:8" ht="24" customHeight="1">
      <c r="A12" s="946" t="s">
        <v>2072</v>
      </c>
      <c r="B12" s="4058" t="str">
        <f ca="1">IF(C12&lt;B2,"已过期",1120040230)</f>
        <v>已过期</v>
      </c>
      <c r="C12" s="1808">
        <v>45937</v>
      </c>
      <c r="D12" s="1804" t="str">
        <f t="shared" ca="1" si="0"/>
        <v>苏海（注册号：已过期）</v>
      </c>
      <c r="E12" s="1805" t="s">
        <v>2072</v>
      </c>
      <c r="F12" s="4058">
        <f ca="1">IF(G12&lt;B2,"已过期",98030020)</f>
        <v>98030020</v>
      </c>
      <c r="G12" s="1806">
        <v>47118</v>
      </c>
      <c r="H12" s="1807" t="str">
        <f t="shared" ca="1" si="1"/>
        <v>苏海（注册号：98030020）</v>
      </c>
    </row>
    <row r="13" spans="1:8" ht="24" customHeight="1">
      <c r="A13" s="946" t="s">
        <v>2073</v>
      </c>
      <c r="B13" s="4058" t="str">
        <f ca="1">IF(C13&lt;B2,"已过期",1120020033)</f>
        <v>已过期</v>
      </c>
      <c r="C13" s="1803">
        <v>45375</v>
      </c>
      <c r="D13" s="1804" t="str">
        <f t="shared" ca="1" si="0"/>
        <v>刘敬东（注册号：已过期）</v>
      </c>
      <c r="E13" s="1805" t="s">
        <v>2073</v>
      </c>
      <c r="F13" s="4058">
        <f ca="1">IF(G13&lt;B2,"已过期",2000110137)</f>
        <v>2000110137</v>
      </c>
      <c r="G13" s="1806">
        <v>46387</v>
      </c>
      <c r="H13" s="1807" t="str">
        <f t="shared" ca="1" si="1"/>
        <v>刘敬东（注册号：2000110137）</v>
      </c>
    </row>
    <row r="14" spans="1:8" ht="24" customHeight="1">
      <c r="A14" s="946" t="s">
        <v>2074</v>
      </c>
      <c r="B14" s="4058" t="str">
        <f ca="1">IF(C14&lt;B2,"已过期",1119980106)</f>
        <v>已过期</v>
      </c>
      <c r="C14" s="1808">
        <v>44969</v>
      </c>
      <c r="D14" s="1804" t="str">
        <f t="shared" ca="1" si="0"/>
        <v>刘俊财（注册号：已过期）</v>
      </c>
      <c r="E14" s="1805" t="s">
        <v>2074</v>
      </c>
      <c r="F14" s="4058">
        <f ca="1">IF(G14&lt;B2,"已过期",96010063)</f>
        <v>96010063</v>
      </c>
      <c r="G14" s="1806">
        <v>47483</v>
      </c>
      <c r="H14" s="1807" t="str">
        <f t="shared" ca="1" si="1"/>
        <v>刘俊财（注册号：96010063）</v>
      </c>
    </row>
    <row r="15" spans="1:8" ht="24" customHeight="1">
      <c r="A15" s="946" t="s">
        <v>2344</v>
      </c>
      <c r="B15" s="4058">
        <v>1120210056</v>
      </c>
      <c r="C15" s="1808">
        <v>45410</v>
      </c>
      <c r="D15" s="1804" t="str">
        <f t="shared" si="0"/>
        <v>宁小鳗（注册号：1120210056）</v>
      </c>
      <c r="E15" s="1805" t="s">
        <v>2075</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87" t="s">
        <v>2076</v>
      </c>
      <c r="B17" s="4187"/>
      <c r="C17" s="4187"/>
      <c r="D17" s="4187"/>
      <c r="E17" s="4187"/>
      <c r="F17" s="4187"/>
      <c r="G17" s="4187"/>
      <c r="H17" s="4187"/>
    </row>
    <row r="18" spans="1:8" ht="24" customHeight="1">
      <c r="A18" s="4188" t="s">
        <v>2077</v>
      </c>
      <c r="B18" s="4188"/>
      <c r="C18" s="4188"/>
      <c r="D18" s="1801"/>
      <c r="E18" s="4189" t="s">
        <v>2078</v>
      </c>
      <c r="F18" s="4188"/>
      <c r="G18" s="4188"/>
    </row>
    <row r="19" spans="1:8" s="1811" customFormat="1" ht="24" customHeight="1">
      <c r="A19" s="1810" t="s">
        <v>2079</v>
      </c>
      <c r="B19" s="946" t="s">
        <v>2080</v>
      </c>
      <c r="C19" s="946" t="s">
        <v>2059</v>
      </c>
      <c r="D19" s="1801"/>
      <c r="E19" s="1805" t="s">
        <v>2079</v>
      </c>
      <c r="F19" s="946" t="s">
        <v>2080</v>
      </c>
      <c r="G19" s="946" t="s">
        <v>2059</v>
      </c>
    </row>
    <row r="20" spans="1:8" s="1811" customFormat="1" ht="24" customHeight="1">
      <c r="A20" s="1812" t="s">
        <v>2081</v>
      </c>
      <c r="B20" s="1812" t="s">
        <v>2082</v>
      </c>
      <c r="C20" s="1806">
        <v>45898</v>
      </c>
      <c r="D20" s="1813"/>
      <c r="E20" s="1814" t="s">
        <v>2083</v>
      </c>
      <c r="F20" s="1817" t="s">
        <v>2345</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 (2)</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'Sheet1 (2)'!Print_Area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2026-03-05T02:23:28Z</dcterms:modified>
</cp:coreProperties>
</file>