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779C7E37-A775-4F6C-ACB9-26EA4D794115}" xr6:coauthVersionLast="47" xr6:coauthVersionMax="47" xr10:uidLastSave="{00000000-0000-0000-0000-000000000000}"/>
  <bookViews>
    <workbookView xWindow="-120" yWindow="-120" windowWidth="21840" windowHeight="13140"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商业收益法" sheetId="15" r:id="rId23"/>
    <sheet name="收益法 (元)" sheetId="67" state="hidden" r:id="rId24"/>
    <sheet name="收益法-酒店模型" sheetId="77" state="hidden" r:id="rId25"/>
    <sheet name="车库收益法" sheetId="81"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Sheet3"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5">车库收益法!$A$1:$F$43,车库收益法!$H$3:$M$29,车库收益法!$A$46:$F$71,车库收益法!$I$46:$N$65</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商业收益法!$A$1:$F$43,商业收益法!$H$3:$M$29,商业收益法!$A$46:$F$71,商业收益法!$I$46:$N$65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36" i="80" l="1"/>
  <c r="AD6" i="1"/>
  <c r="Z6" i="1"/>
  <c r="U6" i="1"/>
  <c r="F35" i="80"/>
  <c r="N6" i="1"/>
  <c r="N14" i="1" s="1"/>
  <c r="AN15" i="3"/>
  <c r="AN16" i="3"/>
  <c r="AN17" i="3"/>
  <c r="AN18" i="3"/>
  <c r="AN14" i="3"/>
  <c r="T22" i="1"/>
  <c r="T23" i="1"/>
  <c r="T24" i="1"/>
  <c r="T25" i="1"/>
  <c r="T26" i="1"/>
  <c r="V26" i="1" s="1"/>
  <c r="T21" i="1"/>
  <c r="S26" i="1"/>
  <c r="S25" i="1"/>
  <c r="Q22" i="1"/>
  <c r="Q23" i="1"/>
  <c r="Q24" i="1"/>
  <c r="Q25" i="1"/>
  <c r="U25" i="1" s="1"/>
  <c r="Q26" i="1"/>
  <c r="O26" i="1" s="1"/>
  <c r="Q21" i="1"/>
  <c r="V25" i="1" l="1"/>
  <c r="U26" i="1"/>
  <c r="G17" i="80"/>
  <c r="G18" i="80"/>
  <c r="G19" i="80"/>
  <c r="G20" i="80"/>
  <c r="G21" i="80"/>
  <c r="G22" i="80"/>
  <c r="G23" i="80"/>
  <c r="G24" i="80"/>
  <c r="G25" i="80"/>
  <c r="G26" i="80"/>
  <c r="G27" i="80"/>
  <c r="G28" i="80"/>
  <c r="G29" i="80"/>
  <c r="G30" i="80"/>
  <c r="G31" i="80"/>
  <c r="G32" i="80"/>
  <c r="G33" i="80"/>
  <c r="G34" i="80"/>
  <c r="G16" i="80"/>
  <c r="Q72" i="81"/>
  <c r="Q59" i="81"/>
  <c r="K59" i="81"/>
  <c r="P74" i="81" s="1"/>
  <c r="F59" i="81"/>
  <c r="Q58" i="81"/>
  <c r="Q51" i="81"/>
  <c r="J50" i="81"/>
  <c r="J51" i="81" s="1"/>
  <c r="M47" i="81"/>
  <c r="D46" i="81"/>
  <c r="F34" i="81"/>
  <c r="F62" i="81" s="1"/>
  <c r="F33" i="81"/>
  <c r="F61" i="81" s="1"/>
  <c r="F32" i="81"/>
  <c r="F60" i="81" s="1"/>
  <c r="F31" i="81"/>
  <c r="F28" i="81"/>
  <c r="C28" i="81" s="1"/>
  <c r="F23" i="81"/>
  <c r="D24" i="81" s="1"/>
  <c r="F21" i="81"/>
  <c r="M20" i="81"/>
  <c r="F20" i="81"/>
  <c r="M19" i="81"/>
  <c r="M18" i="81"/>
  <c r="F18" i="81"/>
  <c r="M17" i="81"/>
  <c r="F17" i="81"/>
  <c r="F15" i="81"/>
  <c r="G51" i="43"/>
  <c r="G52" i="43"/>
  <c r="G53" i="43"/>
  <c r="G54" i="43"/>
  <c r="G55" i="43"/>
  <c r="G56" i="43"/>
  <c r="G57" i="43"/>
  <c r="G58" i="43"/>
  <c r="G50" i="43"/>
  <c r="G44" i="43"/>
  <c r="Y6" i="1"/>
  <c r="P61" i="81" l="1"/>
  <c r="D22" i="81"/>
  <c r="D23" i="81"/>
  <c r="K19" i="3" l="1"/>
  <c r="H10" i="80"/>
  <c r="I10" i="80" s="1"/>
  <c r="AN19" i="3" s="1"/>
  <c r="G4" i="80"/>
  <c r="I13" i="3"/>
  <c r="B12" i="80"/>
  <c r="D11" i="80"/>
  <c r="C14" i="3"/>
  <c r="C15" i="3"/>
  <c r="C16" i="3"/>
  <c r="C17" i="3"/>
  <c r="C18" i="3"/>
  <c r="C19" i="3"/>
  <c r="C13" i="3"/>
  <c r="D3" i="4"/>
  <c r="E27" i="45"/>
  <c r="M19" i="3" l="1"/>
  <c r="D42" i="43" s="1"/>
  <c r="G14" i="73"/>
  <c r="F14" i="73"/>
  <c r="E14" i="73"/>
  <c r="G19" i="6" l="1"/>
  <c r="D37" i="43" s="1"/>
  <c r="I12" i="79"/>
  <c r="AP34" i="79" l="1"/>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5" i="79"/>
  <c r="AD36" i="79"/>
  <c r="AD37" i="79"/>
  <c r="AR40" i="79"/>
  <c r="AR41" i="79" s="1"/>
  <c r="AR42" i="79" s="1"/>
  <c r="AR43" i="79" s="1"/>
  <c r="AR44" i="79" s="1"/>
  <c r="AR45" i="79" s="1"/>
  <c r="AR46" i="79" s="1"/>
  <c r="AR47" i="79" s="1"/>
  <c r="AR48" i="79" s="1"/>
  <c r="AR49" i="79" s="1"/>
  <c r="AR50" i="79" s="1"/>
  <c r="AR51" i="79" s="1"/>
  <c r="AR52" i="79" s="1"/>
  <c r="T40" i="79"/>
  <c r="U46" i="79"/>
  <c r="AI46" i="79" s="1"/>
  <c r="AD47" i="79"/>
  <c r="S48" i="79"/>
  <c r="AG48" i="79" s="1"/>
  <c r="U34" i="79"/>
  <c r="AI34" i="79" s="1"/>
  <c r="U33" i="79"/>
  <c r="AI33" i="79" s="1"/>
  <c r="U35" i="79"/>
  <c r="AI35" i="79" s="1"/>
  <c r="Z3" i="79"/>
  <c r="S33" i="79"/>
  <c r="AG33" i="79" s="1"/>
  <c r="S35" i="79"/>
  <c r="AG35" i="79" s="1"/>
  <c r="S34" i="79"/>
  <c r="AG34"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39" i="79"/>
  <c r="AK39" i="79" s="1"/>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22" i="79"/>
  <c r="AK22" i="79" s="1"/>
  <c r="AH22"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F79" i="71" s="1"/>
  <c r="E80" i="71"/>
  <c r="U80" i="71" s="1"/>
  <c r="C80" i="71"/>
  <c r="B80" i="71"/>
  <c r="S80" i="71" s="1"/>
  <c r="Q79" i="71"/>
  <c r="P79" i="71"/>
  <c r="O79" i="71"/>
  <c r="N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E38" i="71" s="1"/>
  <c r="E39" i="71" s="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P33" i="71"/>
  <c r="E34" i="71" s="1"/>
  <c r="E35"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N28" i="71"/>
  <c r="B28" i="71" s="1"/>
  <c r="B30" i="71"/>
  <c r="B31" i="71"/>
  <c r="E30" i="71"/>
  <c r="E31" i="71" s="1"/>
  <c r="E32" i="71" s="1"/>
  <c r="U32" i="71" s="1"/>
  <c r="B39" i="71"/>
  <c r="B40" i="71" s="1"/>
  <c r="S40" i="71" s="1"/>
  <c r="E40" i="71"/>
  <c r="U40" i="71" s="1"/>
  <c r="E36" i="71"/>
  <c r="U36" i="71" s="1"/>
  <c r="C30" i="71"/>
  <c r="X31" i="71"/>
  <c r="C34" i="71"/>
  <c r="D34" i="71" s="1"/>
  <c r="X34" i="71"/>
  <c r="F51" i="71"/>
  <c r="F52" i="71" s="1"/>
  <c r="V52" i="71" s="1"/>
  <c r="Y27" i="71"/>
  <c r="Z27" i="71" s="1"/>
  <c r="D30" i="71"/>
  <c r="D50" i="71"/>
  <c r="P28" i="71"/>
  <c r="E60" i="71"/>
  <c r="U60" i="71" s="1"/>
  <c r="U68" i="71"/>
  <c r="E67" i="71"/>
  <c r="E66" i="71" s="1"/>
  <c r="Q28" i="71"/>
  <c r="D54" i="71"/>
  <c r="C59" i="71"/>
  <c r="D59" i="71" s="1"/>
  <c r="C63" i="71"/>
  <c r="C64" i="71" s="1"/>
  <c r="D62" i="71"/>
  <c r="Q67" i="71"/>
  <c r="T68" i="71"/>
  <c r="O68" i="71"/>
  <c r="D68" i="71"/>
  <c r="C67" i="71"/>
  <c r="D67" i="71" s="1"/>
  <c r="Q68" i="71"/>
  <c r="E71" i="71"/>
  <c r="E70" i="71"/>
  <c r="C75" i="71"/>
  <c r="D75" i="71" s="1"/>
  <c r="D76" i="71"/>
  <c r="D80" i="71"/>
  <c r="F28" i="71"/>
  <c r="F26" i="71"/>
  <c r="AA3" i="71"/>
  <c r="C66" i="71"/>
  <c r="O65" i="71" s="1"/>
  <c r="D63" i="71"/>
  <c r="C74" i="71"/>
  <c r="D74" i="71" s="1"/>
  <c r="C60" i="71"/>
  <c r="D60"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E5" i="3" s="1"/>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T5" i="3" s="1"/>
  <c r="BM14" i="3"/>
  <c r="BM15" i="3"/>
  <c r="BM16" i="3"/>
  <c r="BM17" i="3"/>
  <c r="BL17" i="3" s="1"/>
  <c r="BO13" i="3"/>
  <c r="BO14" i="3"/>
  <c r="BO15" i="3"/>
  <c r="BO16" i="3"/>
  <c r="BO5" i="3" s="1"/>
  <c r="BO17" i="3"/>
  <c r="BN13" i="3"/>
  <c r="BN14" i="3"/>
  <c r="BN15" i="3"/>
  <c r="BN5" i="3" s="1"/>
  <c r="BN16" i="3"/>
  <c r="BN17" i="3"/>
  <c r="BP13" i="3"/>
  <c r="BP14" i="3"/>
  <c r="BP5"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J5" i="3" s="1"/>
  <c r="BK14" i="3"/>
  <c r="BB15" i="3"/>
  <c r="BC15" i="3"/>
  <c r="BD15" i="3"/>
  <c r="BD5" i="3" s="1"/>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D70" i="36"/>
  <c r="H22" i="36"/>
  <c r="AB22" i="36" s="1"/>
  <c r="D68" i="36"/>
  <c r="E68" i="36" s="1"/>
  <c r="F68" i="36" s="1"/>
  <c r="G68" i="36"/>
  <c r="D64" i="36"/>
  <c r="E64" i="36" s="1"/>
  <c r="F64" i="36"/>
  <c r="G64" i="36" s="1"/>
  <c r="J16" i="36"/>
  <c r="W16" i="36" s="1"/>
  <c r="D62" i="36"/>
  <c r="E62" i="36" s="1"/>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B99" i="35"/>
  <c r="B97" i="35"/>
  <c r="B77" i="35"/>
  <c r="B75" i="35"/>
  <c r="J24" i="35" s="1"/>
  <c r="AC24" i="35" s="1"/>
  <c r="B73" i="35"/>
  <c r="J23" i="35" s="1"/>
  <c r="AC23" i="35" s="1"/>
  <c r="B57" i="35"/>
  <c r="B61" i="35"/>
  <c r="B59" i="35"/>
  <c r="B131" i="34"/>
  <c r="B129" i="34"/>
  <c r="B127" i="34"/>
  <c r="B99" i="34"/>
  <c r="H32" i="34" s="1"/>
  <c r="U32" i="34" s="1"/>
  <c r="B97" i="34"/>
  <c r="B95" i="34"/>
  <c r="B93" i="34"/>
  <c r="B75" i="34"/>
  <c r="J14" i="34" s="1"/>
  <c r="B73" i="34"/>
  <c r="B71" i="34"/>
  <c r="J12" i="34" s="1"/>
  <c r="W12" i="34" s="1"/>
  <c r="B130" i="33"/>
  <c r="B128" i="33"/>
  <c r="F45" i="33" s="1"/>
  <c r="B126" i="33"/>
  <c r="B98" i="33"/>
  <c r="B96" i="33"/>
  <c r="B94" i="33"/>
  <c r="H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J44" i="21" s="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S40" i="33"/>
  <c r="W33" i="33"/>
  <c r="H39" i="37"/>
  <c r="AB39" i="37" s="1"/>
  <c r="S27" i="35"/>
  <c r="F11" i="40"/>
  <c r="AA11" i="40"/>
  <c r="H11" i="40"/>
  <c r="AB11" i="40"/>
  <c r="AB39" i="40"/>
  <c r="AA9" i="40"/>
  <c r="U9" i="40"/>
  <c r="S34" i="40"/>
  <c r="U38" i="40"/>
  <c r="U34" i="40"/>
  <c r="S38" i="40"/>
  <c r="F42" i="39"/>
  <c r="AA42" i="39" s="1"/>
  <c r="F41" i="39"/>
  <c r="S41" i="39" s="1"/>
  <c r="H40" i="39"/>
  <c r="AB40" i="39" s="1"/>
  <c r="H39" i="39"/>
  <c r="U39" i="39" s="1"/>
  <c r="S38"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S44" i="39"/>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27" i="33"/>
  <c r="AA27" i="33" s="1"/>
  <c r="J13" i="33"/>
  <c r="AC13" i="33" s="1"/>
  <c r="H13" i="33"/>
  <c r="U13" i="33" s="1"/>
  <c r="F13" i="33"/>
  <c r="S13" i="33" s="1"/>
  <c r="J29" i="33"/>
  <c r="J31" i="33"/>
  <c r="W31" i="33" s="1"/>
  <c r="H31" i="33"/>
  <c r="F31" i="33"/>
  <c r="H45" i="33"/>
  <c r="U45" i="33" s="1"/>
  <c r="J45" i="33"/>
  <c r="W45" i="33" s="1"/>
  <c r="F14" i="34"/>
  <c r="S14" i="34" s="1"/>
  <c r="H14" i="34"/>
  <c r="U14" i="34" s="1"/>
  <c r="H30" i="34"/>
  <c r="F30" i="34"/>
  <c r="S30" i="34" s="1"/>
  <c r="J30" i="34"/>
  <c r="F32" i="34"/>
  <c r="H46" i="34"/>
  <c r="U46" i="34" s="1"/>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H14" i="40"/>
  <c r="AB14" i="40"/>
  <c r="J14" i="40"/>
  <c r="W14" i="40" s="1"/>
  <c r="F14" i="40"/>
  <c r="AA14" i="40" s="1"/>
  <c r="J14" i="37"/>
  <c r="J27" i="37"/>
  <c r="AC27" i="37"/>
  <c r="AA44" i="33"/>
  <c r="U46" i="33"/>
  <c r="AA14" i="33"/>
  <c r="J36" i="37"/>
  <c r="AC36" i="37" s="1"/>
  <c r="J10" i="36"/>
  <c r="AC10" i="36" s="1"/>
  <c r="AB26" i="33"/>
  <c r="W31" i="34"/>
  <c r="S11" i="36"/>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AZ563" i="3" s="1"/>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AZ499" i="3" s="1"/>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W47" i="34"/>
  <c r="AA13" i="33"/>
  <c r="AC45" i="33"/>
  <c r="W44" i="33"/>
  <c r="U11" i="33"/>
  <c r="U19"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AZ374" i="3" s="1"/>
  <c r="G375" i="3"/>
  <c r="BA377" i="3"/>
  <c r="AZ377" i="3"/>
  <c r="AZ237" i="3"/>
  <c r="AZ245" i="3"/>
  <c r="AZ257" i="3"/>
  <c r="AZ265" i="3"/>
  <c r="BA379" i="3"/>
  <c r="AZ379" i="3" s="1"/>
  <c r="BL380" i="3"/>
  <c r="AZ380" i="3" s="1"/>
  <c r="G381" i="3"/>
  <c r="BA383" i="3"/>
  <c r="AZ383" i="3" s="1"/>
  <c r="BL384" i="3"/>
  <c r="G385" i="3"/>
  <c r="BA387" i="3"/>
  <c r="BL388" i="3"/>
  <c r="AZ388" i="3" s="1"/>
  <c r="G389" i="3"/>
  <c r="BA391" i="3"/>
  <c r="AZ391" i="3" s="1"/>
  <c r="BL392" i="3"/>
  <c r="G393" i="3"/>
  <c r="AZ283" i="3"/>
  <c r="BH5" i="3"/>
  <c r="AC5" i="3"/>
  <c r="AZ506" i="3"/>
  <c r="G548" i="3"/>
  <c r="G538" i="3"/>
  <c r="G520" i="3"/>
  <c r="G502" i="3"/>
  <c r="BS5" i="3"/>
  <c r="BK5" i="3"/>
  <c r="BI5" i="3"/>
  <c r="BG5" i="3"/>
  <c r="BC5" i="3"/>
  <c r="G17"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280" i="3"/>
  <c r="AZ50" i="3"/>
  <c r="AZ77" i="3"/>
  <c r="F23" i="39"/>
  <c r="AA23" i="39" s="1"/>
  <c r="H27" i="36"/>
  <c r="U27" i="36" s="1"/>
  <c r="F27" i="36"/>
  <c r="AA27" i="36" s="1"/>
  <c r="H33" i="34"/>
  <c r="U33" i="34" s="1"/>
  <c r="F32" i="37"/>
  <c r="S32" i="37" s="1"/>
  <c r="AA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Z586" i="3"/>
  <c r="W12" i="33"/>
  <c r="AC12" i="33"/>
  <c r="AA32" i="36"/>
  <c r="S32" i="36"/>
  <c r="AC13" i="34"/>
  <c r="AA47" i="34"/>
  <c r="W28" i="37"/>
  <c r="S19" i="39"/>
  <c r="F12" i="33"/>
  <c r="S12" i="33" s="1"/>
  <c r="H12" i="39"/>
  <c r="U12" i="39" s="1"/>
  <c r="AB12" i="39"/>
  <c r="F39" i="40"/>
  <c r="BA14" i="3"/>
  <c r="AZ157" i="3"/>
  <c r="B12" i="1"/>
  <c r="E12" i="1" s="1"/>
  <c r="B10" i="1"/>
  <c r="E10" i="1" s="1"/>
  <c r="AZ88" i="3"/>
  <c r="K12" i="1"/>
  <c r="M12" i="1" s="1"/>
  <c r="S13" i="1"/>
  <c r="AR13" i="1" s="1"/>
  <c r="R13" i="1"/>
  <c r="J51" i="67"/>
  <c r="AC34" i="33"/>
  <c r="AB37" i="40"/>
  <c r="S35" i="40"/>
  <c r="U35" i="40"/>
  <c r="W38" i="40"/>
  <c r="AA32" i="40"/>
  <c r="S17" i="40"/>
  <c r="S23" i="40"/>
  <c r="AC17" i="40"/>
  <c r="AC15" i="40"/>
  <c r="AA19" i="40"/>
  <c r="S28"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AB21" i="39" s="1"/>
  <c r="U19" i="39"/>
  <c r="S17" i="39"/>
  <c r="S15" i="39"/>
  <c r="AA12" i="39"/>
  <c r="S9" i="39"/>
  <c r="U14" i="39"/>
  <c r="AC13" i="39"/>
  <c r="S23" i="36"/>
  <c r="U13" i="36"/>
  <c r="U26" i="36"/>
  <c r="S33" i="36"/>
  <c r="AA26" i="36"/>
  <c r="AA34" i="36"/>
  <c r="AC26" i="36"/>
  <c r="W14" i="36"/>
  <c r="AB14" i="36"/>
  <c r="U22" i="36"/>
  <c r="S16" i="36"/>
  <c r="AA25"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F9" i="35"/>
  <c r="S9" i="35" s="1"/>
  <c r="H9" i="35"/>
  <c r="U9" i="35" s="1"/>
  <c r="AB40" i="37"/>
  <c r="W27" i="37"/>
  <c r="AC29" i="37"/>
  <c r="U29" i="37"/>
  <c r="AB31" i="37"/>
  <c r="W30" i="37"/>
  <c r="S36" i="37"/>
  <c r="U32" i="37"/>
  <c r="W38" i="37"/>
  <c r="AC35" i="37"/>
  <c r="W39" i="37"/>
  <c r="S30" i="37"/>
  <c r="S37" i="37"/>
  <c r="AC15" i="37"/>
  <c r="J17" i="37"/>
  <c r="W17" i="37"/>
  <c r="G73" i="37"/>
  <c r="F17" i="37"/>
  <c r="AA17" i="37" s="1"/>
  <c r="F75" i="37"/>
  <c r="F19" i="37"/>
  <c r="S19" i="37" s="1"/>
  <c r="F79" i="37"/>
  <c r="F23" i="37"/>
  <c r="S23" i="37" s="1"/>
  <c r="U15" i="37"/>
  <c r="AC13" i="37"/>
  <c r="AA13" i="37"/>
  <c r="H10" i="37"/>
  <c r="AB10" i="37" s="1"/>
  <c r="F63" i="37"/>
  <c r="G63" i="37" s="1"/>
  <c r="H63" i="37" s="1"/>
  <c r="I63" i="37" s="1"/>
  <c r="F11" i="37"/>
  <c r="S11" i="37" s="1"/>
  <c r="AB8" i="34"/>
  <c r="AA33" i="34"/>
  <c r="U43" i="34"/>
  <c r="W41" i="34"/>
  <c r="AC42" i="34"/>
  <c r="AB35" i="34"/>
  <c r="U39" i="34"/>
  <c r="AB41" i="34"/>
  <c r="AA45" i="34"/>
  <c r="AA25" i="34"/>
  <c r="U28" i="34"/>
  <c r="S17" i="34"/>
  <c r="AA29" i="34"/>
  <c r="U27" i="34"/>
  <c r="S23" i="34"/>
  <c r="U15" i="34"/>
  <c r="S13" i="34"/>
  <c r="H10" i="34"/>
  <c r="AB10" i="34" s="1"/>
  <c r="F11" i="34"/>
  <c r="S11" i="34" s="1"/>
  <c r="W42" i="33"/>
  <c r="S27" i="33"/>
  <c r="S32"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AC32" i="33" s="1"/>
  <c r="S46" i="33"/>
  <c r="W43" i="33"/>
  <c r="S43" i="33"/>
  <c r="F91" i="33"/>
  <c r="G91" i="33" s="1"/>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G13" i="3"/>
  <c r="BA13" i="3"/>
  <c r="BL13" i="3"/>
  <c r="J56" i="9"/>
  <c r="J57" i="9" s="1"/>
  <c r="J59" i="9" s="1"/>
  <c r="J61" i="9"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G1" i="15"/>
  <c r="G1" i="69"/>
  <c r="W23" i="40"/>
  <c r="U32" i="40"/>
  <c r="AB31" i="40"/>
  <c r="S37" i="40"/>
  <c r="AB28" i="40"/>
  <c r="W28" i="40"/>
  <c r="W34" i="40"/>
  <c r="W19" i="40"/>
  <c r="W27" i="40"/>
  <c r="S36" i="40"/>
  <c r="W37" i="40"/>
  <c r="AC14" i="40"/>
  <c r="S13" i="40"/>
  <c r="S33" i="40"/>
  <c r="AA15" i="40"/>
  <c r="U11" i="40"/>
  <c r="AB13" i="40"/>
  <c r="U15" i="40"/>
  <c r="AB17" i="40"/>
  <c r="U8" i="40"/>
  <c r="S8" i="40"/>
  <c r="AA39" i="39"/>
  <c r="AC41" i="39"/>
  <c r="U42" i="39"/>
  <c r="U41" i="39"/>
  <c r="W25" i="39"/>
  <c r="U13" i="39"/>
  <c r="AB13" i="39"/>
  <c r="AA13" i="39"/>
  <c r="S14" i="39"/>
  <c r="AA14" i="39"/>
  <c r="U43" i="39"/>
  <c r="AB43" i="39"/>
  <c r="AB11" i="39"/>
  <c r="U11" i="39"/>
  <c r="AA27" i="39"/>
  <c r="S27" i="39"/>
  <c r="W17" i="39"/>
  <c r="AC17" i="39"/>
  <c r="W31" i="39"/>
  <c r="AC31" i="39"/>
  <c r="AA45" i="39"/>
  <c r="AB39" i="39"/>
  <c r="W34" i="39"/>
  <c r="U38" i="39"/>
  <c r="S8" i="39"/>
  <c r="S20" i="36"/>
  <c r="W29" i="36"/>
  <c r="AC20" i="36"/>
  <c r="U25" i="36"/>
  <c r="AB28" i="36"/>
  <c r="W22" i="36"/>
  <c r="W23" i="36"/>
  <c r="AB20" i="35"/>
  <c r="AC25" i="35"/>
  <c r="U25" i="35"/>
  <c r="U24" i="35"/>
  <c r="S35" i="35"/>
  <c r="AA16" i="35"/>
  <c r="AA35" i="37"/>
  <c r="W36" i="37"/>
  <c r="S27" i="37"/>
  <c r="S28" i="37"/>
  <c r="W32" i="37"/>
  <c r="U36" i="37"/>
  <c r="S40" i="37"/>
  <c r="U38" i="37"/>
  <c r="AB37" i="37"/>
  <c r="AC34" i="37"/>
  <c r="AA31" i="37"/>
  <c r="U19" i="37"/>
  <c r="AA29" i="37"/>
  <c r="U8" i="37"/>
  <c r="AB40" i="34"/>
  <c r="U19" i="34"/>
  <c r="W19" i="34"/>
  <c r="AC45" i="34"/>
  <c r="AA31" i="34"/>
  <c r="AA30" i="34"/>
  <c r="AB45" i="34"/>
  <c r="AB47" i="34"/>
  <c r="U25" i="34"/>
  <c r="AB36" i="34"/>
  <c r="AC29" i="34"/>
  <c r="W29" i="34"/>
  <c r="W46" i="34"/>
  <c r="AC46" i="34"/>
  <c r="S32" i="34"/>
  <c r="AA32" i="34"/>
  <c r="U30" i="34"/>
  <c r="AB30" i="34"/>
  <c r="S37" i="34"/>
  <c r="U38" i="34"/>
  <c r="AC40" i="34"/>
  <c r="W40" i="34"/>
  <c r="AA19" i="34"/>
  <c r="S19" i="34"/>
  <c r="AA36" i="34"/>
  <c r="S36" i="34"/>
  <c r="AA8" i="34"/>
  <c r="S8" i="34"/>
  <c r="AB9" i="34"/>
  <c r="U9" i="34"/>
  <c r="S46" i="34"/>
  <c r="AA46" i="34"/>
  <c r="AB32" i="34"/>
  <c r="AB14" i="34"/>
  <c r="AC43" i="34"/>
  <c r="W43" i="34"/>
  <c r="W23" i="34"/>
  <c r="AC23" i="34"/>
  <c r="AC35" i="34"/>
  <c r="W35" i="34"/>
  <c r="AB28" i="33"/>
  <c r="AC37" i="33"/>
  <c r="U39" i="33"/>
  <c r="U38" i="33"/>
  <c r="S33" i="33"/>
  <c r="U44" i="33"/>
  <c r="AB44" i="33"/>
  <c r="S30" i="33"/>
  <c r="AA30" i="33"/>
  <c r="AC14" i="33"/>
  <c r="W14" i="33"/>
  <c r="AC30" i="33"/>
  <c r="W30" i="33"/>
  <c r="S31" i="33"/>
  <c r="AA31" i="33"/>
  <c r="W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AC15" i="21"/>
  <c r="S35" i="21"/>
  <c r="J37" i="21"/>
  <c r="W37" i="21" s="1"/>
  <c r="H15" i="21"/>
  <c r="U15" i="21"/>
  <c r="J17" i="21"/>
  <c r="W17" i="21" s="1"/>
  <c r="AC17" i="21"/>
  <c r="AC19" i="21"/>
  <c r="W39" i="21"/>
  <c r="AC14" i="21"/>
  <c r="W30" i="21"/>
  <c r="H45" i="21"/>
  <c r="U45" i="21" s="1"/>
  <c r="F29" i="21"/>
  <c r="AA29" i="21" s="1"/>
  <c r="F13" i="21"/>
  <c r="AC38" i="21"/>
  <c r="H32" i="21"/>
  <c r="H9" i="21"/>
  <c r="AB9" i="21" s="1"/>
  <c r="J9" i="21"/>
  <c r="J32" i="21"/>
  <c r="W32" i="21" s="1"/>
  <c r="F32" i="21"/>
  <c r="AA31" i="21"/>
  <c r="U17" i="21"/>
  <c r="S19" i="21"/>
  <c r="S9" i="21"/>
  <c r="AA9" i="21"/>
  <c r="K141" i="21"/>
  <c r="K144" i="21"/>
  <c r="K143" i="21"/>
  <c r="U27" i="21"/>
  <c r="AB25" i="21"/>
  <c r="AB44" i="21"/>
  <c r="AA30" i="21"/>
  <c r="W13" i="21"/>
  <c r="W42" i="21"/>
  <c r="F10" i="21"/>
  <c r="AA10" i="21" s="1"/>
  <c r="K145"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AB41" i="33"/>
  <c r="U41" i="33"/>
  <c r="AC35" i="33"/>
  <c r="J36" i="33"/>
  <c r="W36" i="33" s="1"/>
  <c r="H36" i="33"/>
  <c r="U36" i="33" s="1"/>
  <c r="W32" i="33"/>
  <c r="U27" i="33"/>
  <c r="AB27" i="33"/>
  <c r="H91" i="33"/>
  <c r="I91" i="33" s="1"/>
  <c r="J91" i="33" s="1"/>
  <c r="K91" i="33" s="1"/>
  <c r="L91" i="33" s="1"/>
  <c r="M91" i="33" s="1"/>
  <c r="J27" i="33"/>
  <c r="U25" i="33"/>
  <c r="AA25" i="33"/>
  <c r="G87" i="33"/>
  <c r="H87" i="33" s="1"/>
  <c r="I87" i="33" s="1"/>
  <c r="J87" i="33" s="1"/>
  <c r="K87" i="33" s="1"/>
  <c r="L87" i="33" s="1"/>
  <c r="M87" i="33" s="1"/>
  <c r="J25" i="33"/>
  <c r="AB23" i="33"/>
  <c r="F23" i="33"/>
  <c r="G85" i="33"/>
  <c r="AA19" i="33"/>
  <c r="H19" i="33"/>
  <c r="H17" i="33"/>
  <c r="U17" i="33" s="1"/>
  <c r="F17" i="33"/>
  <c r="S17" i="33"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AC25" i="33"/>
  <c r="AB19" i="33"/>
  <c r="U19"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F9" i="67"/>
  <c r="F36" i="15"/>
  <c r="F6" i="73"/>
  <c r="M9" i="67"/>
  <c r="B13" i="76"/>
  <c r="B9" i="76"/>
  <c r="AO13" i="1"/>
  <c r="B7" i="76"/>
  <c r="M6" i="15"/>
  <c r="F40" i="67"/>
  <c r="F26" i="15"/>
  <c r="F13" i="67"/>
  <c r="E2" i="68"/>
  <c r="J15" i="15"/>
  <c r="F38" i="15"/>
  <c r="E7" i="76"/>
  <c r="F4" i="73"/>
  <c r="F37" i="15"/>
  <c r="M8" i="67"/>
  <c r="F16" i="67"/>
  <c r="F36" i="67"/>
  <c r="D6" i="73"/>
  <c r="D34" i="9"/>
  <c r="M22" i="15"/>
  <c r="F43" i="67"/>
  <c r="F37" i="67"/>
  <c r="M29" i="67"/>
  <c r="B8" i="76"/>
  <c r="E11" i="76"/>
  <c r="F8" i="15"/>
  <c r="M6" i="67"/>
  <c r="B12" i="76"/>
  <c r="F8" i="67"/>
  <c r="F5" i="73"/>
  <c r="J15" i="67"/>
  <c r="D35" i="9"/>
  <c r="E12" i="76"/>
  <c r="M9" i="15"/>
  <c r="M28" i="15"/>
  <c r="M26" i="67"/>
  <c r="E8" i="76"/>
  <c r="F7" i="67"/>
  <c r="F13" i="15"/>
  <c r="F7" i="73"/>
  <c r="M24" i="67"/>
  <c r="F16" i="15"/>
  <c r="M22" i="67"/>
  <c r="M23" i="67"/>
  <c r="E13" i="76"/>
  <c r="B11" i="76"/>
  <c r="F40" i="15"/>
  <c r="M28" i="67"/>
  <c r="F3" i="73"/>
  <c r="B10" i="76"/>
  <c r="F20" i="31"/>
  <c r="E10" i="76"/>
  <c r="E9" i="76"/>
  <c r="F38" i="67"/>
  <c r="F6" i="67"/>
  <c r="L47" i="67"/>
  <c r="C76" i="67"/>
  <c r="M24" i="15"/>
  <c r="F26" i="67"/>
  <c r="F42" i="67"/>
  <c r="C18" i="9" l="1"/>
  <c r="D18" i="9" s="1"/>
  <c r="B7" i="1"/>
  <c r="G1" i="81"/>
  <c r="D33" i="43"/>
  <c r="D1" i="43" s="1"/>
  <c r="S20" i="1"/>
  <c r="A24" i="51"/>
  <c r="B18" i="72" s="1"/>
  <c r="G7" i="1"/>
  <c r="M7" i="1"/>
  <c r="D52" i="43"/>
  <c r="F34" i="15"/>
  <c r="F62" i="15" s="1"/>
  <c r="M20" i="67"/>
  <c r="F34" i="67"/>
  <c r="F62" i="67" s="1"/>
  <c r="B41" i="1"/>
  <c r="D93" i="9"/>
  <c r="C40" i="11"/>
  <c r="C21" i="68"/>
  <c r="E19" i="69"/>
  <c r="G19" i="3"/>
  <c r="E19" i="6"/>
  <c r="K6" i="1" s="1"/>
  <c r="BA17" i="3"/>
  <c r="G18" i="3"/>
  <c r="BL14" i="3"/>
  <c r="BA18" i="3"/>
  <c r="BA15" i="3"/>
  <c r="BM5" i="3"/>
  <c r="F29" i="6" s="1"/>
  <c r="BF5" i="3"/>
  <c r="BB5" i="3"/>
  <c r="E15" i="6" s="1"/>
  <c r="E64" i="39" s="1"/>
  <c r="G29" i="6"/>
  <c r="C7" i="39"/>
  <c r="C67" i="39" s="1"/>
  <c r="C42" i="1"/>
  <c r="C24" i="12" s="1"/>
  <c r="C7" i="37"/>
  <c r="C52" i="37" s="1"/>
  <c r="D52" i="37" s="1"/>
  <c r="G23" i="43"/>
  <c r="C23" i="43" s="1"/>
  <c r="C7" i="33"/>
  <c r="C7" i="36"/>
  <c r="C46" i="36" s="1"/>
  <c r="D46" i="36" s="1"/>
  <c r="E46" i="36" s="1"/>
  <c r="F46" i="36" s="1"/>
  <c r="G46" i="36" s="1"/>
  <c r="H46" i="36" s="1"/>
  <c r="I46" i="36" s="1"/>
  <c r="J46" i="36" s="1"/>
  <c r="K46" i="36" s="1"/>
  <c r="L46" i="36" s="1"/>
  <c r="M46" i="36" s="1"/>
  <c r="N46" i="36" s="1"/>
  <c r="O46" i="36" s="1"/>
  <c r="C7" i="40"/>
  <c r="C63" i="40" s="1"/>
  <c r="W9" i="21"/>
  <c r="AC9" i="21"/>
  <c r="AA13" i="21"/>
  <c r="S13" i="21"/>
  <c r="U13" i="21"/>
  <c r="AB13" i="21"/>
  <c r="W29" i="21"/>
  <c r="AC29" i="21"/>
  <c r="AC44" i="21"/>
  <c r="W44" i="21"/>
  <c r="AA13" i="36"/>
  <c r="S13" i="36"/>
  <c r="AA17" i="33"/>
  <c r="W45" i="21"/>
  <c r="AC45" i="21"/>
  <c r="AB29" i="33"/>
  <c r="U29" i="33"/>
  <c r="AA45" i="33"/>
  <c r="S45" i="33"/>
  <c r="W14" i="34"/>
  <c r="AC14" i="34"/>
  <c r="AB36" i="35"/>
  <c r="U36" i="35"/>
  <c r="W27" i="33"/>
  <c r="AC27" i="33"/>
  <c r="AZ17" i="3"/>
  <c r="AC27" i="21"/>
  <c r="W27" i="21"/>
  <c r="AC24" i="36"/>
  <c r="W24" i="36"/>
  <c r="AB26" i="37"/>
  <c r="U26" i="37"/>
  <c r="AZ306" i="3"/>
  <c r="AZ513" i="3"/>
  <c r="AZ502" i="3"/>
  <c r="BL587" i="3"/>
  <c r="AZ587" i="3" s="1"/>
  <c r="F12" i="35"/>
  <c r="J12" i="35"/>
  <c r="AZ402" i="3"/>
  <c r="AZ406" i="3"/>
  <c r="AB34" i="39"/>
  <c r="S14" i="40"/>
  <c r="AA25" i="21"/>
  <c r="AC36" i="34"/>
  <c r="W23" i="35"/>
  <c r="AC28" i="34"/>
  <c r="AZ519" i="3"/>
  <c r="AZ531" i="3"/>
  <c r="AZ573" i="3"/>
  <c r="AZ583" i="3"/>
  <c r="AZ568" i="3"/>
  <c r="AZ576" i="3"/>
  <c r="U36" i="39"/>
  <c r="S44" i="34"/>
  <c r="AA14" i="34"/>
  <c r="AA14" i="37"/>
  <c r="H32" i="36"/>
  <c r="J32" i="34"/>
  <c r="F29" i="33"/>
  <c r="F27" i="21"/>
  <c r="F24" i="36"/>
  <c r="C15" i="39"/>
  <c r="S34" i="39"/>
  <c r="W31" i="40"/>
  <c r="W9" i="34"/>
  <c r="U30" i="37"/>
  <c r="G587" i="3"/>
  <c r="H12" i="34"/>
  <c r="AA35" i="34"/>
  <c r="H25" i="37"/>
  <c r="F25" i="37"/>
  <c r="AZ143" i="3"/>
  <c r="AZ394" i="3"/>
  <c r="AC17" i="33"/>
  <c r="W33" i="34"/>
  <c r="AB33" i="34"/>
  <c r="AA40" i="34"/>
  <c r="S24" i="35"/>
  <c r="S23" i="39"/>
  <c r="S31" i="40"/>
  <c r="S43" i="34"/>
  <c r="U23" i="37"/>
  <c r="AC36" i="40"/>
  <c r="AZ14" i="3"/>
  <c r="AZ345" i="3"/>
  <c r="AZ334" i="3"/>
  <c r="AZ372" i="3"/>
  <c r="AZ337" i="3"/>
  <c r="AZ376" i="3"/>
  <c r="AZ324" i="3"/>
  <c r="AZ309" i="3"/>
  <c r="AZ523" i="3"/>
  <c r="AZ547" i="3"/>
  <c r="AZ571" i="3"/>
  <c r="AZ579" i="3"/>
  <c r="AB46" i="34"/>
  <c r="AB30" i="21"/>
  <c r="S41" i="33"/>
  <c r="AB23" i="34"/>
  <c r="U35" i="33"/>
  <c r="W25" i="37"/>
  <c r="BL585" i="3"/>
  <c r="AZ585" i="3" s="1"/>
  <c r="AZ313" i="3"/>
  <c r="AZ124" i="3"/>
  <c r="AC23" i="37"/>
  <c r="U9" i="21"/>
  <c r="S36" i="33"/>
  <c r="S17" i="37"/>
  <c r="U21" i="39"/>
  <c r="AA19" i="37"/>
  <c r="M18" i="15"/>
  <c r="M18" i="67"/>
  <c r="F30" i="11"/>
  <c r="C48" i="11" s="1"/>
  <c r="AB29" i="21"/>
  <c r="S46" i="21"/>
  <c r="S44" i="21"/>
  <c r="AB34" i="33"/>
  <c r="W46" i="33"/>
  <c r="AB35" i="37"/>
  <c r="W35" i="35"/>
  <c r="AC25" i="36"/>
  <c r="U42" i="33"/>
  <c r="AA35" i="33"/>
  <c r="AC39" i="34"/>
  <c r="W25" i="34"/>
  <c r="AB17" i="37"/>
  <c r="AA38" i="37"/>
  <c r="W13" i="35"/>
  <c r="S20" i="35"/>
  <c r="AA22" i="36"/>
  <c r="W19" i="39"/>
  <c r="AA34" i="33"/>
  <c r="U30" i="33"/>
  <c r="AC21" i="40"/>
  <c r="AA12" i="40"/>
  <c r="AZ387" i="3"/>
  <c r="AZ370" i="3"/>
  <c r="AZ362" i="3"/>
  <c r="AZ338" i="3"/>
  <c r="AZ307" i="3"/>
  <c r="AZ390" i="3"/>
  <c r="AZ371" i="3"/>
  <c r="AZ351" i="3"/>
  <c r="AZ336" i="3"/>
  <c r="AZ305" i="3"/>
  <c r="AZ155" i="3"/>
  <c r="AZ360" i="3"/>
  <c r="AB33" i="40"/>
  <c r="AC31" i="33"/>
  <c r="AZ539" i="3"/>
  <c r="AZ529" i="3"/>
  <c r="AZ537" i="3"/>
  <c r="AZ518" i="3"/>
  <c r="AZ546" i="3"/>
  <c r="AB45" i="33"/>
  <c r="F45" i="21"/>
  <c r="AA29" i="35"/>
  <c r="AB17" i="34"/>
  <c r="W8" i="34"/>
  <c r="F37" i="39"/>
  <c r="W8" i="40"/>
  <c r="W39" i="33"/>
  <c r="W40" i="39"/>
  <c r="B79" i="43"/>
  <c r="H12" i="35"/>
  <c r="H23" i="35"/>
  <c r="J9" i="36"/>
  <c r="H24" i="36"/>
  <c r="G570" i="3"/>
  <c r="BL16" i="3"/>
  <c r="AZ16" i="3" s="1"/>
  <c r="AZ404" i="3"/>
  <c r="AZ419" i="3"/>
  <c r="AZ462" i="3"/>
  <c r="BA551" i="3"/>
  <c r="AZ551" i="3" s="1"/>
  <c r="BA550" i="3"/>
  <c r="AZ550" i="3" s="1"/>
  <c r="BL548" i="3"/>
  <c r="AZ548" i="3" s="1"/>
  <c r="G399" i="3"/>
  <c r="BL400" i="3"/>
  <c r="AZ400" i="3" s="1"/>
  <c r="BL408" i="3"/>
  <c r="BL411" i="3"/>
  <c r="BL413" i="3"/>
  <c r="AZ413" i="3" s="1"/>
  <c r="G416" i="3"/>
  <c r="BL417" i="3"/>
  <c r="BL418" i="3"/>
  <c r="BA421" i="3"/>
  <c r="AZ421" i="3" s="1"/>
  <c r="BA423" i="3"/>
  <c r="AZ423" i="3" s="1"/>
  <c r="BA432" i="3"/>
  <c r="AZ432" i="3" s="1"/>
  <c r="BA446" i="3"/>
  <c r="BL448" i="3"/>
  <c r="G451" i="3"/>
  <c r="AZ458" i="3"/>
  <c r="BL460" i="3"/>
  <c r="BL461" i="3"/>
  <c r="BL466" i="3"/>
  <c r="G469" i="3"/>
  <c r="BA486" i="3"/>
  <c r="BL398" i="3"/>
  <c r="G402" i="3"/>
  <c r="BL403" i="3"/>
  <c r="AZ403" i="3" s="1"/>
  <c r="G406" i="3"/>
  <c r="BA408" i="3"/>
  <c r="BA409" i="3"/>
  <c r="AZ409" i="3" s="1"/>
  <c r="BA411" i="3"/>
  <c r="AZ411" i="3" s="1"/>
  <c r="BL414" i="3"/>
  <c r="BL415" i="3"/>
  <c r="BA417" i="3"/>
  <c r="BL424" i="3"/>
  <c r="AZ424" i="3" s="1"/>
  <c r="BA428" i="3"/>
  <c r="AZ428" i="3" s="1"/>
  <c r="BA429" i="3"/>
  <c r="AZ429" i="3" s="1"/>
  <c r="BA430" i="3"/>
  <c r="AZ430" i="3" s="1"/>
  <c r="BA433" i="3"/>
  <c r="AZ433" i="3" s="1"/>
  <c r="BL435" i="3"/>
  <c r="AZ435" i="3" s="1"/>
  <c r="BL436" i="3"/>
  <c r="BA438" i="3"/>
  <c r="AZ438" i="3" s="1"/>
  <c r="G443" i="3"/>
  <c r="BL444" i="3"/>
  <c r="AZ444" i="3" s="1"/>
  <c r="G447" i="3"/>
  <c r="BL453" i="3"/>
  <c r="BL454" i="3"/>
  <c r="AZ454" i="3" s="1"/>
  <c r="BL457" i="3"/>
  <c r="BA459" i="3"/>
  <c r="AZ459" i="3" s="1"/>
  <c r="BA460" i="3"/>
  <c r="AZ460" i="3" s="1"/>
  <c r="BA461" i="3"/>
  <c r="AZ461" i="3" s="1"/>
  <c r="BL462" i="3"/>
  <c r="BA471" i="3"/>
  <c r="BA476" i="3"/>
  <c r="AZ476" i="3" s="1"/>
  <c r="BL487" i="3"/>
  <c r="AZ487" i="3" s="1"/>
  <c r="BA489" i="3"/>
  <c r="G551" i="3"/>
  <c r="BL550" i="3"/>
  <c r="G542" i="3"/>
  <c r="BL15" i="3"/>
  <c r="AZ15" i="3"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G420" i="3"/>
  <c r="BL420" i="3"/>
  <c r="G422" i="3"/>
  <c r="BL425" i="3"/>
  <c r="AZ425" i="3" s="1"/>
  <c r="BL426" i="3"/>
  <c r="G434" i="3"/>
  <c r="BA436" i="3"/>
  <c r="BL437" i="3"/>
  <c r="AZ437" i="3" s="1"/>
  <c r="G440" i="3"/>
  <c r="BL441" i="3"/>
  <c r="BL442" i="3"/>
  <c r="AZ442" i="3" s="1"/>
  <c r="BA448" i="3"/>
  <c r="AZ448" i="3" s="1"/>
  <c r="BA449" i="3"/>
  <c r="BA453" i="3"/>
  <c r="BA455" i="3"/>
  <c r="AZ455" i="3" s="1"/>
  <c r="BA457" i="3"/>
  <c r="AZ457" i="3" s="1"/>
  <c r="BL464" i="3"/>
  <c r="BA466" i="3"/>
  <c r="BA470" i="3"/>
  <c r="AZ470" i="3" s="1"/>
  <c r="G474" i="3"/>
  <c r="BA483" i="3"/>
  <c r="BL483" i="3"/>
  <c r="AZ483" i="3" s="1"/>
  <c r="AZ125" i="3"/>
  <c r="BA465" i="3"/>
  <c r="AZ465" i="3" s="1"/>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AZ258" i="3" s="1"/>
  <c r="BL264" i="3"/>
  <c r="BL266" i="3"/>
  <c r="BA268" i="3"/>
  <c r="BL273" i="3"/>
  <c r="AZ273" i="3" s="1"/>
  <c r="G274" i="3"/>
  <c r="BA277" i="3"/>
  <c r="BL277" i="3"/>
  <c r="BA282" i="3"/>
  <c r="BL282" i="3"/>
  <c r="BA284" i="3"/>
  <c r="AZ284" i="3" s="1"/>
  <c r="BL290" i="3"/>
  <c r="BL291" i="3"/>
  <c r="AZ291" i="3" s="1"/>
  <c r="BL293" i="3"/>
  <c r="AZ293" i="3" s="1"/>
  <c r="BL294" i="3"/>
  <c r="BA297" i="3"/>
  <c r="BL297" i="3"/>
  <c r="BL300" i="3"/>
  <c r="BA302" i="3"/>
  <c r="AZ302" i="3" s="1"/>
  <c r="BA117" i="3"/>
  <c r="AZ62" i="3"/>
  <c r="G488" i="3"/>
  <c r="BL317" i="3"/>
  <c r="G318" i="3"/>
  <c r="BA349" i="3"/>
  <c r="AZ349" i="3" s="1"/>
  <c r="BA353" i="3"/>
  <c r="AZ353" i="3" s="1"/>
  <c r="BL353" i="3"/>
  <c r="BA358" i="3"/>
  <c r="AZ358" i="3" s="1"/>
  <c r="G362" i="3"/>
  <c r="BL365" i="3"/>
  <c r="AZ365" i="3" s="1"/>
  <c r="G366" i="3"/>
  <c r="BA368" i="3"/>
  <c r="BL368"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BA126" i="3"/>
  <c r="AZ126" i="3" s="1"/>
  <c r="BL139" i="3"/>
  <c r="AZ139" i="3" s="1"/>
  <c r="G140" i="3"/>
  <c r="BL141" i="3"/>
  <c r="BL143" i="3"/>
  <c r="BA98" i="3"/>
  <c r="BA384" i="3"/>
  <c r="AZ384" i="3" s="1"/>
  <c r="BA395" i="3"/>
  <c r="AZ395" i="3" s="1"/>
  <c r="BA208" i="3"/>
  <c r="AZ208" i="3" s="1"/>
  <c r="BA211" i="3"/>
  <c r="AZ211" i="3" s="1"/>
  <c r="BL213" i="3"/>
  <c r="BL215" i="3"/>
  <c r="BA222" i="3"/>
  <c r="AZ222" i="3" s="1"/>
  <c r="BA224" i="3"/>
  <c r="AZ224" i="3" s="1"/>
  <c r="BA226" i="3"/>
  <c r="AZ294" i="3"/>
  <c r="G419" i="3"/>
  <c r="BA422" i="3"/>
  <c r="AZ422" i="3" s="1"/>
  <c r="G429" i="3"/>
  <c r="G430" i="3"/>
  <c r="BL431" i="3"/>
  <c r="G433" i="3"/>
  <c r="BL434" i="3"/>
  <c r="G436" i="3"/>
  <c r="G437" i="3"/>
  <c r="BL438" i="3"/>
  <c r="BL439" i="3"/>
  <c r="AZ439" i="3" s="1"/>
  <c r="BA441" i="3"/>
  <c r="AZ441" i="3" s="1"/>
  <c r="BL445" i="3"/>
  <c r="BL446" i="3"/>
  <c r="BL449" i="3"/>
  <c r="BL450" i="3"/>
  <c r="AZ450" i="3" s="1"/>
  <c r="BL452" i="3"/>
  <c r="G454" i="3"/>
  <c r="G455" i="3"/>
  <c r="BL456" i="3"/>
  <c r="AZ456" i="3" s="1"/>
  <c r="BA464" i="3"/>
  <c r="AZ464" i="3" s="1"/>
  <c r="BL467" i="3"/>
  <c r="BL468" i="3"/>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28" i="3"/>
  <c r="BA129" i="3"/>
  <c r="BL133" i="3"/>
  <c r="AZ133" i="3" s="1"/>
  <c r="BL134" i="3"/>
  <c r="AA18" i="36"/>
  <c r="S18" i="36"/>
  <c r="E28" i="71"/>
  <c r="AA27" i="71"/>
  <c r="AA28" i="71"/>
  <c r="N67" i="71"/>
  <c r="B66" i="71"/>
  <c r="T72" i="71"/>
  <c r="C71" i="7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BL63" i="3"/>
  <c r="AZ63" i="3" s="1"/>
  <c r="BL65" i="3"/>
  <c r="AZ65" i="3" s="1"/>
  <c r="BL66" i="3"/>
  <c r="AZ66" i="3" s="1"/>
  <c r="BL67" i="3"/>
  <c r="AZ67" i="3" s="1"/>
  <c r="BL70" i="3"/>
  <c r="AZ70" i="3" s="1"/>
  <c r="BL71" i="3"/>
  <c r="AZ71" i="3" s="1"/>
  <c r="BL72" i="3"/>
  <c r="AZ72" i="3" s="1"/>
  <c r="BL75" i="3"/>
  <c r="BL81" i="3"/>
  <c r="BA82" i="3"/>
  <c r="AZ82" i="3" s="1"/>
  <c r="BL83" i="3"/>
  <c r="G88" i="3"/>
  <c r="BA90" i="3"/>
  <c r="BA94" i="3"/>
  <c r="AZ94" i="3" s="1"/>
  <c r="BA100" i="3"/>
  <c r="G102" i="3"/>
  <c r="BA103" i="3"/>
  <c r="AZ103" i="3" s="1"/>
  <c r="BA104" i="3"/>
  <c r="AZ104" i="3" s="1"/>
  <c r="G108" i="3"/>
  <c r="G109" i="3"/>
  <c r="BA111" i="3"/>
  <c r="AC29" i="39"/>
  <c r="W29" i="39"/>
  <c r="P65" i="71"/>
  <c r="P66" i="71"/>
  <c r="F34" i="71"/>
  <c r="F35" i="71" s="1"/>
  <c r="F36" i="71" s="1"/>
  <c r="V36" i="71" s="1"/>
  <c r="AB33" i="71"/>
  <c r="AB28" i="71"/>
  <c r="AA38" i="71"/>
  <c r="AA39" i="71"/>
  <c r="AA37" i="71"/>
  <c r="U76" i="71"/>
  <c r="E75" i="71"/>
  <c r="E74" i="71" s="1"/>
  <c r="D84" i="71"/>
  <c r="C83" i="71"/>
  <c r="V24" i="71"/>
  <c r="E23" i="71"/>
  <c r="E22" i="71" s="1"/>
  <c r="E21" i="71" s="1"/>
  <c r="E20" i="71" s="1"/>
  <c r="E19" i="71" s="1"/>
  <c r="E18" i="71" s="1"/>
  <c r="E17" i="71" s="1"/>
  <c r="E16" i="71" s="1"/>
  <c r="BA144" i="3"/>
  <c r="AZ144" i="3" s="1"/>
  <c r="BA153" i="3"/>
  <c r="BL155" i="3"/>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28" i="3" s="1"/>
  <c r="BA31" i="3"/>
  <c r="BA32" i="3"/>
  <c r="G38" i="3"/>
  <c r="BA38" i="3"/>
  <c r="BA41" i="3"/>
  <c r="BA42" i="3"/>
  <c r="G47" i="3"/>
  <c r="BL48" i="3"/>
  <c r="BL54" i="3"/>
  <c r="BL55" i="3"/>
  <c r="AZ55" i="3" s="1"/>
  <c r="G58" i="3"/>
  <c r="BA59" i="3"/>
  <c r="BL61" i="3"/>
  <c r="G64" i="3"/>
  <c r="BA64" i="3"/>
  <c r="AZ64" i="3" s="1"/>
  <c r="G67" i="3"/>
  <c r="BL68" i="3"/>
  <c r="BA69" i="3"/>
  <c r="AZ69" i="3" s="1"/>
  <c r="G72" i="3"/>
  <c r="BL73" i="3"/>
  <c r="BA74" i="3"/>
  <c r="AZ74" i="3" s="1"/>
  <c r="BA75" i="3"/>
  <c r="AZ75" i="3" s="1"/>
  <c r="G81" i="3"/>
  <c r="BL91" i="3"/>
  <c r="BL100" i="3"/>
  <c r="BL105" i="3"/>
  <c r="AZ105" i="3" s="1"/>
  <c r="BL107" i="3"/>
  <c r="B27" i="71"/>
  <c r="B26" i="71" s="1"/>
  <c r="S28" i="71"/>
  <c r="X36" i="71"/>
  <c r="X35" i="71"/>
  <c r="X25" i="71"/>
  <c r="X38" i="71"/>
  <c r="C47" i="71"/>
  <c r="D47" i="71" s="1"/>
  <c r="D46"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AZ73" i="3" s="1"/>
  <c r="BA80" i="3"/>
  <c r="G84" i="3"/>
  <c r="BL84" i="3"/>
  <c r="AZ84" i="3" s="1"/>
  <c r="BA89" i="3"/>
  <c r="BL92" i="3"/>
  <c r="BL94" i="3"/>
  <c r="BL99" i="3"/>
  <c r="G101" i="3"/>
  <c r="BA101" i="3"/>
  <c r="BA102" i="3"/>
  <c r="BL110" i="3"/>
  <c r="BL111" i="3"/>
  <c r="AC21" i="37"/>
  <c r="AA21" i="37"/>
  <c r="S21" i="37"/>
  <c r="P27" i="6"/>
  <c r="D72" i="71"/>
  <c r="C38" i="71"/>
  <c r="C31" i="71"/>
  <c r="Y26" i="71"/>
  <c r="Z26" i="71" s="1"/>
  <c r="C28" i="71"/>
  <c r="Y28" i="71"/>
  <c r="Z28" i="71" s="1"/>
  <c r="Y25" i="71"/>
  <c r="Z25" i="71" s="1"/>
  <c r="C51" i="71"/>
  <c r="D56" i="71"/>
  <c r="T56" i="71"/>
  <c r="T80" i="71"/>
  <c r="C79" i="71"/>
  <c r="G85" i="3"/>
  <c r="BL85" i="3"/>
  <c r="BA86" i="3"/>
  <c r="AZ86" i="3" s="1"/>
  <c r="BA87" i="3"/>
  <c r="AZ87" i="3" s="1"/>
  <c r="BA91" i="3"/>
  <c r="AZ91" i="3" s="1"/>
  <c r="G96" i="3"/>
  <c r="BL97" i="3"/>
  <c r="AZ97" i="3" s="1"/>
  <c r="BL101" i="3"/>
  <c r="BL102" i="3"/>
  <c r="G104" i="3"/>
  <c r="G105" i="3"/>
  <c r="BL106" i="3"/>
  <c r="AZ106" i="3" s="1"/>
  <c r="BA108" i="3"/>
  <c r="AZ108" i="3" s="1"/>
  <c r="BA110" i="3"/>
  <c r="F3" i="35"/>
  <c r="S25" i="40"/>
  <c r="B77" i="43"/>
  <c r="AA18" i="35"/>
  <c r="T60" i="71"/>
  <c r="O66" i="71"/>
  <c r="O67" i="71"/>
  <c r="AB27" i="71"/>
  <c r="C87" i="71"/>
  <c r="E79" i="71"/>
  <c r="E78" i="71" s="1"/>
  <c r="AB25" i="71"/>
  <c r="C43" i="71"/>
  <c r="X26" i="71"/>
  <c r="C35" i="71"/>
  <c r="N68" i="71"/>
  <c r="X33" i="71"/>
  <c r="AB37" i="71"/>
  <c r="V80" i="71"/>
  <c r="AB26" i="71"/>
  <c r="X28" i="71"/>
  <c r="X32" i="71"/>
  <c r="D66" i="71"/>
  <c r="AA30" i="71"/>
  <c r="B32" i="71"/>
  <c r="S32" i="71" s="1"/>
  <c r="AB34" i="71"/>
  <c r="AB31" i="71"/>
  <c r="AB36" i="71"/>
  <c r="AA36" i="71"/>
  <c r="B47" i="71"/>
  <c r="B48" i="71" s="1"/>
  <c r="S48" i="71" s="1"/>
  <c r="B55" i="71"/>
  <c r="B56" i="71" s="1"/>
  <c r="S56" i="71" s="1"/>
  <c r="F71" i="71"/>
  <c r="F70" i="71" s="1"/>
  <c r="F9" i="1"/>
  <c r="G9" i="1" s="1"/>
  <c r="F10" i="1"/>
  <c r="G10" i="1" s="1"/>
  <c r="F8" i="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67" i="3"/>
  <c r="AZ468" i="3"/>
  <c r="W35" i="39"/>
  <c r="F27" i="34"/>
  <c r="C21" i="39"/>
  <c r="U9" i="36"/>
  <c r="U14" i="37"/>
  <c r="H12" i="21"/>
  <c r="G526" i="3"/>
  <c r="AZ420" i="3"/>
  <c r="AZ434" i="3"/>
  <c r="AZ436" i="3"/>
  <c r="AZ446" i="3"/>
  <c r="G28" i="6"/>
  <c r="G30" i="6" s="1"/>
  <c r="G31" i="6" s="1"/>
  <c r="M29" i="1" s="1"/>
  <c r="N29" i="1" s="1"/>
  <c r="U26" i="21"/>
  <c r="W36" i="39"/>
  <c r="U23" i="40"/>
  <c r="AA39" i="37"/>
  <c r="AC16" i="36"/>
  <c r="AB12" i="33"/>
  <c r="C27" i="39"/>
  <c r="U40" i="40"/>
  <c r="AC9" i="40"/>
  <c r="W36" i="35"/>
  <c r="J12" i="21"/>
  <c r="B73" i="43"/>
  <c r="B76" i="43"/>
  <c r="F9" i="36"/>
  <c r="J40" i="40"/>
  <c r="G562" i="3"/>
  <c r="AZ426" i="3"/>
  <c r="AZ463" i="3"/>
  <c r="AZ489"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6" i="3"/>
  <c r="G248" i="3"/>
  <c r="BL268" i="3"/>
  <c r="AZ268" i="3" s="1"/>
  <c r="G278" i="3"/>
  <c r="BA474" i="3"/>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40" i="3"/>
  <c r="AZ48" i="3"/>
  <c r="AZ68" i="3"/>
  <c r="G200" i="3"/>
  <c r="G207" i="3"/>
  <c r="BA23" i="3"/>
  <c r="AZ23" i="3" s="1"/>
  <c r="BA24" i="3"/>
  <c r="AZ24" i="3" s="1"/>
  <c r="BL26" i="3"/>
  <c r="AZ26" i="3" s="1"/>
  <c r="BL32" i="3"/>
  <c r="BA34" i="3"/>
  <c r="AZ34" i="3" s="1"/>
  <c r="BA35" i="3"/>
  <c r="AZ35" i="3" s="1"/>
  <c r="BL37" i="3"/>
  <c r="AZ37" i="3" s="1"/>
  <c r="BL42" i="3"/>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E29" i="6"/>
  <c r="K15" i="1"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F51" i="15"/>
  <c r="F66" i="67"/>
  <c r="F66" i="15"/>
  <c r="Q71" i="67"/>
  <c r="F64" i="15"/>
  <c r="C27" i="67"/>
  <c r="F71" i="67"/>
  <c r="C27" i="15"/>
  <c r="F65" i="15"/>
  <c r="N59" i="67"/>
  <c r="L59" i="67"/>
  <c r="M59" i="67"/>
  <c r="B13" i="70"/>
  <c r="M7" i="67"/>
  <c r="J6" i="67" s="1"/>
  <c r="F50" i="67"/>
  <c r="F68" i="67"/>
  <c r="F64" i="67"/>
  <c r="F68" i="15"/>
  <c r="C36" i="68"/>
  <c r="D9" i="69"/>
  <c r="D9" i="68"/>
  <c r="L48" i="81"/>
  <c r="F16" i="81"/>
  <c r="F42" i="81"/>
  <c r="F13" i="81"/>
  <c r="F37" i="81"/>
  <c r="J15" i="81"/>
  <c r="D5" i="73"/>
  <c r="D4" i="73"/>
  <c r="D7" i="73"/>
  <c r="C16" i="67"/>
  <c r="M24" i="81"/>
  <c r="F9" i="81"/>
  <c r="M23" i="81"/>
  <c r="F7" i="15"/>
  <c r="M23" i="15"/>
  <c r="M28" i="81"/>
  <c r="M22" i="81"/>
  <c r="F6" i="81"/>
  <c r="M8" i="15"/>
  <c r="M26" i="15"/>
  <c r="L48" i="15"/>
  <c r="F43" i="81"/>
  <c r="L47" i="81"/>
  <c r="F38" i="81"/>
  <c r="M6" i="81"/>
  <c r="F36" i="81"/>
  <c r="C76" i="81"/>
  <c r="M9" i="81"/>
  <c r="F43" i="15"/>
  <c r="F42" i="15"/>
  <c r="L47" i="15"/>
  <c r="D3" i="73"/>
  <c r="M29" i="81"/>
  <c r="F40" i="81"/>
  <c r="M26" i="81"/>
  <c r="F26" i="81"/>
  <c r="C76" i="15"/>
  <c r="M29" i="15"/>
  <c r="F7" i="81"/>
  <c r="F8" i="81"/>
  <c r="M8" i="81"/>
  <c r="L48" i="67"/>
  <c r="F9" i="15"/>
  <c r="C6" i="81" l="1"/>
  <c r="C32" i="81" s="1"/>
  <c r="C27" i="81"/>
  <c r="Q71" i="81"/>
  <c r="F65" i="81"/>
  <c r="F64" i="81"/>
  <c r="F51" i="81"/>
  <c r="F66" i="81"/>
  <c r="F68" i="81"/>
  <c r="M59" i="81"/>
  <c r="L59" i="81"/>
  <c r="N59" i="81"/>
  <c r="L58" i="81"/>
  <c r="Q73" i="81" s="1"/>
  <c r="L57" i="81"/>
  <c r="L60" i="81"/>
  <c r="Q57" i="81" s="1"/>
  <c r="J53" i="81"/>
  <c r="Q52" i="81" s="1"/>
  <c r="I54" i="81"/>
  <c r="J57" i="81"/>
  <c r="J55" i="81" s="1"/>
  <c r="J58" i="81" s="1"/>
  <c r="Q50" i="81" s="1"/>
  <c r="L56" i="81"/>
  <c r="M7" i="81"/>
  <c r="J6" i="81" s="1"/>
  <c r="J18" i="81" s="1"/>
  <c r="F50" i="81"/>
  <c r="F71" i="81"/>
  <c r="E13" i="6"/>
  <c r="E12" i="6"/>
  <c r="E57" i="40" s="1"/>
  <c r="E14" i="6"/>
  <c r="E63" i="39" s="1"/>
  <c r="E10" i="6"/>
  <c r="E11" i="6"/>
  <c r="E60" i="39" s="1"/>
  <c r="AZ18" i="3"/>
  <c r="V20" i="1"/>
  <c r="U20" i="1"/>
  <c r="S21" i="1"/>
  <c r="E8" i="6"/>
  <c r="F27" i="6" s="1"/>
  <c r="J7" i="36"/>
  <c r="J53" i="67"/>
  <c r="Q52" i="67" s="1"/>
  <c r="J57" i="67"/>
  <c r="J55" i="67" s="1"/>
  <c r="J58" i="67" s="1"/>
  <c r="Q50" i="67" s="1"/>
  <c r="L56" i="67"/>
  <c r="L58" i="67"/>
  <c r="Q73" i="67" s="1"/>
  <c r="I54" i="67"/>
  <c r="G8" i="1"/>
  <c r="F71" i="15"/>
  <c r="AP6" i="1"/>
  <c r="C36" i="69" s="1"/>
  <c r="O7" i="1"/>
  <c r="P7" i="1" s="1"/>
  <c r="F11" i="81"/>
  <c r="M11" i="81"/>
  <c r="J10" i="81" s="1"/>
  <c r="F48" i="9"/>
  <c r="O52" i="9" s="1"/>
  <c r="F52" i="9"/>
  <c r="F28" i="15"/>
  <c r="C28" i="15" s="1"/>
  <c r="D68" i="9"/>
  <c r="F30" i="68"/>
  <c r="F32" i="67"/>
  <c r="F60" i="67" s="1"/>
  <c r="F54" i="9"/>
  <c r="F28" i="67"/>
  <c r="C28" i="67" s="1"/>
  <c r="F30" i="69"/>
  <c r="F31" i="12"/>
  <c r="C31" i="12" s="1"/>
  <c r="F32" i="15"/>
  <c r="F60" i="15" s="1"/>
  <c r="AZ19" i="3"/>
  <c r="Q16" i="1"/>
  <c r="F27" i="69" s="1"/>
  <c r="F45" i="69" s="1"/>
  <c r="H16" i="1"/>
  <c r="M6" i="1"/>
  <c r="N370" i="46"/>
  <c r="N94" i="46"/>
  <c r="J26" i="43"/>
  <c r="F26" i="43"/>
  <c r="E59" i="40"/>
  <c r="P6" i="1"/>
  <c r="C13" i="12" s="1"/>
  <c r="G16" i="1"/>
  <c r="F10" i="39" s="1"/>
  <c r="S10" i="39" s="1"/>
  <c r="A1" i="79"/>
  <c r="O23" i="43"/>
  <c r="L59" i="15"/>
  <c r="Q61" i="15" s="1"/>
  <c r="N59" i="15"/>
  <c r="L58" i="15"/>
  <c r="Q60" i="15" s="1"/>
  <c r="M59" i="15"/>
  <c r="M7" i="15"/>
  <c r="J6" i="15" s="1"/>
  <c r="J18" i="15" s="1"/>
  <c r="F31" i="15"/>
  <c r="F50" i="15"/>
  <c r="C49" i="15" s="1"/>
  <c r="Q71" i="15"/>
  <c r="J57" i="15"/>
  <c r="J55" i="15" s="1"/>
  <c r="J58" i="15" s="1"/>
  <c r="Q50" i="15" s="1"/>
  <c r="J53" i="15"/>
  <c r="L56" i="15" s="1"/>
  <c r="I54" i="15"/>
  <c r="C36" i="71"/>
  <c r="D35" i="71"/>
  <c r="C78" i="71"/>
  <c r="D78" i="71" s="1"/>
  <c r="D79" i="71"/>
  <c r="C52" i="71"/>
  <c r="D51" i="71"/>
  <c r="C70" i="71"/>
  <c r="D70" i="71" s="1"/>
  <c r="D71" i="71"/>
  <c r="AB24" i="36"/>
  <c r="U24" i="36"/>
  <c r="AA37" i="39"/>
  <c r="S37" i="39"/>
  <c r="AA45" i="21"/>
  <c r="S45" i="21"/>
  <c r="AA25" i="37"/>
  <c r="S25" i="37"/>
  <c r="S29" i="33"/>
  <c r="AA29" i="33"/>
  <c r="E28" i="6"/>
  <c r="K14" i="1" s="1"/>
  <c r="K16" i="1" s="1"/>
  <c r="AZ174" i="3"/>
  <c r="AZ264" i="3"/>
  <c r="AZ475" i="3"/>
  <c r="AZ234" i="3"/>
  <c r="AZ354" i="3"/>
  <c r="C86" i="71"/>
  <c r="D86" i="71" s="1"/>
  <c r="D87" i="71"/>
  <c r="D31" i="71"/>
  <c r="C32" i="71"/>
  <c r="AZ111" i="3"/>
  <c r="AZ25" i="3"/>
  <c r="AZ249" i="3"/>
  <c r="AZ243" i="3"/>
  <c r="AZ282" i="3"/>
  <c r="AZ210" i="3"/>
  <c r="AZ417" i="3"/>
  <c r="AC9" i="36"/>
  <c r="W9" i="36"/>
  <c r="AB25" i="37"/>
  <c r="U25" i="37"/>
  <c r="W32" i="34"/>
  <c r="AC32" i="34"/>
  <c r="E26" i="43"/>
  <c r="H26" i="43"/>
  <c r="C30" i="11"/>
  <c r="AZ99" i="3"/>
  <c r="AZ81" i="3"/>
  <c r="AZ206" i="3"/>
  <c r="AZ138" i="3"/>
  <c r="AZ474" i="3"/>
  <c r="V20" i="71"/>
  <c r="C44" i="71"/>
  <c r="D43" i="71"/>
  <c r="AZ110" i="3"/>
  <c r="D38" i="71"/>
  <c r="C39" i="71"/>
  <c r="AZ102" i="3"/>
  <c r="AZ41" i="3"/>
  <c r="AZ31" i="3"/>
  <c r="C82" i="71"/>
  <c r="D82" i="71" s="1"/>
  <c r="D83" i="71"/>
  <c r="AZ150" i="3"/>
  <c r="N65" i="71"/>
  <c r="N66" i="71"/>
  <c r="AZ118" i="3"/>
  <c r="AZ332" i="3"/>
  <c r="AZ271" i="3"/>
  <c r="AZ238" i="3"/>
  <c r="AZ368" i="3"/>
  <c r="AZ297" i="3"/>
  <c r="AZ241" i="3"/>
  <c r="AZ466" i="3"/>
  <c r="AZ453" i="3"/>
  <c r="AZ471" i="3"/>
  <c r="AZ408" i="3"/>
  <c r="U23" i="35"/>
  <c r="AB23" i="35"/>
  <c r="S24" i="36"/>
  <c r="AA24" i="36"/>
  <c r="AB32" i="36"/>
  <c r="U32" i="36"/>
  <c r="W12" i="35"/>
  <c r="AC12" i="35"/>
  <c r="D20" i="53"/>
  <c r="B40" i="72" s="1"/>
  <c r="G5" i="3"/>
  <c r="B3" i="3" s="1"/>
  <c r="E510" i="3" s="1"/>
  <c r="AZ42" i="3"/>
  <c r="AZ32" i="3"/>
  <c r="AZ36" i="3"/>
  <c r="AZ113" i="3"/>
  <c r="AZ281" i="3"/>
  <c r="AZ253" i="3"/>
  <c r="AZ215" i="3"/>
  <c r="T28" i="71"/>
  <c r="D28" i="71"/>
  <c r="U28" i="71" s="1"/>
  <c r="C27" i="71"/>
  <c r="AZ101" i="3"/>
  <c r="AZ59" i="3"/>
  <c r="AZ178" i="3"/>
  <c r="AZ100" i="3"/>
  <c r="AZ277" i="3"/>
  <c r="AZ397" i="3"/>
  <c r="U12" i="35"/>
  <c r="AB12" i="35"/>
  <c r="U12" i="34"/>
  <c r="AB12" i="34"/>
  <c r="AA27" i="21"/>
  <c r="S27" i="2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M28" i="1" s="1"/>
  <c r="N28" i="1" s="1"/>
  <c r="N27" i="1" s="1"/>
  <c r="E51" i="40"/>
  <c r="E16" i="6"/>
  <c r="E58" i="40"/>
  <c r="E62" i="39"/>
  <c r="D5" i="43"/>
  <c r="H10" i="40"/>
  <c r="AB10" i="40" s="1"/>
  <c r="C7" i="43"/>
  <c r="C5" i="43" s="1"/>
  <c r="D10" i="52"/>
  <c r="D125" i="9"/>
  <c r="D11" i="52" s="1"/>
  <c r="B7" i="74"/>
  <c r="C7" i="74" s="1"/>
  <c r="F59" i="67"/>
  <c r="H7" i="37"/>
  <c r="AB7" i="37" s="1"/>
  <c r="T42" i="37" s="1"/>
  <c r="G42" i="37" s="1"/>
  <c r="AA10" i="39"/>
  <c r="H7" i="33"/>
  <c r="J7" i="33"/>
  <c r="D65" i="40"/>
  <c r="E63" i="40"/>
  <c r="F48" i="35"/>
  <c r="S7" i="36"/>
  <c r="AA7" i="36"/>
  <c r="R36" i="36" s="1"/>
  <c r="AC7" i="37"/>
  <c r="W7" i="37"/>
  <c r="U7" i="36"/>
  <c r="F7" i="33"/>
  <c r="E58" i="21"/>
  <c r="AC7" i="36"/>
  <c r="V36" i="36" s="1"/>
  <c r="I36" i="36" s="1"/>
  <c r="W7" i="36"/>
  <c r="F7" i="37"/>
  <c r="M17" i="67"/>
  <c r="F59" i="15"/>
  <c r="P28" i="43"/>
  <c r="B66" i="40" s="1"/>
  <c r="P25" i="43"/>
  <c r="C49" i="67"/>
  <c r="P29" i="43"/>
  <c r="P27" i="43"/>
  <c r="B70" i="39" s="1"/>
  <c r="C32" i="67"/>
  <c r="M11" i="67"/>
  <c r="J10" i="67" s="1"/>
  <c r="J5" i="67" s="1"/>
  <c r="F11" i="15"/>
  <c r="M11" i="15"/>
  <c r="J10" i="15" s="1"/>
  <c r="F11" i="67"/>
  <c r="J18" i="67"/>
  <c r="Q61" i="67"/>
  <c r="Q74" i="67"/>
  <c r="AE11" i="1"/>
  <c r="AE9" i="1"/>
  <c r="F27" i="68"/>
  <c r="AE8" i="1"/>
  <c r="AE12" i="1"/>
  <c r="AE10" i="1"/>
  <c r="AE7" i="1"/>
  <c r="C16" i="81"/>
  <c r="G1" i="73"/>
  <c r="C16" i="15"/>
  <c r="F41" i="67"/>
  <c r="F41" i="81"/>
  <c r="C49" i="81" l="1"/>
  <c r="C61" i="81" s="1"/>
  <c r="Q66" i="81"/>
  <c r="F1" i="81"/>
  <c r="C33" i="81"/>
  <c r="J5" i="81"/>
  <c r="J26" i="81" s="1"/>
  <c r="J29" i="81" s="1"/>
  <c r="J19" i="81"/>
  <c r="Q60" i="81"/>
  <c r="Q74" i="81"/>
  <c r="Q61" i="81"/>
  <c r="S22" i="1"/>
  <c r="V21" i="1"/>
  <c r="U21" i="1"/>
  <c r="X6" i="3"/>
  <c r="F1" i="67"/>
  <c r="Q60" i="67"/>
  <c r="C29" i="69"/>
  <c r="D27" i="69" s="1"/>
  <c r="C47" i="69"/>
  <c r="D45" i="69" s="1"/>
  <c r="O6" i="1"/>
  <c r="E577" i="3"/>
  <c r="E231" i="3"/>
  <c r="E280" i="3"/>
  <c r="F69" i="81"/>
  <c r="C53" i="81"/>
  <c r="C10" i="81"/>
  <c r="C5" i="81" s="1"/>
  <c r="D26" i="43"/>
  <c r="C25" i="43" s="1"/>
  <c r="C33" i="43" s="1"/>
  <c r="F48" i="69"/>
  <c r="C30" i="69"/>
  <c r="C48" i="69"/>
  <c r="F48" i="68"/>
  <c r="C48" i="68"/>
  <c r="C30" i="68"/>
  <c r="J10" i="40"/>
  <c r="AC10" i="40" s="1"/>
  <c r="E30" i="6"/>
  <c r="E139" i="3"/>
  <c r="E478" i="3"/>
  <c r="E526" i="3"/>
  <c r="E117" i="3"/>
  <c r="E161" i="3"/>
  <c r="E70" i="3"/>
  <c r="E277" i="3"/>
  <c r="E143" i="3"/>
  <c r="E318" i="3"/>
  <c r="E229" i="3"/>
  <c r="E215" i="3"/>
  <c r="AO6" i="3"/>
  <c r="E399" i="3"/>
  <c r="E530" i="3"/>
  <c r="E527" i="3"/>
  <c r="E166" i="3"/>
  <c r="E369" i="3"/>
  <c r="E487" i="3"/>
  <c r="E242" i="3"/>
  <c r="E201" i="3"/>
  <c r="E362" i="3"/>
  <c r="E180" i="3"/>
  <c r="E162" i="3"/>
  <c r="E583" i="3"/>
  <c r="E252" i="3"/>
  <c r="AY6" i="3"/>
  <c r="AY228" i="3" s="1"/>
  <c r="E275" i="3"/>
  <c r="E246" i="3"/>
  <c r="E535" i="3"/>
  <c r="E335" i="3"/>
  <c r="E247" i="3"/>
  <c r="E217" i="3"/>
  <c r="E28" i="3"/>
  <c r="Z6" i="3"/>
  <c r="E315" i="3"/>
  <c r="E587" i="3"/>
  <c r="E228" i="3"/>
  <c r="E124" i="3"/>
  <c r="E503" i="3"/>
  <c r="E380" i="3"/>
  <c r="E337" i="3"/>
  <c r="E175" i="3"/>
  <c r="E27" i="3"/>
  <c r="E515" i="3"/>
  <c r="E150" i="3"/>
  <c r="E193" i="3"/>
  <c r="E336" i="3"/>
  <c r="E230" i="3"/>
  <c r="E516" i="3"/>
  <c r="E121" i="3"/>
  <c r="E203" i="3"/>
  <c r="E302" i="3"/>
  <c r="E319" i="3"/>
  <c r="E39" i="3"/>
  <c r="E463" i="3"/>
  <c r="E96" i="3"/>
  <c r="E131" i="3"/>
  <c r="E119" i="3"/>
  <c r="E423" i="3"/>
  <c r="E563" i="3"/>
  <c r="M6" i="3"/>
  <c r="E509" i="3"/>
  <c r="E377" i="3"/>
  <c r="E557" i="3"/>
  <c r="E89" i="3"/>
  <c r="E146" i="3"/>
  <c r="E472" i="3"/>
  <c r="E181" i="3"/>
  <c r="E350" i="3"/>
  <c r="E528" i="3"/>
  <c r="E561" i="3"/>
  <c r="E388" i="3"/>
  <c r="E384" i="3"/>
  <c r="AS6" i="3"/>
  <c r="E271" i="3"/>
  <c r="E450" i="3"/>
  <c r="E45" i="3"/>
  <c r="E578" i="3"/>
  <c r="E294" i="3"/>
  <c r="E553" i="3"/>
  <c r="E448" i="3"/>
  <c r="E429" i="3"/>
  <c r="E565" i="3"/>
  <c r="E411" i="3"/>
  <c r="E250" i="3"/>
  <c r="E324" i="3"/>
  <c r="E249" i="3"/>
  <c r="O6" i="3"/>
  <c r="E66" i="3"/>
  <c r="E15" i="3"/>
  <c r="E113" i="3"/>
  <c r="E118" i="3"/>
  <c r="E378" i="3"/>
  <c r="E248" i="3"/>
  <c r="E94" i="3"/>
  <c r="E219" i="3"/>
  <c r="E148" i="3"/>
  <c r="E263" i="3"/>
  <c r="E278" i="3"/>
  <c r="E570" i="3"/>
  <c r="AJ6" i="3"/>
  <c r="E273" i="3"/>
  <c r="E345" i="3"/>
  <c r="E368" i="3"/>
  <c r="E106" i="3"/>
  <c r="E560" i="3"/>
  <c r="E568" i="3"/>
  <c r="E301" i="3"/>
  <c r="E261" i="3"/>
  <c r="AR6" i="3"/>
  <c r="E508" i="3"/>
  <c r="E331" i="3"/>
  <c r="E505" i="3"/>
  <c r="E31" i="3"/>
  <c r="E571" i="3"/>
  <c r="E314" i="3"/>
  <c r="E290" i="3"/>
  <c r="V6" i="3"/>
  <c r="E30" i="3"/>
  <c r="E164" i="3"/>
  <c r="E177" i="3"/>
  <c r="E285" i="3"/>
  <c r="E471" i="3"/>
  <c r="E552" i="3"/>
  <c r="E412" i="3"/>
  <c r="E292" i="3"/>
  <c r="E403" i="3"/>
  <c r="E82" i="3"/>
  <c r="E312" i="3"/>
  <c r="AQ6" i="3"/>
  <c r="E393" i="3"/>
  <c r="E205" i="3"/>
  <c r="E355" i="3"/>
  <c r="E255" i="3"/>
  <c r="E395" i="3"/>
  <c r="E151" i="3"/>
  <c r="E366" i="3"/>
  <c r="E444" i="3"/>
  <c r="E256" i="3"/>
  <c r="E128" i="3"/>
  <c r="E321" i="3"/>
  <c r="E92" i="3"/>
  <c r="E438" i="3"/>
  <c r="E464" i="3"/>
  <c r="E123" i="3"/>
  <c r="J6" i="3"/>
  <c r="E13" i="3"/>
  <c r="E81" i="3"/>
  <c r="E152" i="3"/>
  <c r="F1" i="15"/>
  <c r="F10" i="40"/>
  <c r="S10" i="40" s="1"/>
  <c r="M14" i="1"/>
  <c r="M16" i="1" s="1"/>
  <c r="E269" i="3"/>
  <c r="E111" i="3"/>
  <c r="E458" i="3"/>
  <c r="E85" i="3"/>
  <c r="E382" i="3"/>
  <c r="E415" i="3"/>
  <c r="E551" i="3"/>
  <c r="E239" i="3"/>
  <c r="E334" i="3"/>
  <c r="E581" i="3"/>
  <c r="E580" i="3"/>
  <c r="E424" i="3"/>
  <c r="E402" i="3"/>
  <c r="E506" i="3"/>
  <c r="AM6" i="3"/>
  <c r="E145" i="3"/>
  <c r="E504" i="3"/>
  <c r="E284" i="3"/>
  <c r="E524" i="3"/>
  <c r="E60" i="3"/>
  <c r="E188" i="3"/>
  <c r="E451" i="3"/>
  <c r="E42" i="3"/>
  <c r="E46" i="3"/>
  <c r="E466" i="3"/>
  <c r="H10" i="39"/>
  <c r="U10" i="39" s="1"/>
  <c r="P6" i="3"/>
  <c r="E32" i="3"/>
  <c r="E496" i="3"/>
  <c r="E330" i="3"/>
  <c r="AA6" i="3"/>
  <c r="E221" i="3"/>
  <c r="E298" i="3"/>
  <c r="E97" i="3"/>
  <c r="E501" i="3"/>
  <c r="E126" i="3"/>
  <c r="E548" i="3"/>
  <c r="E208" i="3"/>
  <c r="E352" i="3"/>
  <c r="E459" i="3"/>
  <c r="E375" i="3"/>
  <c r="E520" i="3"/>
  <c r="E90" i="3"/>
  <c r="E364" i="3"/>
  <c r="E170" i="3"/>
  <c r="E178" i="3"/>
  <c r="E427" i="3"/>
  <c r="E232" i="3"/>
  <c r="E26" i="3"/>
  <c r="E525" i="3"/>
  <c r="E383" i="3"/>
  <c r="E513" i="3"/>
  <c r="E492" i="3"/>
  <c r="E544" i="3"/>
  <c r="E517" i="3"/>
  <c r="E212" i="3"/>
  <c r="E481" i="3"/>
  <c r="E434" i="3"/>
  <c r="E303" i="3"/>
  <c r="E304" i="3"/>
  <c r="E523" i="3"/>
  <c r="E328" i="3"/>
  <c r="E317" i="3"/>
  <c r="E547" i="3"/>
  <c r="E93" i="3"/>
  <c r="E313" i="3"/>
  <c r="E154" i="3"/>
  <c r="E341" i="3"/>
  <c r="E138" i="3"/>
  <c r="E521" i="3"/>
  <c r="E176" i="3"/>
  <c r="E299" i="3"/>
  <c r="E346" i="3"/>
  <c r="E440" i="3"/>
  <c r="E326" i="3"/>
  <c r="E225" i="3"/>
  <c r="E456" i="3"/>
  <c r="E206" i="3"/>
  <c r="E281" i="3"/>
  <c r="E33" i="3"/>
  <c r="E484" i="3"/>
  <c r="E479" i="3"/>
  <c r="E499" i="3"/>
  <c r="Q73" i="15"/>
  <c r="Q52" i="15"/>
  <c r="J10" i="39"/>
  <c r="W10" i="39" s="1"/>
  <c r="J5" i="15"/>
  <c r="J24" i="15" s="1"/>
  <c r="Q74" i="15"/>
  <c r="M17" i="15"/>
  <c r="F67" i="39"/>
  <c r="T32" i="71"/>
  <c r="D32" i="71"/>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C40" i="71"/>
  <c r="D39" i="71"/>
  <c r="D44" i="71"/>
  <c r="T44" i="71"/>
  <c r="E3" i="6"/>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26" i="71"/>
  <c r="D26" i="71" s="1"/>
  <c r="D27"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D36" i="71"/>
  <c r="T3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M27" i="1" s="1"/>
  <c r="L27" i="1" s="1"/>
  <c r="L26" i="1" s="1"/>
  <c r="K24" i="6"/>
  <c r="K19" i="6"/>
  <c r="S6" i="1" s="1"/>
  <c r="O14" i="1"/>
  <c r="O16" i="1" s="1"/>
  <c r="AY488" i="3"/>
  <c r="AY481" i="3"/>
  <c r="AY480" i="3"/>
  <c r="AY223" i="3"/>
  <c r="AY119" i="3"/>
  <c r="AY490" i="3"/>
  <c r="AY492" i="3"/>
  <c r="AY575" i="3"/>
  <c r="AY39" i="3"/>
  <c r="AY375" i="3"/>
  <c r="AY434" i="3"/>
  <c r="AY545" i="3"/>
  <c r="AY164" i="3"/>
  <c r="AY477" i="3"/>
  <c r="D37" i="11"/>
  <c r="C39" i="43"/>
  <c r="C42" i="43"/>
  <c r="E42" i="43" s="1"/>
  <c r="C38" i="43"/>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AE6" i="1"/>
  <c r="M27" i="81"/>
  <c r="M27" i="67"/>
  <c r="C48" i="81" l="1"/>
  <c r="D19" i="11"/>
  <c r="C19" i="11" s="1"/>
  <c r="H15" i="80"/>
  <c r="J24" i="81"/>
  <c r="AY408" i="3"/>
  <c r="AY396" i="3"/>
  <c r="AY330" i="3"/>
  <c r="AY298" i="3"/>
  <c r="AY424" i="3"/>
  <c r="AY436" i="3"/>
  <c r="AY294" i="3"/>
  <c r="AY301" i="3"/>
  <c r="AY567" i="3"/>
  <c r="AY203" i="3"/>
  <c r="AY511" i="3"/>
  <c r="BR6" i="3"/>
  <c r="AY340" i="3"/>
  <c r="AY303" i="3"/>
  <c r="S23" i="1"/>
  <c r="V22" i="1"/>
  <c r="U22" i="1"/>
  <c r="D3" i="37"/>
  <c r="D14" i="12"/>
  <c r="D17" i="12" s="1"/>
  <c r="C17" i="12" s="1"/>
  <c r="B14" i="74"/>
  <c r="H18" i="80"/>
  <c r="H22" i="80"/>
  <c r="H26" i="80"/>
  <c r="H30" i="80"/>
  <c r="H34" i="80"/>
  <c r="H19" i="80"/>
  <c r="H23" i="80"/>
  <c r="H27" i="80"/>
  <c r="H31" i="80"/>
  <c r="H16" i="80"/>
  <c r="H20" i="80"/>
  <c r="H24" i="80"/>
  <c r="H28" i="80"/>
  <c r="H32" i="80"/>
  <c r="H17" i="80"/>
  <c r="H21" i="80"/>
  <c r="H25" i="80"/>
  <c r="H29" i="80"/>
  <c r="H33" i="80"/>
  <c r="L36" i="43"/>
  <c r="L37" i="43" s="1"/>
  <c r="P37" i="43" s="1"/>
  <c r="F24" i="81"/>
  <c r="C38" i="81"/>
  <c r="C66" i="81"/>
  <c r="C60" i="81"/>
  <c r="W10" i="40"/>
  <c r="AY351" i="3"/>
  <c r="AY54" i="3"/>
  <c r="AY485" i="3"/>
  <c r="AY172" i="3"/>
  <c r="AY515" i="3"/>
  <c r="AY476" i="3"/>
  <c r="AY267" i="3"/>
  <c r="AY15" i="3"/>
  <c r="AY272" i="3"/>
  <c r="AY576" i="3"/>
  <c r="AY383" i="3"/>
  <c r="AY47" i="3"/>
  <c r="AY17" i="3"/>
  <c r="AY336" i="3"/>
  <c r="AY142" i="3"/>
  <c r="BD6" i="3"/>
  <c r="AY338" i="3"/>
  <c r="AY179" i="3"/>
  <c r="AY376" i="3"/>
  <c r="AY499" i="3"/>
  <c r="AY169" i="3"/>
  <c r="AY181" i="3"/>
  <c r="AY455" i="3"/>
  <c r="AY40" i="3"/>
  <c r="AY334" i="3"/>
  <c r="AY388" i="3"/>
  <c r="AY28" i="3"/>
  <c r="AY87" i="3"/>
  <c r="AY566" i="3"/>
  <c r="AY240" i="3"/>
  <c r="AY107" i="3"/>
  <c r="AY359" i="3"/>
  <c r="AY62" i="3"/>
  <c r="AY538" i="3"/>
  <c r="AY320" i="3"/>
  <c r="AY153" i="3"/>
  <c r="AY432" i="3"/>
  <c r="AY136" i="3"/>
  <c r="AY13" i="3"/>
  <c r="AY233" i="3"/>
  <c r="AY563" i="3"/>
  <c r="AY431" i="3"/>
  <c r="AY352" i="3"/>
  <c r="AY32" i="3"/>
  <c r="AY429" i="3"/>
  <c r="AY367" i="3"/>
  <c r="AY70" i="3"/>
  <c r="AY127" i="3"/>
  <c r="AY442" i="3"/>
  <c r="AY96" i="3"/>
  <c r="AY270" i="3"/>
  <c r="AY49" i="3"/>
  <c r="AY271" i="3"/>
  <c r="BG6" i="3"/>
  <c r="AY166" i="3"/>
  <c r="BK6" i="3"/>
  <c r="AY400" i="3"/>
  <c r="AY293" i="3"/>
  <c r="AY547" i="3"/>
  <c r="AY248" i="3"/>
  <c r="AY493" i="3"/>
  <c r="AY415" i="3"/>
  <c r="AY337" i="3"/>
  <c r="AY21" i="3"/>
  <c r="AY322" i="3"/>
  <c r="AY195" i="3"/>
  <c r="AY440" i="3"/>
  <c r="AY120" i="3"/>
  <c r="AY530" i="3"/>
  <c r="AY450" i="3"/>
  <c r="AY218" i="3"/>
  <c r="AY586" i="3"/>
  <c r="AY448" i="3"/>
  <c r="AY256" i="3"/>
  <c r="AY587" i="3"/>
  <c r="AY78" i="3"/>
  <c r="AY328" i="3"/>
  <c r="AY552" i="3"/>
  <c r="AY20" i="3"/>
  <c r="AY527" i="3"/>
  <c r="AY53" i="3"/>
  <c r="BQ6" i="3"/>
  <c r="AY554" i="3"/>
  <c r="D3" i="34"/>
  <c r="D3" i="33"/>
  <c r="E6" i="6"/>
  <c r="D10" i="69" s="1"/>
  <c r="C17" i="4"/>
  <c r="B4" i="52" s="1"/>
  <c r="B43" i="72" s="1"/>
  <c r="M18" i="9"/>
  <c r="B118" i="9" s="1"/>
  <c r="B1" i="74" s="1"/>
  <c r="D3" i="21"/>
  <c r="L18" i="9"/>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BH6" i="3"/>
  <c r="AY56" i="3"/>
  <c r="AY177" i="3"/>
  <c r="AY259" i="3"/>
  <c r="AY353" i="3"/>
  <c r="AY332" i="3"/>
  <c r="AY472" i="3"/>
  <c r="AY398" i="3"/>
  <c r="BM6" i="3"/>
  <c r="AY571" i="3"/>
  <c r="AY501" i="3"/>
  <c r="AY163" i="3"/>
  <c r="AY486" i="3"/>
  <c r="AY244" i="3"/>
  <c r="AY447" i="3"/>
  <c r="BO6" i="3"/>
  <c r="AY36" i="3"/>
  <c r="AY157" i="3"/>
  <c r="AY239" i="3"/>
  <c r="BS6" i="3"/>
  <c r="AY186" i="3"/>
  <c r="AY226" i="3"/>
  <c r="AY467" i="3"/>
  <c r="AY403" i="3"/>
  <c r="AY518" i="3"/>
  <c r="AY577" i="3"/>
  <c r="AY82" i="3"/>
  <c r="AY147" i="3"/>
  <c r="AY497" i="3"/>
  <c r="AY379" i="3"/>
  <c r="AY417" i="3"/>
  <c r="AY100" i="3"/>
  <c r="AY198" i="3"/>
  <c r="AY134" i="3"/>
  <c r="AY227"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4" i="3"/>
  <c r="AY95" i="3"/>
  <c r="AY111" i="3"/>
  <c r="AY382" i="3"/>
  <c r="AY196" i="3"/>
  <c r="AY204" i="3"/>
  <c r="AY470" i="3"/>
  <c r="AY180" i="3"/>
  <c r="AY358" i="3"/>
  <c r="AY433" i="3"/>
  <c r="AY541" i="3"/>
  <c r="AY45" i="3"/>
  <c r="AY201" i="3"/>
  <c r="AY118" i="3"/>
  <c r="AY231" i="3"/>
  <c r="AY381"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176" i="3"/>
  <c r="AY188" i="3"/>
  <c r="AY297" i="3"/>
  <c r="AY335" i="3"/>
  <c r="AY289" i="3"/>
  <c r="AY209" i="3"/>
  <c r="AY441" i="3"/>
  <c r="AY260" i="3"/>
  <c r="AY310" i="3"/>
  <c r="AY549" i="3"/>
  <c r="AY97" i="3"/>
  <c r="AY44" i="3"/>
  <c r="AY154" i="3"/>
  <c r="AY283" i="3"/>
  <c r="AY230"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54" i="3"/>
  <c r="AY241" i="3"/>
  <c r="AY184" i="3"/>
  <c r="AY517" i="3"/>
  <c r="AY264" i="3"/>
  <c r="BA6" i="3"/>
  <c r="AY423" i="3"/>
  <c r="AY345" i="3"/>
  <c r="AY37" i="3"/>
  <c r="AY503" i="3"/>
  <c r="AY507" i="3"/>
  <c r="AY539" i="3"/>
  <c r="AY292" i="3"/>
  <c r="AY435" i="3"/>
  <c r="AY389" i="3"/>
  <c r="AY574" i="3"/>
  <c r="AY90" i="3"/>
  <c r="AY430" i="3"/>
  <c r="AY290" i="3"/>
  <c r="AY214" i="3"/>
  <c r="AY108" i="3"/>
  <c r="AY409" i="3"/>
  <c r="AY253" i="3"/>
  <c r="AC10" i="39"/>
  <c r="AB10" i="39"/>
  <c r="AY363" i="3"/>
  <c r="AY152"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91" i="3"/>
  <c r="AY128" i="3"/>
  <c r="AY55" i="3"/>
  <c r="AY314" i="3"/>
  <c r="AY187" i="3"/>
  <c r="AY502" i="3"/>
  <c r="AY484" i="3"/>
  <c r="AY282" i="3"/>
  <c r="AY514" i="3"/>
  <c r="AY215" i="3"/>
  <c r="AY141" i="3"/>
  <c r="AY212" i="3"/>
  <c r="AY556" i="3"/>
  <c r="AY243" i="3"/>
  <c r="AY146" i="3"/>
  <c r="AY199" i="3"/>
  <c r="BF6" i="3"/>
  <c r="AY348" i="3"/>
  <c r="AY73" i="3"/>
  <c r="AY138" i="3"/>
  <c r="AY465" i="3"/>
  <c r="AY74" i="3"/>
  <c r="AY144" i="3"/>
  <c r="H6" i="3"/>
  <c r="AC6" i="3"/>
  <c r="D116" i="43"/>
  <c r="F25" i="12"/>
  <c r="C26" i="12" s="1"/>
  <c r="D25" i="12" s="1"/>
  <c r="T40" i="71"/>
  <c r="D40" i="71"/>
  <c r="F22" i="68"/>
  <c r="C44" i="68" s="1"/>
  <c r="D41" i="68" s="1"/>
  <c r="F22" i="11"/>
  <c r="C23" i="11" s="1"/>
  <c r="F24" i="67"/>
  <c r="C24" i="67" s="1"/>
  <c r="F24" i="15"/>
  <c r="C24" i="15" s="1"/>
  <c r="F22" i="69"/>
  <c r="F41" i="69" s="1"/>
  <c r="E49" i="34"/>
  <c r="E54" i="34" s="1"/>
  <c r="F54" i="34"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21" i="6"/>
  <c r="D24" i="6"/>
  <c r="D26" i="6"/>
  <c r="D8" i="6"/>
  <c r="D9" i="6"/>
  <c r="D10" i="6"/>
  <c r="H21" i="6"/>
  <c r="D19" i="6"/>
  <c r="D5" i="6"/>
  <c r="D12"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34" i="69"/>
  <c r="D10" i="68"/>
  <c r="F41" i="15"/>
  <c r="C17" i="15"/>
  <c r="C17" i="81"/>
  <c r="C17" i="67"/>
  <c r="C14" i="67"/>
  <c r="D15" i="6" l="1"/>
  <c r="C14" i="74"/>
  <c r="F69" i="15"/>
  <c r="AG6" i="1"/>
  <c r="D13" i="6"/>
  <c r="D23" i="6"/>
  <c r="D29" i="6"/>
  <c r="D6" i="6"/>
  <c r="M19" i="9"/>
  <c r="C118" i="9" s="1"/>
  <c r="B2" i="74" s="1"/>
  <c r="D22" i="6"/>
  <c r="H26" i="6"/>
  <c r="D11" i="6"/>
  <c r="C18" i="4"/>
  <c r="L19" i="9"/>
  <c r="D14" i="6"/>
  <c r="D20" i="6"/>
  <c r="D27" i="6" s="1"/>
  <c r="S24" i="1"/>
  <c r="U23" i="1"/>
  <c r="V23" i="1"/>
  <c r="N36" i="43"/>
  <c r="O37" i="43"/>
  <c r="Q37" i="43"/>
  <c r="Q36" i="43"/>
  <c r="M37" i="43"/>
  <c r="P36" i="43"/>
  <c r="O36" i="43"/>
  <c r="N37" i="43"/>
  <c r="M36" i="43"/>
  <c r="E7" i="70"/>
  <c r="C24" i="81"/>
  <c r="D30" i="6"/>
  <c r="H24" i="6"/>
  <c r="R24" i="6" s="1"/>
  <c r="R11" i="1" s="1"/>
  <c r="E6" i="3"/>
  <c r="H22" i="6"/>
  <c r="R22" i="6" s="1"/>
  <c r="R9" i="1" s="1"/>
  <c r="C26" i="68"/>
  <c r="D22" i="68" s="1"/>
  <c r="F41" i="68"/>
  <c r="C44" i="11"/>
  <c r="D41" i="11" s="1"/>
  <c r="I54" i="34"/>
  <c r="J54" i="34" s="1"/>
  <c r="H25" i="6"/>
  <c r="R25" i="6" s="1"/>
  <c r="R12" i="1" s="1"/>
  <c r="E53" i="34"/>
  <c r="F53" i="34" s="1"/>
  <c r="C26" i="11"/>
  <c r="D22" i="11" s="1"/>
  <c r="C25" i="11"/>
  <c r="C24" i="11"/>
  <c r="C44" i="69"/>
  <c r="D41" i="69" s="1"/>
  <c r="C26" i="69"/>
  <c r="D22" i="69" s="1"/>
  <c r="C16" i="71"/>
  <c r="D17" i="71"/>
  <c r="C18" i="67"/>
  <c r="C15" i="67"/>
  <c r="H23" i="6"/>
  <c r="R23" i="6" s="1"/>
  <c r="R10" i="1" s="1"/>
  <c r="C30" i="43"/>
  <c r="B2"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6" i="6"/>
  <c r="C15" i="12"/>
  <c r="C12" i="12"/>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67"/>
  <c r="J19" i="67"/>
  <c r="C34" i="68"/>
  <c r="M27" i="15"/>
  <c r="C14" i="15"/>
  <c r="E6" i="76"/>
  <c r="C14" i="81"/>
  <c r="B6" i="76"/>
  <c r="D31" i="6" l="1"/>
  <c r="D16" i="6"/>
  <c r="R20" i="6"/>
  <c r="R7" i="1" s="1"/>
  <c r="U24" i="1"/>
  <c r="U27" i="1" s="1"/>
  <c r="Q27" i="1" s="1"/>
  <c r="V24" i="1"/>
  <c r="V27" i="1" s="1"/>
  <c r="S27" i="1"/>
  <c r="B3" i="43"/>
  <c r="C6" i="68"/>
  <c r="C15" i="81"/>
  <c r="C18" i="8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15"/>
  <c r="T27" i="1" l="1"/>
  <c r="C6" i="15"/>
  <c r="C7" i="68"/>
  <c r="C5" i="68" s="1"/>
  <c r="C19" i="81"/>
  <c r="C20" i="81" s="1"/>
  <c r="C23" i="8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10" i="15" l="1"/>
  <c r="C5" i="15" s="1"/>
  <c r="C38" i="15" s="1"/>
  <c r="C32" i="15"/>
  <c r="C33" i="15"/>
  <c r="C23" i="68"/>
  <c r="C20" i="68"/>
  <c r="C28" i="68" s="1"/>
  <c r="C27" i="68" s="1"/>
  <c r="C26" i="81"/>
  <c r="C29" i="8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J65" i="40"/>
  <c r="K63" i="40"/>
  <c r="I52" i="21"/>
  <c r="J52" i="21" s="1"/>
  <c r="U7" i="35"/>
  <c r="AB7" i="35"/>
  <c r="T38" i="35" s="1"/>
  <c r="G38" i="35" s="1"/>
  <c r="G52" i="21"/>
  <c r="H52" i="21" s="1"/>
  <c r="G53" i="21"/>
  <c r="H53" i="21" s="1"/>
  <c r="F7" i="35"/>
  <c r="M21" i="15"/>
  <c r="F35" i="67"/>
  <c r="F35" i="15"/>
  <c r="F35" i="81"/>
  <c r="M21" i="67"/>
  <c r="M21" i="81"/>
  <c r="C22" i="68" l="1"/>
  <c r="C31" i="68" s="1"/>
  <c r="C57" i="81"/>
  <c r="C64" i="81" s="1"/>
  <c r="J59" i="81"/>
  <c r="J60" i="81" s="1"/>
  <c r="Q49" i="81"/>
  <c r="C13" i="81"/>
  <c r="J14" i="81"/>
  <c r="C36" i="81"/>
  <c r="J20" i="81"/>
  <c r="J17" i="81" s="1"/>
  <c r="C34" i="81"/>
  <c r="C31" i="81" s="1"/>
  <c r="F63" i="81"/>
  <c r="C62" i="81" s="1"/>
  <c r="C59" i="81"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52" i="68" l="1"/>
  <c r="B2" i="68" s="1"/>
  <c r="B3" i="68" s="1"/>
  <c r="C37" i="81"/>
  <c r="C30" i="81" s="1"/>
  <c r="C39" i="81" s="1"/>
  <c r="Q70" i="81"/>
  <c r="C56" i="81"/>
  <c r="C65" i="81" s="1"/>
  <c r="C58" i="81" s="1"/>
  <c r="C67" i="81" s="1"/>
  <c r="C68" i="81" s="1"/>
  <c r="C71" i="81" s="1"/>
  <c r="C75" i="81"/>
  <c r="Q48" i="81"/>
  <c r="L46" i="81"/>
  <c r="J13" i="81"/>
  <c r="J23" i="81" s="1"/>
  <c r="J22" i="8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L51" i="81"/>
  <c r="D2" i="21"/>
  <c r="C20" i="9"/>
  <c r="C21" i="9" l="1"/>
  <c r="C102" i="9"/>
  <c r="C103" i="9"/>
  <c r="J16" i="81"/>
  <c r="J25" i="81" s="1"/>
  <c r="Q69" i="81"/>
  <c r="Q68" i="81" s="1"/>
  <c r="C40" i="81"/>
  <c r="Q47" i="81" s="1"/>
  <c r="Q53" i="81" s="1"/>
  <c r="C80" i="81"/>
  <c r="C79" i="81" s="1"/>
  <c r="Q67"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83" i="81" l="1"/>
  <c r="C82" i="81" s="1"/>
  <c r="C46" i="81"/>
  <c r="Q65" i="81"/>
  <c r="Q75" i="81" s="1"/>
  <c r="B2" i="81"/>
  <c r="B3" i="81" s="1"/>
  <c r="Q56" i="81"/>
  <c r="Q62" i="81" s="1"/>
  <c r="C43"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2" i="34"/>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12" i="1"/>
  <c r="AO7" i="1"/>
  <c r="AO10" i="1"/>
  <c r="AO9"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2" i="72"/>
  <c r="D14" i="53"/>
  <c r="B31" i="72"/>
  <c r="D15" i="53"/>
  <c r="B48" i="72"/>
  <c r="E4" i="52"/>
  <c r="M64" i="9"/>
  <c r="L64" i="9"/>
  <c r="B49" i="72"/>
  <c r="D5" i="52"/>
  <c r="D119" i="9"/>
  <c r="D13" i="53"/>
  <c r="B30" i="72"/>
  <c r="B20" i="72"/>
  <c r="M66" i="9"/>
  <c r="L66" i="9"/>
  <c r="C96" i="9"/>
  <c r="E96" i="9"/>
  <c r="E97" i="9"/>
  <c r="C86" i="9"/>
  <c r="C93" i="9"/>
  <c r="M65" i="9"/>
  <c r="L65" i="9"/>
  <c r="P57" i="9"/>
  <c r="D55" i="9"/>
  <c r="M53" i="9"/>
  <c r="N57" i="9"/>
  <c r="N58" i="9"/>
  <c r="B21" i="72"/>
  <c r="D7" i="53"/>
  <c r="B47" i="72"/>
  <c r="E118" i="9"/>
  <c r="D118" i="9"/>
  <c r="D4" i="52"/>
  <c r="H5" i="52"/>
  <c r="H119" i="9"/>
  <c r="C104" i="9"/>
  <c r="H4" i="52"/>
  <c r="B51" i="72"/>
  <c r="F4" i="52"/>
  <c r="B52" i="72"/>
  <c r="G4" i="52"/>
  <c r="H102" i="9"/>
  <c r="C5" i="74"/>
  <c r="D8" i="52"/>
  <c r="M54" i="9"/>
  <c r="C85" i="9"/>
  <c r="C95" i="9"/>
  <c r="C97" i="9"/>
  <c r="D58" i="9"/>
  <c r="D56" i="9"/>
  <c r="D54" i="9"/>
  <c r="C68" i="9"/>
  <c r="M68" i="9"/>
  <c r="L68" i="9"/>
  <c r="M55" i="9"/>
  <c r="C64" i="9"/>
  <c r="C63" i="9"/>
  <c r="C67" i="9"/>
  <c r="D59" i="9"/>
  <c r="D5" i="53"/>
  <c r="D6" i="53"/>
  <c r="B22" i="72"/>
  <c r="H108" i="9"/>
  <c r="C6" i="74"/>
  <c r="M48" i="9"/>
  <c r="N60" i="9"/>
  <c r="N59" i="9"/>
  <c r="N61" i="9"/>
  <c r="C81" i="9"/>
  <c r="M67" i="9"/>
  <c r="L67" i="9"/>
  <c r="D122" i="9"/>
  <c r="D123" i="9"/>
  <c r="D9" i="52"/>
  <c r="I4" i="52"/>
  <c r="C105" i="9"/>
  <c r="G118" i="9"/>
  <c r="F118" i="9"/>
  <c r="F119" i="9"/>
  <c r="F5" i="52"/>
  <c r="B53" i="72"/>
  <c r="C73" i="9"/>
  <c r="C78" i="9"/>
  <c r="C72" i="9"/>
  <c r="C79" i="9"/>
  <c r="C80" i="9"/>
  <c r="E80" i="9"/>
  <c r="E81" i="9"/>
  <c r="H107" i="9"/>
  <c r="M49" i="9"/>
  <c r="L63" i="9"/>
  <c r="M63" i="9"/>
  <c r="M69" i="9"/>
  <c r="N69" i="9"/>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BE21FF9D-5A1E-4AF2-9DE2-7BF04A3366C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A1E4149-FDF0-4398-A7FB-F94620051D1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294658C-533C-4F38-AD23-F7BDB075993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88CB8CC-9A3C-4223-8A27-0CC257754A2E}">
      <text>
        <r>
          <rPr>
            <sz val="11"/>
            <color indexed="81"/>
            <rFont val="宋体"/>
            <family val="3"/>
            <charset val="134"/>
          </rPr>
          <t>在建项目均选择“是”</t>
        </r>
      </text>
    </comment>
    <comment ref="F59" authorId="1" shapeId="0" xr:uid="{D713C042-6046-4BA5-9DDF-66AC5AAECDE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DE58061B-518A-4A59-959F-580C62574831}">
      <text>
        <r>
          <rPr>
            <sz val="10"/>
            <color indexed="81"/>
            <rFont val="宋体"/>
            <family val="3"/>
            <charset val="134"/>
          </rPr>
          <t xml:space="preserve">在建
</t>
        </r>
      </text>
    </comment>
    <comment ref="N59" authorId="0" shapeId="0" xr:uid="{DAE7F791-FBD9-4E77-86ED-32DA61836F15}">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<sst xmlns="http://schemas.openxmlformats.org/spreadsheetml/2006/main" count="8419" uniqueCount="3541">
  <si>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</si>
  <si>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</si>
  <si>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</si>
  <si>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</si>
  <si>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</si>
  <si>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</si>
  <si>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</si>
  <si>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</si>
  <si>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</si>
  <si>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</si>
  <si>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</si>
  <si>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</si>
  <si>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</si>
  <si>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</si>
  <si>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</si>
  <si>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</si>
  <si>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</si>
  <si>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</si>
  <si>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</si>
  <si>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</si>
  <si>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</si>
  <si>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</si>
  <si>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</si>
  <si>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</si>
  <si>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</si>
  <si>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</si>
  <si>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</si>
  <si>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</si>
  <si>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</si>
  <si>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</si>
  <si>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</si>
  <si>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</si>
  <si>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</si>
  <si>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</si>
  <si>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</si>
  <si>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</si>
  <si>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</si>
  <si>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</si>
  <si>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</si>
  <si>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</si>
  <si>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</si>
  <si>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</si>
  <si>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</si>
  <si>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</si>
  <si>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</si>
  <si>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</si>
  <si>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</si>
  <si>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</si>
  <si>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</si>
  <si>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</si>
  <si>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</si>
  <si>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</si>
  <si>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</si>
  <si>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</si>
  <si>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</si>
  <si>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</si>
  <si>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</si>
  <si>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</si>
  <si>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</si>
  <si>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</si>
  <si>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</si>
  <si>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</si>
  <si>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</si>
  <si>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</si>
  <si>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</si>
  <si>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</si>
  <si>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</si>
  <si>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</si>
  <si>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</si>
  <si>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</si>
  <si>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</si>
  <si>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</si>
  <si>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</si>
  <si>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</si>
  <si>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</si>
  <si>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</si>
  <si>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</si>
  <si>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</si>
  <si>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</si>
  <si>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</si>
  <si>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</si>
  <si>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</si>
  <si>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</si>
  <si>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</si>
  <si>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</si>
  <si>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</si>
  <si>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</si>
  <si>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</si>
  <si>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</si>
  <si>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</si>
  <si>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</si>
  <si>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</si>
  <si>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</si>
  <si>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</si>
  <si>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</si>
  <si>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</si>
  <si>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</si>
  <si>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</si>
  <si>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</si>
  <si>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</si>
  <si>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</si>
  <si>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</si>
  <si>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</si>
  <si>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</si>
  <si>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</si>
  <si>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</si>
  <si>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</si>
  <si>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</si>
  <si>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</si>
  <si>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</si>
  <si>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</si>
  <si>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</si>
  <si>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</si>
  <si>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</si>
  <si>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</si>
  <si>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</si>
  <si>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</si>
  <si>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</si>
  <si>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</si>
  <si>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</si>
  <si>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</si>
  <si>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</si>
  <si>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</si>
  <si>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</si>
  <si>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</si>
  <si>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</si>
  <si>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</si>
  <si>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</si>
  <si>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</si>
  <si>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</si>
  <si>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</si>
  <si>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</si>
  <si>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</si>
  <si>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</si>
  <si>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</si>
  <si>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</si>
  <si>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</si>
  <si>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</si>
  <si>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</si>
  <si>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</si>
  <si>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</si>
  <si>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</si>
  <si>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</si>
  <si>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</si>
  <si>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</si>
  <si>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</si>
  <si>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</si>
  <si>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</si>
  <si>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</si>
  <si>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</si>
  <si>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</si>
  <si>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</si>
  <si>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</si>
  <si>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</si>
  <si>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</si>
  <si>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</si>
  <si>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</si>
  <si>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</si>
  <si>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</si>
  <si>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</si>
  <si>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</si>
  <si>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</si>
  <si>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</si>
  <si>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</si>
  <si>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</si>
  <si>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</si>
  <si>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</si>
  <si>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</si>
  <si>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</si>
  <si>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</si>
  <si>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</si>
  <si>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</si>
  <si>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</si>
  <si>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</si>
  <si>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</si>
  <si>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</si>
  <si>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</si>
  <si>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</si>
  <si>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</si>
  <si>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</si>
  <si>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</si>
  <si>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</si>
  <si>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</si>
  <si>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</si>
  <si>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</si>
  <si>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</si>
  <si>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</si>
  <si>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</si>
  <si>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</si>
  <si>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</si>
  <si>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</si>
  <si>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</si>
  <si>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</si>
  <si>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</si>
  <si>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</si>
  <si>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</si>
  <si>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</si>
  <si>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</si>
  <si>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</si>
  <si>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</si>
  <si>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</si>
  <si>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</si>
  <si>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</si>
  <si>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</si>
  <si>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</si>
  <si>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</si>
  <si>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</si>
  <si>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</si>
  <si>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</si>
  <si>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</si>
  <si>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</si>
  <si>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</si>
  <si>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</si>
  <si>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</si>
  <si>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</si>
  <si>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</si>
  <si>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</si>
  <si>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</si>
  <si>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</si>
  <si>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</si>
  <si>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</si>
  <si>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</si>
  <si>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</si>
  <si>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</si>
  <si>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</si>
  <si>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</si>
  <si>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</si>
  <si>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</si>
  <si>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</si>
  <si>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</si>
  <si>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</si>
  <si>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</si>
  <si>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</si>
  <si>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</si>
  <si>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</si>
  <si>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</si>
  <si>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</si>
  <si>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</si>
  <si>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</si>
  <si>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</si>
  <si>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</si>
  <si>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</si>
  <si>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</si>
  <si>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</si>
  <si>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</si>
  <si>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</si>
  <si>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</si>
  <si>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</si>
  <si>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</si>
  <si>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</si>
  <si>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</si>
  <si>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</si>
  <si>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</si>
  <si>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</si>
  <si>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</si>
  <si>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</si>
  <si>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</si>
  <si>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</si>
  <si>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</si>
  <si>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</si>
  <si>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</si>
  <si>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</si>
  <si>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</si>
  <si>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</si>
  <si>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</si>
  <si>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</si>
  <si>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</si>
  <si>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</si>
  <si>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</si>
  <si>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</si>
  <si>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</si>
  <si>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</si>
  <si>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</si>
  <si>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</si>
  <si>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</si>
  <si>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</si>
  <si>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</si>
  <si>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</si>
  <si>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</si>
  <si>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</si>
  <si>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</si>
  <si>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</si>
  <si>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</si>
  <si>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</si>
  <si>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</si>
  <si>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</si>
  <si>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</si>
  <si>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</si>
  <si>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</si>
  <si>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</si>
  <si>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</si>
  <si>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</si>
  <si>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</si>
  <si>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</si>
  <si>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</si>
  <si>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</si>
  <si>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</si>
  <si>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</si>
  <si>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</si>
  <si>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</si>
  <si>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</si>
  <si>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</si>
  <si>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</si>
  <si>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</si>
  <si>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</si>
  <si>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</si>
  <si>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</si>
  <si>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</si>
  <si>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</si>
  <si>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</si>
  <si>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</si>
  <si>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</si>
  <si>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</si>
  <si>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</si>
  <si>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</si>
  <si>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</si>
  <si>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</si>
  <si>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</si>
  <si>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</si>
  <si>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</si>
  <si>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</si>
  <si>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</si>
  <si>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</si>
  <si>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</si>
  <si>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</si>
  <si>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</si>
  <si>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</si>
  <si>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</si>
  <si>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</si>
  <si>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</si>
  <si>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</si>
  <si>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</si>
  <si>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</si>
  <si>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</si>
  <si>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</si>
  <si>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</si>
  <si>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</si>
  <si>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</si>
  <si>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</si>
  <si>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</si>
  <si>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</si>
  <si>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</si>
  <si>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</si>
  <si>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</si>
  <si>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</si>
  <si>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</si>
  <si>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</si>
  <si>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</si>
  <si>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</si>
  <si>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</si>
  <si>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</si>
  <si>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</si>
  <si>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</si>
  <si>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</si>
  <si>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</si>
  <si>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</si>
  <si>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</si>
  <si>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</si>
  <si>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</si>
  <si>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</si>
  <si>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</si>
  <si>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</si>
  <si>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</si>
  <si>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</si>
  <si>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</si>
  <si>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</si>
  <si>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</si>
  <si>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</si>
  <si>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</si>
  <si>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</si>
  <si>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</si>
  <si>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</si>
  <si>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</si>
  <si>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</si>
  <si>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</si>
  <si>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</si>
  <si>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</si>
  <si>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</si>
  <si>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</si>
  <si>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</si>
  <si>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</si>
  <si>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</si>
  <si>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</si>
  <si>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</si>
  <si>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</si>
  <si>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</si>
  <si>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</si>
  <si>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</si>
  <si>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</si>
  <si>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</si>
  <si>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</si>
  <si>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</si>
  <si>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</si>
  <si>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</si>
  <si>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</si>
  <si>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</si>
  <si>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</si>
  <si>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</si>
  <si>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</si>
  <si>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</si>
  <si>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</si>
  <si>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</si>
  <si>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</si>
  <si>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</si>
  <si>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</si>
  <si>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</si>
  <si>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</si>
  <si>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</si>
  <si>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</si>
  <si>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</si>
  <si>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</si>
  <si>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</si>
  <si>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</si>
  <si>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</si>
  <si>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</si>
  <si>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</si>
  <si>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</si>
  <si>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</si>
  <si>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</si>
  <si>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</si>
  <si>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</si>
  <si>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</si>
  <si>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</si>
  <si>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</si>
  <si>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</si>
  <si>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</si>
  <si>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</si>
  <si>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</si>
  <si>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</si>
  <si>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</si>
  <si>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</si>
  <si>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</si>
  <si>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</si>
  <si>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</si>
  <si>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</si>
  <si>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</si>
  <si>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</si>
  <si>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</si>
  <si>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</si>
  <si>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</si>
  <si>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</si>
  <si>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</si>
  <si>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</si>
  <si>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</si>
  <si>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</si>
  <si>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</si>
  <si>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</si>
  <si>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</si>
  <si>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</si>
  <si>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</si>
  <si>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</si>
  <si>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</si>
  <si>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</si>
  <si>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</si>
  <si>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</si>
  <si>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</si>
  <si>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</si>
  <si>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</si>
  <si>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</si>
  <si>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</si>
  <si>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</si>
  <si>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</si>
  <si>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</si>
  <si>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</si>
  <si>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</si>
  <si>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</si>
  <si>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</si>
  <si>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</si>
  <si>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</si>
  <si>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</si>
  <si>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</si>
  <si>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</si>
  <si>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</si>
  <si>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</si>
  <si>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</si>
  <si>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</si>
  <si>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</si>
  <si>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</si>
  <si>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</si>
  <si>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</si>
  <si>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</si>
  <si>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</si>
  <si>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</si>
  <si>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</si>
  <si>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</si>
  <si>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</si>
  <si>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</si>
  <si>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</si>
  <si>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</si>
  <si>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</si>
  <si>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</si>
  <si>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</si>
  <si>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</si>
  <si>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</si>
  <si>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</si>
  <si>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</si>
  <si>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</si>
  <si>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</si>
  <si>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</si>
  <si>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</si>
  <si>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</si>
  <si>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</si>
  <si>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</si>
  <si>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</si>
  <si>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</si>
  <si>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</si>
  <si>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</si>
  <si>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</si>
  <si>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</si>
  <si>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</si>
  <si>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</si>
  <si>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</si>
  <si>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</si>
  <si>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</si>
  <si>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</si>
  <si>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</si>
  <si>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</si>
  <si>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</si>
  <si>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</si>
  <si>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</si>
  <si>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</si>
  <si>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</si>
  <si>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</si>
  <si>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</si>
  <si>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</si>
  <si>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</si>
  <si>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</si>
  <si>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</si>
  <si>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</si>
  <si>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</si>
  <si>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</si>
  <si>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</si>
  <si>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</si>
  <si>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</si>
  <si>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</si>
  <si>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</si>
  <si>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</si>
  <si>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</si>
  <si>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</si>
  <si>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</si>
  <si>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</si>
  <si>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</si>
  <si>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</si>
  <si>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</si>
  <si>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</si>
  <si>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</si>
  <si>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</si>
  <si>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</si>
  <si>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</si>
  <si>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</si>
  <si>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</si>
  <si>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</si>
  <si>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</si>
  <si>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</si>
  <si>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</si>
  <si>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</si>
  <si>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</si>
  <si>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</si>
  <si>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</si>
  <si>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</si>
  <si>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</si>
  <si>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</si>
  <si>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</si>
  <si>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</si>
  <si>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</si>
  <si>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</si>
  <si>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</si>
  <si>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</si>
  <si>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</si>
  <si>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</si>
  <si>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</si>
  <si>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</si>
  <si>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</si>
  <si>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</si>
  <si>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</si>
  <si>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</si>
  <si>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</si>
  <si>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</si>
  <si>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</si>
  <si>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</si>
  <si>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</si>
  <si>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</si>
  <si>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</si>
  <si>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</si>
  <si>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</si>
  <si>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</si>
  <si>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</si>
  <si>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</si>
  <si>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</si>
  <si>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</si>
  <si>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</si>
  <si>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</si>
  <si>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</si>
  <si>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</si>
  <si>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</si>
  <si>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</si>
  <si>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</si>
  <si>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</si>
  <si>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</si>
  <si>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</si>
  <si>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</si>
  <si>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</si>
  <si>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</si>
  <si>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</si>
  <si>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</si>
  <si>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</si>
  <si>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</si>
  <si>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</si>
  <si>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</si>
  <si>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</si>
  <si>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</si>
  <si>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</si>
  <si>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</si>
  <si>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</si>
  <si>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</si>
  <si>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</si>
  <si>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</si>
  <si>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</si>
  <si>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</si>
  <si>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</si>
  <si>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</si>
  <si>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</si>
  <si>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</si>
  <si>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</si>
  <si>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</si>
  <si>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</si>
  <si>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</si>
  <si>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</si>
  <si>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</si>
  <si>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</si>
  <si>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</si>
  <si>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</si>
  <si>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</si>
  <si>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</si>
  <si>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</si>
  <si>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</si>
  <si>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</si>
  <si>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</si>
  <si>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</si>
  <si>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</si>
  <si>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</si>
  <si>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</si>
  <si>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</si>
  <si>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</si>
  <si>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</si>
  <si>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</si>
  <si>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</si>
  <si>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</si>
  <si>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</si>
  <si>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</si>
  <si>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</si>
  <si>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</si>
  <si>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</si>
  <si>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</si>
  <si>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</si>
  <si>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</si>
  <si>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</si>
  <si>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</si>
  <si>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</si>
  <si>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</si>
  <si>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</si>
  <si>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</si>
  <si>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</si>
  <si>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</si>
  <si>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</si>
  <si>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</si>
  <si>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</si>
  <si>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</si>
  <si>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</si>
  <si>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</si>
  <si>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</si>
  <si>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</si>
  <si>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</si>
  <si>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</si>
  <si>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</si>
  <si>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</si>
  <si>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</si>
  <si>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</si>
  <si>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</si>
  <si>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</si>
  <si>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</si>
  <si>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</si>
  <si>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</si>
  <si>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</si>
  <si>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</si>
  <si>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</si>
  <si>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</si>
  <si>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</si>
  <si>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</si>
  <si>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</si>
  <si>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</si>
  <si>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</si>
  <si>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</si>
  <si>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</si>
  <si>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</si>
  <si>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</si>
  <si>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</si>
  <si>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</si>
  <si>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</si>
  <si>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</si>
  <si>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</si>
  <si>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</si>
  <si>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</si>
  <si>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</si>
  <si>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</si>
  <si>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</si>
  <si>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</si>
  <si>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</si>
  <si>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</si>
  <si>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</si>
  <si>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</si>
  <si>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</si>
  <si>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</si>
  <si>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</si>
  <si>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</si>
  <si>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</si>
  <si>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</si>
  <si>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</si>
  <si>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</si>
  <si>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</si>
  <si>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</si>
  <si>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</si>
  <si>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</si>
  <si>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</si>
  <si>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</si>
  <si>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</si>
  <si>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</si>
  <si>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</si>
  <si>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</si>
  <si>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</si>
  <si>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</si>
  <si>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</si>
  <si>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</si>
  <si>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</si>
  <si>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</si>
  <si>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</si>
  <si>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</si>
  <si>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</si>
  <si>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</si>
  <si>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</si>
  <si>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</si>
  <si>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</si>
  <si>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</si>
  <si>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</si>
  <si>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</si>
  <si>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</si>
  <si>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</si>
  <si>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</si>
  <si>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</si>
  <si>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</si>
  <si>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</si>
  <si>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</si>
  <si>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</si>
  <si>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</si>
  <si>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</si>
  <si>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</si>
  <si>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</si>
  <si>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</si>
  <si>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</si>
  <si>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</si>
  <si>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</si>
  <si>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</si>
  <si>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</si>
  <si>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</si>
  <si>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</si>
  <si>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</si>
  <si>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</si>
  <si>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</si>
  <si>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</si>
  <si>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</si>
  <si>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</si>
  <si>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</si>
  <si>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</si>
  <si>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</si>
  <si>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</si>
  <si>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</si>
  <si>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</si>
  <si>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</si>
  <si>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</si>
  <si>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</si>
  <si>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</si>
  <si>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</si>
  <si>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</si>
  <si>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</si>
  <si>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</si>
  <si>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</si>
  <si>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</si>
  <si>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</si>
  <si>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</si>
  <si>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</si>
  <si>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</si>
  <si>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</si>
  <si>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</si>
  <si>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</si>
  <si>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</si>
  <si>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</si>
  <si>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</si>
  <si>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</si>
  <si>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</si>
  <si>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</si>
  <si>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</si>
  <si>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</si>
  <si>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</si>
  <si>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</si>
  <si>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</si>
  <si>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</si>
  <si>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</si>
  <si>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</si>
  <si>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</si>
  <si>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</si>
  <si>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</si>
  <si>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</si>
  <si>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</si>
  <si>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</si>
  <si>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</si>
  <si>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</si>
  <si>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</si>
  <si>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</si>
  <si>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</si>
  <si>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</si>
  <si>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</si>
  <si>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</si>
  <si>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</si>
  <si>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</si>
  <si>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</si>
  <si>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</si>
  <si>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</si>
  <si>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</si>
  <si>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</si>
  <si>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</si>
  <si>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</si>
  <si>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</si>
  <si>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</si>
  <si>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</si>
  <si>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</si>
  <si>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</si>
  <si>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</si>
  <si>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</si>
  <si>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</si>
  <si>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</si>
  <si>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</si>
  <si>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</si>
  <si>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</si>
  <si>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</si>
  <si>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</si>
  <si>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</si>
  <si>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</si>
  <si>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</si>
  <si>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</si>
  <si>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</si>
  <si>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</si>
  <si>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</si>
  <si>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</si>
  <si>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</si>
  <si>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</si>
  <si>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</si>
  <si>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</si>
  <si>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</si>
  <si>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</si>
  <si>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</si>
  <si>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</si>
  <si>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</si>
  <si>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</si>
  <si>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</si>
  <si>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</si>
  <si>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</si>
  <si>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</si>
  <si>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</si>
  <si>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</si>
  <si>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</si>
  <si>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</si>
  <si>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</si>
  <si>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</si>
  <si>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</si>
  <si>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</si>
  <si>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</si>
  <si>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</si>
  <si>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</si>
  <si>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</si>
  <si>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</si>
  <si>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</si>
  <si>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</si>
  <si>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</si>
  <si>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</si>
  <si>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</si>
  <si>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</si>
  <si>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</si>
  <si>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</si>
  <si>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</si>
  <si>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</si>
  <si>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</si>
  <si>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</si>
  <si>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</si>
  <si>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</si>
  <si>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</si>
  <si>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</si>
  <si>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</si>
  <si>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</si>
  <si>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</si>
  <si>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</si>
  <si>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</si>
  <si>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</si>
  <si>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</si>
  <si>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</si>
  <si>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</si>
  <si>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</si>
  <si>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</si>
  <si>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</si>
  <si>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</si>
  <si>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</si>
  <si>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</si>
  <si>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</si>
  <si>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</si>
  <si>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</si>
  <si>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</si>
  <si>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</si>
  <si>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</si>
  <si>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</si>
  <si>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</si>
  <si>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</si>
  <si>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</si>
  <si>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</si>
  <si>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</si>
  <si>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</si>
  <si>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</si>
  <si>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</si>
  <si>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</si>
  <si>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</si>
  <si>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</si>
  <si>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</si>
  <si>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</si>
  <si>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</si>
  <si>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</si>
  <si>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</si>
  <si>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</si>
  <si>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</si>
  <si>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</si>
  <si>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</si>
  <si>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</si>
  <si>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</si>
  <si>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</si>
  <si>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</si>
  <si>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</si>
  <si>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</si>
  <si>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</si>
  <si>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</si>
  <si>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</si>
  <si>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</si>
  <si>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</si>
  <si>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</si>
  <si>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</si>
  <si>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</si>
  <si>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</si>
  <si>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</si>
  <si>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</si>
  <si>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</si>
  <si>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</si>
  <si>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</si>
  <si>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</si>
  <si>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</si>
  <si>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</si>
  <si>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</si>
  <si>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</si>
  <si>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</si>
  <si>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</si>
  <si>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</si>
  <si>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</si>
  <si>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</si>
  <si>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</si>
  <si>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</si>
  <si>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</si>
  <si>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</si>
  <si>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</si>
  <si>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</si>
  <si>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</si>
  <si>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</si>
  <si>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</si>
  <si>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</si>
  <si>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</si>
  <si>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</si>
  <si>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</si>
  <si>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</si>
  <si>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</si>
  <si>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</si>
  <si>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</si>
  <si>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</si>
  <si>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</si>
  <si>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</si>
  <si>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</si>
  <si>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</si>
  <si>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</si>
  <si>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</si>
  <si>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</si>
  <si>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</si>
  <si>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</si>
  <si>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</si>
  <si>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</si>
  <si>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</si>
  <si>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</si>
  <si>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</si>
  <si>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</si>
  <si>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</si>
  <si>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</si>
  <si>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</si>
  <si>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</si>
  <si>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</si>
  <si>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</si>
  <si>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</si>
  <si>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</si>
  <si>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</si>
  <si>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</si>
  <si>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</si>
  <si>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</si>
  <si>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</si>
  <si>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</si>
  <si>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</si>
  <si>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</si>
  <si>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</si>
  <si>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</si>
  <si>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</si>
  <si>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</si>
  <si>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</si>
  <si>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</si>
  <si>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</si>
  <si>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</si>
  <si>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</si>
  <si>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</si>
  <si>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</si>
  <si>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</si>
  <si>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</si>
  <si>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</si>
  <si>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</si>
  <si>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</si>
  <si>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</si>
  <si>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</si>
  <si>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</si>
  <si>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</si>
  <si>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</si>
  <si>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</si>
  <si>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</si>
  <si>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</si>
  <si>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</si>
  <si>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</si>
  <si>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</si>
  <si>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</si>
  <si>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</si>
  <si>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</si>
  <si>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</si>
  <si>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</si>
  <si>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</si>
  <si>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</si>
  <si>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</si>
  <si>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</si>
  <si>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</si>
  <si>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</si>
  <si>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</si>
  <si>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</si>
  <si>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</si>
  <si>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</si>
  <si>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</si>
  <si>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</si>
  <si>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</si>
  <si>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</si>
  <si>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</si>
  <si>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</si>
  <si>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</si>
  <si>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</si>
  <si>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</si>
  <si>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</si>
  <si>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</si>
  <si>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</si>
  <si>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</si>
  <si>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</si>
  <si>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</si>
  <si>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</si>
  <si>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</si>
  <si>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</si>
  <si>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</si>
  <si>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</si>
  <si>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</si>
  <si>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</si>
  <si>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</si>
  <si>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</si>
  <si>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</si>
  <si>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</si>
  <si>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</si>
  <si>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</si>
  <si>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</si>
  <si>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</si>
  <si>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</si>
  <si>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</si>
  <si>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</si>
  <si>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</si>
  <si>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</si>
  <si>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</si>
  <si>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</si>
  <si>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</si>
  <si>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</si>
  <si>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</si>
  <si>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</si>
  <si>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</si>
  <si>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</si>
  <si>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</si>
  <si>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</si>
  <si>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</si>
  <si>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</si>
  <si>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</si>
  <si>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</si>
  <si>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</si>
  <si>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</si>
  <si>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</si>
  <si>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</si>
  <si>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</si>
  <si>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</si>
  <si>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</si>
  <si>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</si>
  <si>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</si>
  <si>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</si>
  <si>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</si>
  <si>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</si>
  <si>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</si>
  <si>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</si>
  <si>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</si>
  <si>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</si>
  <si>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</si>
  <si>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</si>
  <si>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</si>
  <si>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</si>
  <si>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</si>
  <si>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</si>
  <si>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</si>
  <si>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</si>
  <si>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</si>
  <si>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</si>
  <si>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</si>
  <si>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</si>
  <si>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</si>
  <si>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</si>
  <si>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</si>
  <si>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</si>
  <si>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</si>
  <si>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</si>
  <si>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</si>
  <si>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</si>
  <si>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</si>
  <si>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</si>
  <si>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</si>
  <si>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</si>
  <si>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</si>
  <si>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</si>
  <si>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</si>
  <si>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</si>
  <si>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</si>
  <si>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</si>
  <si>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</si>
  <si>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</si>
  <si>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</si>
  <si>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</si>
  <si>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</si>
  <si>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</si>
  <si>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</si>
  <si>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</si>
  <si>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</si>
  <si>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</si>
  <si>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</si>
  <si>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</si>
  <si>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</si>
  <si>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</si>
  <si>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</si>
  <si>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</si>
  <si>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</si>
  <si>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</si>
  <si>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</si>
  <si>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</si>
  <si>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</si>
  <si>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</si>
  <si>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</si>
  <si>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</si>
  <si>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</si>
  <si>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</si>
  <si>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</si>
  <si>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</si>
  <si>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</si>
  <si>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</si>
  <si>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</si>
  <si>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</si>
  <si>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</si>
  <si>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</si>
  <si>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</si>
  <si>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</si>
  <si>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</si>
  <si>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</si>
  <si>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</si>
  <si>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</si>
  <si>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</si>
  <si>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</si>
  <si>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</si>
  <si>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</si>
  <si>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</si>
  <si>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</si>
  <si>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</si>
  <si>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</si>
  <si>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</si>
  <si>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</si>
  <si>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</si>
  <si>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</si>
  <si>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</si>
  <si>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</si>
  <si>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</si>
  <si>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</si>
  <si>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</si>
  <si>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</si>
  <si>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</si>
  <si>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</si>
  <si>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</si>
  <si>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</si>
  <si>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</si>
  <si>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</si>
  <si>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</si>
  <si>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</si>
  <si>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</si>
  <si>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</si>
  <si>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</si>
  <si>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</si>
  <si>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</si>
  <si>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</si>
  <si>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</si>
  <si>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</si>
  <si>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</si>
  <si>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</si>
  <si>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</si>
  <si>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</si>
  <si>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</si>
  <si>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</si>
  <si>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</si>
  <si>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</si>
  <si>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</si>
  <si>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</si>
  <si>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</si>
  <si>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</si>
  <si>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</si>
  <si>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</si>
  <si>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</si>
  <si>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</si>
  <si>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</si>
  <si>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</si>
  <si>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</si>
  <si>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</si>
  <si>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</si>
  <si>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</si>
  <si>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</si>
  <si>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</si>
  <si>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</si>
  <si>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</si>
  <si>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</si>
  <si>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</si>
  <si>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</si>
  <si>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</si>
  <si>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</si>
  <si>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</si>
  <si>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</si>
  <si>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</si>
  <si>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</si>
  <si>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</si>
  <si>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</si>
  <si>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</si>
  <si>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</si>
  <si>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</si>
  <si>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</si>
  <si>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</si>
  <si>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</si>
  <si>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</si>
  <si>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</si>
  <si>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</si>
  <si>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</si>
  <si>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</si>
  <si>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</si>
  <si>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</si>
  <si>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</si>
  <si>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</si>
  <si>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</si>
  <si>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</si>
  <si>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</si>
  <si>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</si>
  <si>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</si>
  <si>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</si>
  <si>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</si>
  <si>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</si>
  <si>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</si>
  <si>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</si>
  <si>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</si>
  <si>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</si>
  <si>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</si>
  <si>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</si>
  <si>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</si>
  <si>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</si>
  <si>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</si>
  <si>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</si>
  <si>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</si>
  <si>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</si>
  <si>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</si>
  <si>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</si>
  <si>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</si>
  <si>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</si>
  <si>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</si>
  <si>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</si>
  <si>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</si>
  <si>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</si>
  <si>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</si>
  <si>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</si>
  <si>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</si>
  <si>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</si>
  <si>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</si>
  <si>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</si>
  <si>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</si>
  <si>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</si>
  <si>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</si>
  <si>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</si>
  <si>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</si>
  <si>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</si>
  <si>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</si>
  <si>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</si>
  <si>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</si>
  <si>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</si>
  <si>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</si>
  <si>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</si>
  <si>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</si>
  <si>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</si>
  <si>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</si>
  <si>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</si>
  <si>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</si>
  <si>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</si>
  <si>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</si>
  <si>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</si>
  <si>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</si>
  <si>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</si>
  <si>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</si>
  <si>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</si>
  <si>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</si>
  <si>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</si>
  <si>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</si>
  <si>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</si>
  <si>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</si>
  <si>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</si>
  <si>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</si>
  <si>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</si>
  <si>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</si>
  <si>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</si>
  <si>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</si>
  <si>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</si>
  <si>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</si>
  <si>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</si>
  <si>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</si>
  <si>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</si>
  <si>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</si>
  <si>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</si>
  <si>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</si>
  <si>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</si>
  <si>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</si>
  <si>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</si>
  <si>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</si>
  <si>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</si>
  <si>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</si>
  <si>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</si>
  <si>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</si>
  <si>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</si>
  <si>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</si>
  <si>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</si>
  <si>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</si>
  <si>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</si>
  <si>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</si>
  <si>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</si>
  <si>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</si>
  <si>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</si>
  <si>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</si>
  <si>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</si>
  <si>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</si>
  <si>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</si>
  <si>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</si>
  <si>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</si>
  <si>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</si>
  <si>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</si>
  <si>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</si>
  <si>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</si>
  <si>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</si>
  <si>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</si>
  <si>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</si>
  <si>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</si>
  <si>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</si>
  <si>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</si>
  <si>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</si>
  <si>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</si>
  <si>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</si>
  <si>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</si>
  <si>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</si>
  <si>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</si>
  <si>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</si>
  <si>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</si>
  <si>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</si>
  <si>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</si>
  <si>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</si>
  <si>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</si>
  <si>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</si>
  <si>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</si>
  <si>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</si>
  <si>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</si>
  <si>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</si>
  <si>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</si>
  <si>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</si>
  <si>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</si>
  <si>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</si>
  <si>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</si>
  <si>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</si>
  <si>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</si>
  <si>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</si>
  <si>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</si>
  <si>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</si>
  <si>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</si>
  <si>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</si>
  <si>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</si>
  <si>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</si>
  <si>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</si>
  <si>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</si>
  <si>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</si>
  <si>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</si>
  <si>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</si>
  <si>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</si>
  <si>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</si>
  <si>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</si>
  <si>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</si>
  <si>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</si>
  <si>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</si>
  <si>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</si>
  <si>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</si>
  <si>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</si>
  <si>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</si>
  <si>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</si>
  <si>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</si>
  <si>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</si>
  <si>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</si>
  <si>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</si>
  <si>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</si>
  <si>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</si>
  <si>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</si>
  <si>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</si>
  <si>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</si>
  <si>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</si>
  <si>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</si>
  <si>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</si>
  <si>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</si>
  <si>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</si>
  <si>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</si>
  <si>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</si>
  <si>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</si>
  <si>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</si>
  <si>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</si>
  <si>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</si>
  <si>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</si>
  <si>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</si>
  <si>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</si>
  <si>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</si>
  <si>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</si>
  <si>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</si>
  <si>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</si>
  <si>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</si>
  <si>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</si>
  <si>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</si>
  <si>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</si>
  <si>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</si>
  <si>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</si>
  <si>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</si>
  <si>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</si>
  <si>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</si>
  <si>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</si>
  <si>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</si>
  <si>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</si>
  <si>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</si>
  <si>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</si>
  <si>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</si>
  <si>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</si>
  <si>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</si>
  <si>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</si>
  <si>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</si>
  <si>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</si>
  <si>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</si>
  <si>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</si>
  <si>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</si>
  <si>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</si>
  <si>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</si>
  <si>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</si>
  <si>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</si>
  <si>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</si>
  <si>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</si>
  <si>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</si>
  <si>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</si>
  <si>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</si>
  <si>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</si>
  <si>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</si>
  <si>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</si>
  <si>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</si>
  <si>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</si>
  <si>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</si>
  <si>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</si>
  <si>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</si>
  <si>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</si>
  <si>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</si>
  <si>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</si>
  <si>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</si>
  <si>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</si>
  <si>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</si>
  <si>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</si>
  <si>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</si>
  <si>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</si>
  <si>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</si>
  <si>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</si>
  <si>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</si>
  <si>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</si>
  <si>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</si>
  <si>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</si>
  <si>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</si>
  <si>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</si>
  <si>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</si>
  <si>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</si>
  <si>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</si>
  <si>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</si>
  <si>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</si>
  <si>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</si>
  <si>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</si>
  <si>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</si>
  <si>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</si>
  <si>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</si>
  <si>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</si>
  <si>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</si>
  <si>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</si>
  <si>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</si>
  <si>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</si>
  <si>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</si>
  <si>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</si>
  <si>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</si>
  <si>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</si>
  <si>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</si>
  <si>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</si>
  <si>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</si>
  <si>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</si>
  <si>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</si>
  <si>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</si>
  <si>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</si>
  <si>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</si>
  <si>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</si>
  <si>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</si>
  <si>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</si>
  <si>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</si>
  <si>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</si>
  <si>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</si>
  <si>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</si>
  <si>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</si>
  <si>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</si>
  <si>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</si>
  <si>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</si>
  <si>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</si>
  <si>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</si>
  <si>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</si>
  <si>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</si>
  <si>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</si>
  <si>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</si>
  <si>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</si>
  <si>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</si>
  <si>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</si>
  <si>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</si>
  <si>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</si>
  <si>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</si>
  <si>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</si>
  <si>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</si>
  <si>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</si>
  <si>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</si>
  <si>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</si>
  <si>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</si>
  <si>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</si>
  <si>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</si>
  <si>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</si>
  <si>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</si>
  <si>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</si>
  <si>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</si>
  <si>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</si>
  <si>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</si>
  <si>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</si>
  <si>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</si>
  <si>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</si>
  <si>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</si>
  <si>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</si>
  <si>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</si>
  <si>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</si>
  <si>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</si>
  <si>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</si>
  <si>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</si>
  <si>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</si>
  <si>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</si>
  <si>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</si>
  <si>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</si>
  <si>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</si>
  <si>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</si>
  <si>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</si>
  <si>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</si>
  <si>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</si>
  <si>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</si>
  <si>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</si>
  <si>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</si>
  <si>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</si>
  <si>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</si>
  <si>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</si>
  <si>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</si>
  <si>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</si>
  <si>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</si>
  <si>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</si>
  <si>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</si>
  <si>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</si>
  <si>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</si>
  <si>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</si>
  <si>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</si>
  <si>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</si>
  <si>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</si>
  <si>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</si>
  <si>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</si>
  <si>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</si>
  <si>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</si>
  <si>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</si>
  <si>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</si>
  <si>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</si>
  <si>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</si>
  <si>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</si>
  <si>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</si>
  <si>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</si>
  <si>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</si>
  <si>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</si>
  <si>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</si>
  <si>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</si>
  <si>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</si>
  <si>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</si>
  <si>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</si>
  <si>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</si>
  <si>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</si>
  <si>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</si>
  <si>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</si>
  <si>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</si>
  <si>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</si>
  <si>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</si>
  <si>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</si>
  <si>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</si>
  <si>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</si>
  <si>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</si>
  <si>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</si>
  <si>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</si>
  <si>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</si>
  <si>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</si>
  <si>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</si>
  <si>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</si>
  <si>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</si>
  <si>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</si>
  <si>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</si>
  <si>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</si>
  <si>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</si>
  <si>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</si>
  <si>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</si>
  <si>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</si>
  <si>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</si>
  <si>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</si>
  <si>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</si>
  <si>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</si>
  <si>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</si>
  <si>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</si>
  <si>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</si>
  <si>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</si>
  <si>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</si>
  <si>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</si>
  <si>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</si>
  <si>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</si>
  <si>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</si>
  <si>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</si>
  <si>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</si>
  <si>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</si>
  <si>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</si>
  <si>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</si>
  <si>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</si>
  <si>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</si>
  <si>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</si>
  <si>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</si>
  <si>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</si>
  <si>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</si>
  <si>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</si>
  <si>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</si>
  <si>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</si>
  <si>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</si>
  <si>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</si>
  <si>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</si>
  <si>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</si>
  <si>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</si>
  <si>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</si>
  <si>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</si>
  <si>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</si>
  <si>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</si>
  <si>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</si>
  <si>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</si>
  <si>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</si>
  <si>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</si>
  <si>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</si>
  <si>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</si>
  <si>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</si>
  <si>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</si>
  <si>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</si>
  <si>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</si>
  <si>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</si>
  <si>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</si>
  <si>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</si>
  <si>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</si>
  <si>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</si>
  <si>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</si>
  <si>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</si>
  <si>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</si>
  <si>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</si>
  <si>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</si>
  <si>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</si>
  <si>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</si>
  <si>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</si>
  <si>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</si>
  <si>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</si>
  <si>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</si>
  <si>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</si>
  <si>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</si>
  <si>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</si>
  <si>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</si>
  <si>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</si>
  <si>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</si>
  <si>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</si>
  <si>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</si>
  <si>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</si>
  <si>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</si>
  <si>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</si>
  <si>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</si>
  <si>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</si>
  <si>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</si>
  <si>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</si>
  <si>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</si>
  <si>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</si>
  <si>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</si>
  <si>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</si>
  <si>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</si>
  <si>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</si>
  <si>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</si>
  <si>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</si>
  <si>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</si>
  <si>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</si>
  <si>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</si>
  <si>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</si>
  <si>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</si>
  <si>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</si>
  <si>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</si>
  <si>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</si>
  <si>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</si>
  <si>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</si>
  <si>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</si>
  <si>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</si>
  <si>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</si>
  <si>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</si>
  <si>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</si>
  <si>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</si>
  <si>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</si>
  <si>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</si>
  <si>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</si>
  <si>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</si>
  <si>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</si>
  <si>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</si>
  <si>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</si>
  <si>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</si>
  <si>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</si>
  <si>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</si>
  <si>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</si>
  <si>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</si>
  <si>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</si>
  <si>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</si>
  <si>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</si>
  <si>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</si>
  <si>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</si>
  <si>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</si>
  <si>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</si>
  <si>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</si>
  <si>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</si>
  <si>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</si>
  <si>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</si>
  <si>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</si>
  <si>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</si>
  <si>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</si>
  <si>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</si>
  <si>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</si>
  <si>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</si>
  <si>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</si>
  <si>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</si>
  <si>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</si>
  <si>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</si>
  <si>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</si>
  <si>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</si>
  <si>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</si>
  <si>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</si>
  <si>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</si>
  <si>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</si>
  <si>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</si>
  <si>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</si>
  <si>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</si>
  <si>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</si>
  <si>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</si>
  <si>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</si>
  <si>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</si>
  <si>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</si>
  <si>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</si>
  <si>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</si>
  <si>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</si>
  <si>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</si>
  <si>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</si>
  <si>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</si>
  <si>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</si>
  <si>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</si>
  <si>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</si>
  <si>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</si>
  <si>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</si>
  <si>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</si>
  <si>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</si>
  <si>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</si>
  <si>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</si>
  <si>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</si>
  <si>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</si>
  <si>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</si>
  <si>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</si>
  <si>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</si>
  <si>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</si>
  <si>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</si>
  <si>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</si>
  <si>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</si>
  <si>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</si>
  <si>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</si>
  <si>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</si>
  <si>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</si>
  <si>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</si>
  <si>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</si>
  <si>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</si>
  <si>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</si>
  <si>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</si>
  <si>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</si>
  <si>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</si>
  <si>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</si>
  <si>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</si>
  <si>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</si>
  <si>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</si>
  <si>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</si>
  <si>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</si>
  <si>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</si>
  <si>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</si>
  <si>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</si>
  <si>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</si>
  <si>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</si>
  <si>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</si>
  <si>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</si>
  <si>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</si>
  <si>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</si>
  <si>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</si>
  <si>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</si>
  <si>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</si>
  <si>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</si>
  <si>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</si>
  <si>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</si>
  <si>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</si>
  <si>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</si>
  <si>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</si>
  <si>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</si>
  <si>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</si>
  <si>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</si>
  <si>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</si>
  <si>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</si>
  <si>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</si>
  <si>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</si>
  <si>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</si>
  <si>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</si>
  <si>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</si>
  <si>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</si>
  <si>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</si>
  <si>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</si>
  <si>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</si>
  <si>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</si>
  <si>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</si>
  <si>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</si>
  <si>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</si>
  <si>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</si>
  <si>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</si>
  <si>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</si>
  <si>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</si>
  <si>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</si>
  <si>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</si>
  <si>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</si>
  <si>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</si>
  <si>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</si>
  <si>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</si>
  <si>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</si>
  <si>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</si>
  <si>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</si>
  <si>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</si>
  <si>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</si>
  <si>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</si>
  <si>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</si>
  <si>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</si>
  <si>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</si>
  <si>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</si>
  <si>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</si>
  <si>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</si>
  <si>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</si>
  <si>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</si>
  <si>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</si>
  <si>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</si>
  <si>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</si>
  <si>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</si>
  <si>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</si>
  <si>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</si>
  <si>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</si>
  <si>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</si>
  <si>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</si>
  <si>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</si>
  <si>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</si>
  <si>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</si>
  <si>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</si>
  <si>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</si>
  <si>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</si>
  <si>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</si>
  <si>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</si>
  <si>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</si>
  <si>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</si>
  <si>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</si>
  <si>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</si>
  <si>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</si>
  <si>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</si>
  <si>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</si>
  <si>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</si>
  <si>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</si>
  <si>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</si>
  <si>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</si>
  <si>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</si>
  <si>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</si>
  <si>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</si>
  <si>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</si>
  <si>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</si>
  <si>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</si>
  <si>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</si>
  <si>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</si>
  <si>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</si>
  <si>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</si>
  <si>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</si>
  <si>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</si>
  <si>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</si>
  <si>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</si>
  <si>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</si>
  <si>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</si>
  <si>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</si>
  <si>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</si>
  <si>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</si>
  <si>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</si>
  <si>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</si>
  <si>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</si>
  <si>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</si>
  <si>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</si>
  <si>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</si>
  <si>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</si>
  <si>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</si>
  <si>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</si>
  <si>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</si>
  <si>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</si>
  <si>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</si>
  <si>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</si>
  <si>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</si>
  <si>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</si>
  <si>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</si>
  <si>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</si>
  <si>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</si>
  <si>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</si>
  <si>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</si>
  <si>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</si>
  <si>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</si>
  <si>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</si>
  <si>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</si>
  <si>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</si>
  <si>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</si>
  <si>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</si>
  <si>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</si>
  <si>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</si>
  <si>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</si>
  <si>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</si>
  <si>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</si>
  <si>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</si>
  <si>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</si>
  <si>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</si>
  <si>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</si>
  <si>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</si>
  <si>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</si>
  <si>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</si>
  <si>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</si>
  <si>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</si>
  <si>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</si>
  <si>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</si>
  <si>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</si>
  <si>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</si>
  <si>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</si>
  <si>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</si>
  <si>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</si>
  <si>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</si>
  <si>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</si>
  <si>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</si>
  <si>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</si>
  <si>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</si>
  <si>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</si>
  <si>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</si>
  <si>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</si>
  <si>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</si>
  <si>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</si>
  <si>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</si>
  <si>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</si>
  <si>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</si>
  <si>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</si>
  <si>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</si>
  <si>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</si>
  <si>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</si>
  <si>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</si>
  <si>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</si>
  <si>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</si>
  <si>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</si>
  <si>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</si>
  <si>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</si>
  <si>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</si>
  <si>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</si>
  <si>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</si>
  <si>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</si>
  <si>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</si>
  <si>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</si>
  <si>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</si>
  <si>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</si>
  <si>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</si>
  <si>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</si>
  <si>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</si>
  <si>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</si>
  <si>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</si>
  <si>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</si>
  <si>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</si>
  <si>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</si>
  <si>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</si>
  <si>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</si>
  <si>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</si>
  <si>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</si>
  <si>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</si>
  <si>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</si>
  <si>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</si>
  <si>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</si>
  <si>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</si>
  <si>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</si>
  <si>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</si>
  <si>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</si>
  <si>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</si>
  <si>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</si>
  <si>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</si>
  <si>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</si>
  <si>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</si>
  <si>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</si>
  <si>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</si>
  <si>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</si>
  <si>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</si>
  <si>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</si>
  <si>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</si>
  <si>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</si>
  <si>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</si>
  <si>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</si>
  <si>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</si>
  <si>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</si>
  <si>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</si>
  <si>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</si>
  <si>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</si>
  <si>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</si>
  <si>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</si>
  <si>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</si>
  <si>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</si>
  <si>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</si>
  <si>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</si>
  <si>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</si>
  <si>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</si>
  <si>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</si>
  <si>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</si>
  <si>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</si>
  <si>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</si>
  <si>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</si>
  <si>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</si>
  <si>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</si>
  <si>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</si>
  <si>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</si>
  <si>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</si>
  <si>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</si>
  <si>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</si>
  <si>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</si>
  <si>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</si>
  <si>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</si>
  <si>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</si>
  <si>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</si>
  <si>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</si>
  <si>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</si>
  <si>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</si>
  <si>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</si>
  <si>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</si>
  <si>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</si>
  <si>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</si>
  <si>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</si>
  <si>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</si>
  <si>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</si>
  <si>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</si>
  <si>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</si>
  <si>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</si>
  <si>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</si>
  <si>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</si>
  <si>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</si>
  <si>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</si>
  <si>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</si>
  <si>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</si>
  <si>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</si>
  <si>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</si>
  <si>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</si>
  <si>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</si>
  <si>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</si>
  <si>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</si>
  <si>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</si>
  <si>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</si>
  <si>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</si>
  <si>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</si>
  <si>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</si>
  <si>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</si>
  <si>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</si>
  <si>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</si>
  <si>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</si>
  <si>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</si>
  <si>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</si>
  <si>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</si>
  <si>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</si>
  <si>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</si>
  <si>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</si>
  <si>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</si>
  <si>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</si>
  <si>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</si>
  <si>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</si>
  <si>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</si>
  <si>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</si>
  <si>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</si>
  <si>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</si>
  <si>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</si>
  <si>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</si>
  <si>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</si>
  <si>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</si>
  <si>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</si>
  <si>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</si>
  <si>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</si>
  <si>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</si>
  <si>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</si>
  <si>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</si>
  <si>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</si>
  <si>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</si>
  <si>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</si>
  <si>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</si>
  <si>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</si>
  <si>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</si>
  <si>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</si>
  <si>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</si>
  <si>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</si>
  <si>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</si>
  <si>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</si>
  <si>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</si>
  <si>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</si>
  <si>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</si>
  <si>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</si>
  <si>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</si>
  <si>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</si>
  <si>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</si>
  <si>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</si>
  <si>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</si>
  <si>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</si>
  <si>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</si>
  <si>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</si>
  <si>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</si>
  <si>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</si>
  <si>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</si>
  <si>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</si>
  <si>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</si>
  <si>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</si>
  <si>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</si>
  <si>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</si>
  <si>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</si>
  <si>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</si>
  <si>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</si>
  <si>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</si>
  <si>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</si>
  <si>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</si>
  <si>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</si>
  <si>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</si>
  <si>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</si>
  <si>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</si>
  <si>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</si>
  <si>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</si>
  <si>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</si>
  <si>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</si>
  <si>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</si>
  <si>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</si>
  <si>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</si>
  <si>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</si>
  <si>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</si>
  <si>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</si>
  <si>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</si>
  <si>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</si>
  <si>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</si>
  <si>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</si>
  <si>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</si>
  <si>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</si>
  <si>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</si>
  <si>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</si>
  <si>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</si>
  <si>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</si>
  <si>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</si>
  <si>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</si>
  <si>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</si>
  <si>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</si>
  <si>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</si>
  <si>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</si>
  <si>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</si>
  <si>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</si>
  <si>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</si>
  <si>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</si>
  <si>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</si>
  <si>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</si>
  <si>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</si>
  <si>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</si>
  <si>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</si>
  <si>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</si>
  <si>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</si>
  <si>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</si>
  <si>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</si>
  <si>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</si>
  <si>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</si>
  <si>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</si>
  <si>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</si>
  <si>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</si>
  <si>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</si>
  <si>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</si>
  <si>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</si>
  <si>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</si>
  <si>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</si>
  <si>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</si>
  <si>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</si>
  <si>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</si>
  <si>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</si>
  <si>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</si>
  <si>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</si>
  <si>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</si>
  <si>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</si>
  <si>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</si>
  <si>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</si>
  <si>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</si>
  <si>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</si>
  <si>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</si>
  <si>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</si>
  <si>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</si>
  <si>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</si>
  <si>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</si>
  <si>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</si>
  <si>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</si>
  <si>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</si>
  <si>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</si>
  <si>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</si>
  <si>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</si>
  <si>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</si>
  <si>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</si>
  <si>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</si>
  <si>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</si>
  <si>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</si>
  <si>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</si>
  <si>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</si>
  <si>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</si>
  <si>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</si>
  <si>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</si>
  <si>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</si>
  <si>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</si>
  <si>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</si>
  <si>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</si>
  <si>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</si>
  <si>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</si>
  <si>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</si>
  <si>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</si>
  <si>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</si>
  <si>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</si>
  <si>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</si>
  <si>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</si>
  <si>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</si>
  <si>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</si>
  <si>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</si>
  <si>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</si>
  <si>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</si>
  <si>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</si>
  <si>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</si>
  <si>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</si>
  <si>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</si>
  <si>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</si>
  <si>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</si>
  <si>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</si>
  <si>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</si>
  <si>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</si>
  <si>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</si>
  <si>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</si>
  <si>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</si>
  <si>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</si>
  <si>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</si>
  <si>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</si>
  <si>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</si>
  <si>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</si>
  <si>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</si>
  <si>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</si>
  <si>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</si>
  <si>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</si>
  <si>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</si>
  <si>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</si>
  <si>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</si>
  <si>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</si>
  <si>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</si>
  <si>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</si>
  <si>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</si>
  <si>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</si>
  <si>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</si>
  <si>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</si>
  <si>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</si>
  <si>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</si>
  <si>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</si>
  <si>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</si>
  <si>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</si>
  <si>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</si>
  <si>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</si>
  <si>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</si>
  <si>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</si>
  <si>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</si>
  <si>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</si>
  <si>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</si>
  <si>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</si>
  <si>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</si>
  <si>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</si>
  <si>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</si>
  <si>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</si>
  <si>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</si>
  <si>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</si>
  <si>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</si>
  <si>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</si>
  <si>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</si>
  <si>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</si>
  <si>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</si>
  <si>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</si>
  <si>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</si>
  <si>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</si>
  <si>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</si>
  <si>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</si>
  <si>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</si>
  <si>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</si>
  <si>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</si>
  <si>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</si>
  <si>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</si>
  <si>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</si>
  <si>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</si>
  <si>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</si>
  <si>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</si>
  <si>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</si>
  <si>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</si>
  <si>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</si>
  <si>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</si>
  <si>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</si>
  <si>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</si>
  <si>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</si>
  <si>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</si>
  <si>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</si>
  <si>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</si>
  <si>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</si>
  <si>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</si>
  <si>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</si>
  <si>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</si>
  <si>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</si>
  <si>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</si>
  <si>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</si>
  <si>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</si>
  <si>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</si>
  <si>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</si>
  <si>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</si>
  <si>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</si>
  <si>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</si>
  <si>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</si>
  <si>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</si>
  <si>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</si>
  <si>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</si>
  <si>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</si>
  <si>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</si>
  <si>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</si>
  <si>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</si>
  <si>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</si>
  <si>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</si>
  <si>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</si>
  <si>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</si>
  <si>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</si>
  <si>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</si>
  <si>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</si>
  <si>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</si>
  <si>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</si>
  <si>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</si>
  <si>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</si>
  <si>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</si>
  <si>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</si>
  <si>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</si>
  <si>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</si>
  <si>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</si>
  <si>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</si>
  <si>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</si>
  <si>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</si>
  <si>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</si>
  <si>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</si>
  <si>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</si>
  <si>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</si>
  <si>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</si>
  <si>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</si>
  <si>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</si>
  <si>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</si>
  <si>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</si>
  <si>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</si>
  <si>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</si>
  <si>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</si>
  <si>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</si>
  <si>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</si>
  <si>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</si>
  <si>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</si>
  <si>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</si>
  <si>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</si>
  <si>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</si>
  <si>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</si>
  <si>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</si>
  <si>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</si>
  <si>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</si>
  <si>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</si>
  <si>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</si>
  <si>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</si>
  <si>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</si>
  <si>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</si>
  <si>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</si>
  <si>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</si>
  <si>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</si>
  <si>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</si>
  <si>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</si>
  <si>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</si>
  <si>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</si>
  <si>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</si>
  <si>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</si>
  <si>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</si>
  <si>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</si>
  <si>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</si>
  <si>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</si>
  <si>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</si>
  <si>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</si>
  <si>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</si>
  <si>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</si>
  <si>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</si>
  <si>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</si>
  <si>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</si>
  <si>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</si>
  <si>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</si>
  <si>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</si>
  <si>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</si>
  <si>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</si>
  <si>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</si>
  <si>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</si>
  <si>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</si>
  <si>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</si>
  <si>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</si>
  <si>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</si>
  <si>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</si>
  <si>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</si>
  <si>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</si>
  <si>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</si>
  <si>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</si>
  <si>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</si>
  <si>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</si>
  <si>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</si>
  <si>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</si>
  <si>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</si>
  <si>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</si>
  <si>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</si>
  <si>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</si>
  <si>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</si>
  <si>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</si>
  <si>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</si>
  <si>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</si>
  <si>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</si>
  <si>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</si>
  <si>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</si>
  <si>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</si>
  <si>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</si>
  <si>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</si>
  <si>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</si>
  <si>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</si>
  <si>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</si>
  <si>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</si>
  <si>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</si>
  <si>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</si>
  <si>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</si>
  <si>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</si>
  <si>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</si>
  <si>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</si>
  <si>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</si>
  <si>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</si>
  <si>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</si>
  <si>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</si>
  <si>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</si>
  <si>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</si>
  <si>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</si>
  <si>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</si>
  <si>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</si>
  <si>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</si>
  <si>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</si>
  <si>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</si>
  <si>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</si>
  <si>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</si>
  <si>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</si>
  <si>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</si>
  <si>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</si>
  <si>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</si>
  <si>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</si>
  <si>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</si>
  <si>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</si>
  <si>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</si>
  <si>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</si>
  <si>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</si>
  <si>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</si>
  <si>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</si>
  <si>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</si>
  <si>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</si>
  <si>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</si>
  <si>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</si>
  <si>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</si>
  <si>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</si>
  <si>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</si>
  <si>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</si>
  <si>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</si>
  <si>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</si>
  <si>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</si>
  <si>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</si>
  <si>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</si>
  <si>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</si>
  <si>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</si>
  <si>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</si>
  <si>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</si>
  <si>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</si>
  <si>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</si>
  <si>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</si>
  <si>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</si>
  <si>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</si>
  <si>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</si>
  <si>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</si>
  <si>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</si>
  <si>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</si>
  <si>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</si>
  <si>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</si>
  <si>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</si>
  <si>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</si>
  <si>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</si>
  <si>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</si>
  <si>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</si>
  <si>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</si>
  <si>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</si>
  <si>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</si>
  <si>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</si>
  <si>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</si>
  <si>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</si>
  <si>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</si>
  <si>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</si>
  <si>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</si>
  <si>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</si>
  <si>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</si>
  <si>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</si>
  <si>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</si>
  <si>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</si>
  <si>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</si>
  <si>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</si>
  <si>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</si>
  <si>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</si>
  <si>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</si>
  <si>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</si>
  <si>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</si>
  <si>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</si>
  <si>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</si>
  <si>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</si>
  <si>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</si>
  <si>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</si>
  <si>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</si>
  <si>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</si>
  <si>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</si>
  <si>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</si>
  <si>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</si>
  <si>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</si>
  <si>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</si>
  <si>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</si>
  <si>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</si>
  <si>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</si>
  <si>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</si>
  <si>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</si>
  <si>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</si>
  <si>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</si>
  <si>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</si>
  <si>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</si>
  <si>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</si>
  <si>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</si>
  <si>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</si>
  <si>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</si>
  <si>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</si>
  <si>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</si>
  <si>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</si>
  <si>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</si>
  <si>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</si>
  <si>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</si>
  <si>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</si>
  <si>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</si>
  <si>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</si>
  <si>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</si>
  <si>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</si>
  <si>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</si>
  <si>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</si>
  <si>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</si>
  <si>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</si>
  <si>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</si>
  <si>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</si>
  <si>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</si>
  <si>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</si>
  <si>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</si>
  <si>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</si>
  <si>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</si>
  <si>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</si>
  <si>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</si>
  <si>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</si>
  <si>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</si>
  <si>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</si>
  <si>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</si>
  <si>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</si>
  <si>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</si>
  <si>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</si>
  <si>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</si>
  <si>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</si>
  <si>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</si>
  <si>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</si>
  <si>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</si>
  <si>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</si>
  <si>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</si>
  <si>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</si>
  <si>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</si>
  <si>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</si>
  <si>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</si>
  <si>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</si>
  <si>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</si>
  <si>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</si>
  <si>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</si>
  <si>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</si>
  <si>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</si>
  <si>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</si>
  <si>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</si>
  <si>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</si>
  <si>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</si>
  <si>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</si>
  <si>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</si>
  <si>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</si>
  <si>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</si>
  <si>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</si>
  <si>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</si>
  <si>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</si>
  <si>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</si>
  <si>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</si>
  <si>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</si>
  <si>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</si>
  <si>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</si>
  <si>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</si>
  <si>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</si>
  <si>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</si>
  <si>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</si>
  <si>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</si>
  <si>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</si>
  <si>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</si>
  <si>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</si>
  <si>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</si>
  <si>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</si>
  <si>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</si>
  <si>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</si>
  <si>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</si>
  <si>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</si>
  <si>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</si>
  <si>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</si>
  <si>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</si>
  <si>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</si>
  <si>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</si>
  <si>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</si>
  <si>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</si>
  <si>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</si>
  <si>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</si>
  <si>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</si>
  <si>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</si>
  <si>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</si>
  <si>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</si>
  <si>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</si>
  <si>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</si>
  <si>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</si>
  <si>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</si>
  <si>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</si>
  <si>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</si>
  <si>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</si>
  <si>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</si>
  <si>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</si>
  <si>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</si>
  <si>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</si>
  <si>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</si>
  <si>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</si>
  <si>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</si>
  <si>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</si>
  <si>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</si>
  <si>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</si>
  <si>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</si>
  <si>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</si>
  <si>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</si>
  <si>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</si>
  <si>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</si>
  <si>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</si>
  <si>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</si>
  <si>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</si>
  <si>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</si>
  <si>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</si>
  <si>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</si>
  <si>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</si>
  <si>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</si>
  <si>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</si>
  <si>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</si>
  <si>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</si>
  <si>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</si>
  <si>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</si>
  <si>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</si>
  <si>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</si>
  <si>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</si>
  <si>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</si>
  <si>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</si>
  <si>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</si>
  <si>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</si>
  <si>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</si>
  <si>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</si>
  <si>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</si>
  <si>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</si>
  <si>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</si>
  <si>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</si>
  <si>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</si>
  <si>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</si>
  <si>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</si>
  <si>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</si>
  <si>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</si>
  <si>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</si>
  <si>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</si>
  <si>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</si>
  <si>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</si>
  <si>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</si>
  <si>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</si>
  <si>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</si>
  <si>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</si>
  <si>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</si>
  <si>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</si>
  <si>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</si>
  <si>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</si>
  <si>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</si>
  <si>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</si>
  <si>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</si>
  <si>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</si>
  <si>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</si>
  <si>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</si>
  <si>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</si>
  <si>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</si>
  <si>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</si>
  <si>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</si>
  <si>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</si>
  <si>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</si>
  <si>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</si>
  <si>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</si>
  <si>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</si>
  <si>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</si>
  <si>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</si>
  <si>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</si>
  <si>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</si>
  <si>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</si>
  <si>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</si>
  <si>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</si>
  <si>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</si>
  <si>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</si>
  <si>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</si>
  <si>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</si>
  <si>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</si>
  <si>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</si>
  <si>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</si>
  <si>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</si>
  <si>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</si>
  <si>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</si>
  <si>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</si>
  <si>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</si>
  <si>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</si>
  <si>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</si>
  <si>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</si>
  <si>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</si>
  <si>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</si>
  <si>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</si>
  <si>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</si>
  <si>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</si>
  <si>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</si>
  <si>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</si>
  <si>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</si>
  <si>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</si>
  <si>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</si>
  <si>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</si>
  <si>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</si>
  <si>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</si>
  <si>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</si>
  <si>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</si>
  <si>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</si>
  <si>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</si>
  <si>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</si>
  <si>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</si>
  <si>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</si>
  <si>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</si>
  <si>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</si>
  <si>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</si>
  <si>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</si>
  <si>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</si>
  <si>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</si>
  <si>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</si>
  <si>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</si>
  <si>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</si>
  <si>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</si>
  <si>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</si>
  <si>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</si>
  <si>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</si>
  <si>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</si>
  <si>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</si>
  <si>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</si>
  <si>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</si>
  <si>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</si>
  <si>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</si>
  <si>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</si>
  <si>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</si>
  <si>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</si>
  <si>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</si>
  <si>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</si>
  <si>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</si>
  <si>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</si>
  <si>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</si>
  <si>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</si>
  <si>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</si>
  <si>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</si>
  <si>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</si>
  <si>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</si>
  <si>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</si>
  <si>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</si>
  <si>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</si>
  <si>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</si>
  <si>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</si>
  <si>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</si>
  <si>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</si>
  <si>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</si>
  <si>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</si>
  <si>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</si>
  <si>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</si>
  <si>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</si>
  <si>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</si>
  <si>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</si>
  <si>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</si>
  <si>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</si>
  <si>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</si>
  <si>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</si>
  <si>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</si>
  <si>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</si>
  <si>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</si>
  <si>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</si>
  <si>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</si>
  <si>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</si>
  <si>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</si>
  <si>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</si>
  <si>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</si>
  <si>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</si>
  <si>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</si>
  <si>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</si>
  <si>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</si>
  <si>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</si>
  <si>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</si>
  <si>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</si>
  <si>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</si>
  <si>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</si>
  <si>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</si>
  <si>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</si>
  <si>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</si>
  <si>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</si>
  <si>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</si>
  <si>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</si>
  <si>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</si>
  <si>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</si>
  <si>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</si>
  <si>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</si>
  <si>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</si>
  <si>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</si>
  <si>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</si>
  <si>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</si>
  <si>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</si>
  <si>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</si>
  <si>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</si>
  <si>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</si>
  <si>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</si>
  <si>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</si>
  <si>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</si>
  <si>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</si>
  <si>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</si>
  <si>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</si>
  <si>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</si>
  <si>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</si>
  <si>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</si>
  <si>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</si>
  <si>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</si>
  <si>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</si>
  <si>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</si>
  <si>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</si>
  <si>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</si>
  <si>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</si>
  <si>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</si>
  <si>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</si>
  <si>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</si>
  <si>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</si>
  <si>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</si>
  <si>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</si>
  <si>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</si>
  <si>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</si>
  <si>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</si>
  <si>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</si>
  <si>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</si>
  <si>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</si>
  <si>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</si>
  <si>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</si>
  <si>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</si>
  <si>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</si>
  <si>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</si>
  <si>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</si>
  <si>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</si>
  <si>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</si>
  <si>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</si>
  <si>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</si>
  <si>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</si>
  <si>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</si>
  <si>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</si>
  <si>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</si>
  <si>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</si>
  <si>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</si>
  <si>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</si>
  <si>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</si>
  <si>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</si>
  <si>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</si>
  <si>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</si>
  <si>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</si>
  <si>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</si>
  <si>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</si>
  <si>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</si>
  <si>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</si>
  <si>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</si>
  <si>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</si>
  <si>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</si>
  <si>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</si>
  <si>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</si>
  <si>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</si>
  <si>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</si>
  <si>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</si>
  <si>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</si>
  <si>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</si>
  <si>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</si>
  <si>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</si>
  <si>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</si>
  <si>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</si>
  <si>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</si>
  <si>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</si>
  <si>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</si>
  <si>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</si>
  <si>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</si>
  <si>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</si>
  <si>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</si>
  <si>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</si>
  <si>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</si>
  <si>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</si>
  <si>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</si>
  <si>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</si>
  <si>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</si>
  <si>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</si>
  <si>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</si>
  <si>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</si>
  <si>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</si>
  <si>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</si>
  <si>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</si>
  <si>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</si>
  <si>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</si>
  <si>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</si>
  <si>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</si>
  <si>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</si>
  <si>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</si>
  <si>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</si>
  <si>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</si>
  <si>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</si>
  <si>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</si>
  <si>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</si>
  <si>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</si>
  <si>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</si>
  <si>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</si>
  <si>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</si>
  <si>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</si>
  <si>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</si>
  <si>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</si>
  <si>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</si>
  <si>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</si>
  <si>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</si>
  <si>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</si>
  <si>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</si>
  <si>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</si>
  <si>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</si>
  <si>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</si>
  <si>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</si>
  <si>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</si>
  <si>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</si>
  <si>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</si>
  <si>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</si>
  <si>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</si>
  <si>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</si>
  <si>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</si>
  <si>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</si>
  <si>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</si>
  <si>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</si>
  <si>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</si>
  <si>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</si>
  <si>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</si>
  <si>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</si>
  <si>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</si>
  <si>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</si>
  <si>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</si>
  <si>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</si>
  <si>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</si>
  <si>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</si>
  <si>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</si>
  <si>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</si>
  <si>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</si>
  <si>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</si>
  <si>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</si>
  <si>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</si>
  <si>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</si>
  <si>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</si>
  <si>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</si>
  <si>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</si>
  <si>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</si>
  <si>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</si>
  <si>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</si>
  <si>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</si>
  <si>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</si>
  <si>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</si>
  <si>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</si>
  <si>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</si>
  <si>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</si>
  <si>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</si>
  <si>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</si>
  <si>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</si>
  <si>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</si>
  <si>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</si>
  <si>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</si>
  <si>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</si>
  <si>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</si>
  <si>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</si>
  <si>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</si>
  <si>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</si>
  <si>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</si>
  <si>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</si>
  <si>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</si>
  <si>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</si>
  <si>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</si>
  <si>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</si>
  <si>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</si>
  <si>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</si>
  <si>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</si>
  <si>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</si>
  <si>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</si>
  <si>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</si>
  <si>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</si>
  <si>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</si>
  <si>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</si>
  <si>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</si>
  <si>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</si>
  <si>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</si>
  <si>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</si>
  <si>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</si>
  <si>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</si>
  <si>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</si>
  <si>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</si>
  <si>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</si>
  <si>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</si>
  <si>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</si>
  <si>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</si>
  <si>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</si>
  <si>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</si>
  <si>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</si>
  <si>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</si>
  <si>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</si>
  <si>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</si>
  <si>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</si>
  <si>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</si>
  <si>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</si>
  <si>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</si>
  <si>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</si>
  <si>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</si>
  <si>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</si>
  <si>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</si>
  <si>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</si>
  <si>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</si>
  <si>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</si>
  <si>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</si>
  <si>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</si>
  <si>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</si>
  <si>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</si>
  <si>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</si>
  <si>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</si>
  <si>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</si>
  <si>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</si>
  <si>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</si>
  <si>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</si>
  <si>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</si>
  <si>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</si>
  <si>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</si>
  <si>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</si>
  <si>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</si>
  <si>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</si>
  <si>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</si>
  <si>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</si>
  <si>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</si>
  <si>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</si>
  <si>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</si>
  <si>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</si>
  <si>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</si>
  <si>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</si>
  <si>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</si>
  <si>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</si>
  <si>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</si>
  <si>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</si>
  <si>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</si>
  <si>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</si>
  <si>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</si>
  <si>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</si>
  <si>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</si>
  <si>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</si>
  <si>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</si>
  <si>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</si>
  <si>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</si>
  <si>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</si>
  <si>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</si>
  <si>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</si>
  <si>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</si>
  <si>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</si>
  <si>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</si>
  <si>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</si>
  <si>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</si>
  <si>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</si>
  <si>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</si>
  <si>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</si>
  <si>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</si>
  <si>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</si>
  <si>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</si>
  <si>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</si>
  <si>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</si>
  <si>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</si>
  <si>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</si>
  <si>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</si>
  <si>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</si>
  <si>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</si>
  <si>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</si>
  <si>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</si>
  <si>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</si>
  <si>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</si>
  <si>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</si>
  <si>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</si>
  <si>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</si>
  <si>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</si>
  <si>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</si>
  <si>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</si>
  <si>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</si>
  <si>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</si>
  <si>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</si>
  <si>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</si>
  <si>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</si>
  <si>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</si>
  <si>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</si>
  <si>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</si>
  <si>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</si>
  <si>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</si>
  <si>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</si>
  <si>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</si>
  <si>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</si>
  <si>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</si>
  <si>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</si>
  <si>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</si>
  <si>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</si>
  <si>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</si>
  <si>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</si>
  <si>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</si>
  <si>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</si>
  <si>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</si>
  <si>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</si>
  <si>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</si>
  <si>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</si>
  <si>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</si>
  <si>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</si>
  <si>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</si>
  <si>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</si>
  <si>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</si>
  <si>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</si>
  <si>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</si>
  <si>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</si>
  <si>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</si>
  <si>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</si>
  <si>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</si>
  <si>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</si>
  <si>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</si>
  <si>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</si>
  <si>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</si>
  <si>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</si>
  <si>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</si>
  <si>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</si>
  <si>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</si>
  <si>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</si>
  <si>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</si>
  <si>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</si>
  <si>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</si>
  <si>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</si>
  <si>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</si>
  <si>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</si>
  <si>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</si>
  <si>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</si>
  <si>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</si>
  <si>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</si>
  <si>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</si>
  <si>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</si>
  <si>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</si>
  <si>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</si>
  <si>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</si>
  <si>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</si>
  <si>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</si>
  <si>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</si>
  <si>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</si>
  <si>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</si>
  <si>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</si>
  <si>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</si>
  <si>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</si>
  <si>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</si>
  <si>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</si>
  <si>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</si>
  <si>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</si>
  <si>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</si>
  <si>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</si>
  <si>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</si>
  <si>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</si>
  <si>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</si>
  <si>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</si>
  <si>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</si>
  <si>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</si>
  <si>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</si>
  <si>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</si>
  <si>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</si>
  <si>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</si>
  <si>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</si>
  <si>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</si>
  <si>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</si>
  <si>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</si>
  <si>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</si>
  <si>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</si>
  <si>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</si>
  <si>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</si>
  <si>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</si>
  <si>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</si>
  <si>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</si>
  <si>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</si>
  <si>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</si>
  <si>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</si>
  <si>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</si>
  <si>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</si>
  <si>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</si>
  <si>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</si>
  <si>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</si>
  <si>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</si>
  <si>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</si>
  <si>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</si>
  <si>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</si>
  <si>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</si>
  <si>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</si>
  <si>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</si>
  <si>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</si>
  <si>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</si>
  <si>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</si>
  <si>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</si>
  <si>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</si>
  <si>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</si>
  <si>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</si>
  <si>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</si>
  <si>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</si>
  <si>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</si>
  <si>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</si>
  <si>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</si>
  <si>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</si>
  <si>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</si>
  <si>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</si>
  <si>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</si>
  <si>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</si>
  <si>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</si>
  <si>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</si>
  <si>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</si>
  <si>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</si>
  <si>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</si>
  <si>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</si>
  <si>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</si>
  <si>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</si>
  <si>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</si>
  <si>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</si>
  <si>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</si>
  <si>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</si>
  <si>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</si>
  <si>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</si>
  <si>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</si>
  <si>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</si>
  <si>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</si>
  <si>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</si>
  <si>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</si>
  <si>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</si>
  <si>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</si>
  <si>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</si>
  <si>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</si>
  <si>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</si>
  <si>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</si>
  <si>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</si>
  <si>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</si>
  <si>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</si>
  <si>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</si>
  <si>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</si>
  <si>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</si>
  <si>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</si>
  <si>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</si>
  <si>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</si>
  <si>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</si>
  <si>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</si>
  <si>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</si>
  <si>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</si>
  <si>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</si>
  <si>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</si>
  <si>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</si>
  <si>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</si>
  <si>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</si>
  <si>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</si>
  <si>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</si>
  <si>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</si>
  <si>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</si>
  <si>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</si>
  <si>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</si>
  <si>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</si>
  <si>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</si>
  <si>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</si>
  <si>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</si>
  <si>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</si>
  <si>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</si>
  <si>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</si>
  <si>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</si>
  <si>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</si>
  <si>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</si>
  <si>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</si>
  <si>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</si>
  <si>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</si>
  <si>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</si>
  <si>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</si>
  <si>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</si>
  <si>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</si>
  <si>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</si>
  <si>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</si>
  <si>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</si>
  <si>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</si>
  <si>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</si>
  <si>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</si>
  <si>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</si>
  <si>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</si>
  <si>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</si>
  <si>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</si>
  <si>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</si>
  <si>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</si>
  <si>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</si>
  <si>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</si>
  <si>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</si>
  <si>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</si>
  <si>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</si>
  <si>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</si>
  <si>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</si>
  <si>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</si>
  <si>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</si>
  <si>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</si>
  <si>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</si>
  <si>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</si>
  <si>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</si>
  <si>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</si>
  <si>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</si>
  <si>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</si>
  <si>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</si>
  <si>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</si>
  <si>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</si>
  <si>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</si>
  <si>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</si>
  <si>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抵押</t>
  </si>
  <si>
    <t>房地产抵押价值</t>
  </si>
  <si>
    <t>北京市</t>
  </si>
  <si>
    <t>企业</t>
  </si>
  <si>
    <r>
      <t>1号楼</t>
    </r>
    <r>
      <rPr>
        <sz val="11"/>
        <color theme="1"/>
        <rFont val="宋体"/>
        <family val="3"/>
        <charset val="134"/>
        <scheme val="minor"/>
      </rPr>
      <t>1-5层101</t>
    </r>
    <phoneticPr fontId="135" type="noConversion"/>
  </si>
  <si>
    <t>2号楼1层101</t>
    <phoneticPr fontId="135" type="noConversion"/>
  </si>
  <si>
    <t>4号楼1层101</t>
    <phoneticPr fontId="135" type="noConversion"/>
  </si>
  <si>
    <t>5号楼1层101</t>
    <phoneticPr fontId="135" type="noConversion"/>
  </si>
  <si>
    <t>7号楼1层101</t>
    <phoneticPr fontId="135" type="noConversion"/>
  </si>
  <si>
    <t>8号楼1层101</t>
    <phoneticPr fontId="135" type="noConversion"/>
  </si>
  <si>
    <t>9号楼-2至-1层-101</t>
    <phoneticPr fontId="135" type="noConversion"/>
  </si>
  <si>
    <t>商业</t>
    <phoneticPr fontId="135" type="noConversion"/>
  </si>
  <si>
    <t>疏散出入口</t>
    <phoneticPr fontId="135" type="noConversion"/>
  </si>
  <si>
    <t>非机动车库</t>
    <phoneticPr fontId="135" type="noConversion"/>
  </si>
  <si>
    <t>商业、非机动车库、机动车库及设备用房</t>
    <phoneticPr fontId="135" type="noConversion"/>
  </si>
  <si>
    <t>楼号</t>
    <phoneticPr fontId="135" type="noConversion"/>
  </si>
  <si>
    <t>建筑面积</t>
    <phoneticPr fontId="135" type="noConversion"/>
  </si>
  <si>
    <t>土地到期日</t>
    <phoneticPr fontId="135" type="noConversion"/>
  </si>
  <si>
    <t>是</t>
  </si>
  <si>
    <t>地下人防</t>
    <phoneticPr fontId="135" type="noConversion"/>
  </si>
  <si>
    <t>地上</t>
  </si>
  <si>
    <t>地下</t>
  </si>
  <si>
    <t>商业</t>
    <phoneticPr fontId="8" type="noConversion"/>
  </si>
  <si>
    <t>成新度</t>
  </si>
  <si>
    <t>地下车库</t>
    <phoneticPr fontId="135" type="noConversion"/>
  </si>
  <si>
    <t>地下商业</t>
    <phoneticPr fontId="135" type="noConversion"/>
  </si>
  <si>
    <t>地下设备</t>
    <phoneticPr fontId="135" type="noConversion"/>
  </si>
  <si>
    <t>Ⅸ-平1</t>
  </si>
  <si>
    <t>自定义容积率</t>
  </si>
  <si>
    <t>不临65条商业街</t>
  </si>
  <si>
    <t>中心城区以外</t>
  </si>
  <si>
    <t>一般</t>
  </si>
  <si>
    <t>较好</t>
  </si>
  <si>
    <t>好</t>
  </si>
  <si>
    <t>与级别开发程度不一致</t>
  </si>
  <si>
    <t>通路</t>
  </si>
  <si>
    <t>通电</t>
  </si>
  <si>
    <t>通讯</t>
  </si>
  <si>
    <t>通上水</t>
  </si>
  <si>
    <t>通下水</t>
  </si>
  <si>
    <t>燃气</t>
  </si>
  <si>
    <t>平整</t>
  </si>
  <si>
    <t>押一</t>
  </si>
  <si>
    <t>钢混</t>
  </si>
  <si>
    <t>非生产用房</t>
  </si>
  <si>
    <t>否</t>
  </si>
  <si>
    <t>商业收益法</t>
  </si>
  <si>
    <t>商业收益法</t>
    <phoneticPr fontId="17" type="noConversion"/>
  </si>
  <si>
    <t>车库收益法</t>
    <phoneticPr fontId="17" type="noConversion"/>
  </si>
  <si>
    <t>第1年</t>
    <phoneticPr fontId="135" type="noConversion"/>
  </si>
  <si>
    <t>第2年</t>
  </si>
  <si>
    <t>第3年</t>
  </si>
  <si>
    <t>第4年</t>
  </si>
  <si>
    <t>第5年</t>
  </si>
  <si>
    <t>第6年</t>
  </si>
  <si>
    <t>第7年</t>
  </si>
  <si>
    <t>第8年</t>
  </si>
  <si>
    <t>第9年</t>
  </si>
  <si>
    <t>第10年</t>
  </si>
  <si>
    <t>第11年</t>
  </si>
  <si>
    <t>第12年</t>
  </si>
  <si>
    <t>第13年</t>
  </si>
  <si>
    <t>第14年</t>
  </si>
  <si>
    <t>第15年</t>
  </si>
  <si>
    <t>第16年</t>
  </si>
  <si>
    <t>第17年</t>
  </si>
  <si>
    <t>第18年</t>
  </si>
  <si>
    <t>第19年</t>
  </si>
  <si>
    <t>第20年</t>
  </si>
  <si>
    <t>2025.9.29-2026.9.28</t>
    <phoneticPr fontId="135" type="noConversion"/>
  </si>
  <si>
    <t>2026.9.29-2027.9.29</t>
    <phoneticPr fontId="135" type="noConversion"/>
  </si>
  <si>
    <t>2027.9.29-2027.9.30</t>
    <phoneticPr fontId="135" type="noConversion"/>
  </si>
  <si>
    <t>2028.9.29-2029.9.31</t>
    <phoneticPr fontId="135" type="noConversion"/>
  </si>
  <si>
    <t>2029.9.29-2030.9.32</t>
    <phoneticPr fontId="135" type="noConversion"/>
  </si>
  <si>
    <t>2030.9.29-2031.9.33</t>
    <phoneticPr fontId="135" type="noConversion"/>
  </si>
  <si>
    <t>2031.9.29-2032.9.34</t>
    <phoneticPr fontId="135" type="noConversion"/>
  </si>
  <si>
    <t>2032.9.29-2033.9.35</t>
    <phoneticPr fontId="135" type="noConversion"/>
  </si>
  <si>
    <t>2033.9.29-2034.9.36</t>
    <phoneticPr fontId="135" type="noConversion"/>
  </si>
  <si>
    <t>2034.9.29-2035.9.37</t>
    <phoneticPr fontId="135" type="noConversion"/>
  </si>
  <si>
    <t>2035.9.29-2036.9.38</t>
    <phoneticPr fontId="135" type="noConversion"/>
  </si>
  <si>
    <t>2036.9.29-2037.9.39</t>
    <phoneticPr fontId="135" type="noConversion"/>
  </si>
  <si>
    <t>2037.9.29-2038.9.40</t>
    <phoneticPr fontId="135" type="noConversion"/>
  </si>
  <si>
    <t>2038.9.29-2039.9.41</t>
    <phoneticPr fontId="135" type="noConversion"/>
  </si>
  <si>
    <t>2039.9.29-2040.9.42</t>
    <phoneticPr fontId="135" type="noConversion"/>
  </si>
  <si>
    <t>2040.9.29-2041.9.43</t>
    <phoneticPr fontId="135" type="noConversion"/>
  </si>
  <si>
    <t>2041.9.29-2042.9.44</t>
    <phoneticPr fontId="135" type="noConversion"/>
  </si>
  <si>
    <t>2042.9.29-2043.9.45</t>
    <phoneticPr fontId="135" type="noConversion"/>
  </si>
  <si>
    <t>2043.9.29-2044.9.46</t>
    <phoneticPr fontId="135" type="noConversion"/>
  </si>
  <si>
    <t>2044.9.29-2045.9.47</t>
    <phoneticPr fontId="135" type="noConversion"/>
  </si>
  <si>
    <t>年度</t>
    <phoneticPr fontId="135" type="noConversion"/>
  </si>
  <si>
    <t>时间</t>
    <phoneticPr fontId="135" type="noConversion"/>
  </si>
  <si>
    <t>固定租金（万元/年）</t>
    <phoneticPr fontId="135" type="noConversion"/>
  </si>
  <si>
    <t>成本法</t>
  </si>
  <si>
    <t>日租金</t>
    <phoneticPr fontId="135" type="noConversion"/>
  </si>
  <si>
    <t>增长率</t>
    <phoneticPr fontId="135" type="noConversion"/>
  </si>
  <si>
    <r>
      <rPr>
        <sz val="11"/>
        <color theme="1"/>
        <rFont val="宋体"/>
        <family val="2"/>
        <charset val="134"/>
      </rPr>
      <t>项目类型</t>
    </r>
  </si>
  <si>
    <t>购物中心</t>
  </si>
  <si>
    <r>
      <rPr>
        <sz val="11"/>
        <color theme="1"/>
        <rFont val="宋体"/>
        <family val="2"/>
        <charset val="134"/>
      </rPr>
      <t>建筑类型</t>
    </r>
  </si>
  <si>
    <t>多层</t>
  </si>
  <si>
    <r>
      <rPr>
        <i/>
        <sz val="9"/>
        <color theme="1"/>
        <rFont val="宋体"/>
        <family val="3"/>
        <charset val="134"/>
      </rPr>
      <t>地上</t>
    </r>
  </si>
  <si>
    <r>
      <rPr>
        <i/>
        <sz val="9"/>
        <color theme="1"/>
        <rFont val="宋体"/>
        <family val="3"/>
        <charset val="134"/>
      </rPr>
      <t>地下</t>
    </r>
  </si>
  <si>
    <r>
      <rPr>
        <sz val="11"/>
        <color theme="1"/>
        <rFont val="宋体"/>
        <family val="2"/>
        <charset val="134"/>
      </rPr>
      <t>建筑面积</t>
    </r>
  </si>
  <si>
    <r>
      <rPr>
        <sz val="11"/>
        <color theme="1"/>
        <rFont val="宋体"/>
        <family val="2"/>
        <charset val="134"/>
      </rPr>
      <t>总</t>
    </r>
  </si>
  <si>
    <r>
      <rPr>
        <sz val="11"/>
        <color theme="1"/>
        <rFont val="宋体"/>
        <family val="2"/>
        <charset val="134"/>
      </rPr>
      <t>建安造价</t>
    </r>
  </si>
  <si>
    <t>总造价</t>
  </si>
  <si>
    <r>
      <rPr>
        <sz val="11"/>
        <color theme="1"/>
        <rFont val="宋体"/>
        <family val="2"/>
        <charset val="134"/>
      </rPr>
      <t>主体（含屋面、外装）</t>
    </r>
  </si>
  <si>
    <r>
      <rPr>
        <sz val="11"/>
        <color theme="1"/>
        <rFont val="宋体"/>
        <family val="2"/>
        <charset val="134"/>
      </rPr>
      <t>装修</t>
    </r>
  </si>
  <si>
    <r>
      <rPr>
        <sz val="11"/>
        <color theme="1"/>
        <rFont val="宋体"/>
        <family val="2"/>
        <charset val="134"/>
      </rPr>
      <t>机电设备</t>
    </r>
  </si>
  <si>
    <t>占比</t>
  </si>
  <si>
    <t>主体</t>
  </si>
  <si>
    <t>装修</t>
  </si>
  <si>
    <t>设备</t>
  </si>
  <si>
    <t>楼层</t>
    <phoneticPr fontId="4" type="noConversion"/>
  </si>
  <si>
    <t>地下商业</t>
    <phoneticPr fontId="4" type="noConversion"/>
  </si>
  <si>
    <t>地下车库</t>
    <phoneticPr fontId="4" type="noConversion"/>
  </si>
  <si>
    <t>租金</t>
    <phoneticPr fontId="4" type="noConversion"/>
  </si>
  <si>
    <t>系数</t>
    <phoneticPr fontId="4" type="noConversion"/>
  </si>
  <si>
    <t>面积</t>
    <phoneticPr fontId="4" type="noConversion"/>
  </si>
  <si>
    <t>未包含在土地购买价格中</t>
  </si>
  <si>
    <t>全部缴纳</t>
  </si>
  <si>
    <t>已包含在土地取得成本中</t>
  </si>
  <si>
    <t>售价</t>
    <phoneticPr fontId="4" type="noConversion"/>
  </si>
  <si>
    <t>租期内日租金</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</si>
</sst>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font>
    <font>
      <sz val="10"/>
      <color indexed="8"/>
      <name val="Arial"/>
      <family val="3"/>
      <charset val="134"/>
    </font>
    <font>
      <i/>
      <sz val="9"/>
      <color theme="1"/>
      <name val="Arial"/>
      <family val="2"/>
    </font>
    <font>
      <i/>
      <sz val="9"/>
      <color theme="1"/>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xf numFmtId="0" fontId="54"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52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4" fontId="0" fillId="0" borderId="0" xfId="0" applyNumberFormat="1" applyAlignment="1">
      <alignment horizontal="left" vertical="center"/>
    </xf>
    <xf numFmtId="0" fontId="273" fillId="12" borderId="0" xfId="0" applyFont="1" applyFill="1" applyProtection="1">
      <alignment vertical="center"/>
      <protection locked="0"/>
    </xf>
    <xf numFmtId="10" fontId="0" fillId="0" borderId="0" xfId="0" applyNumberFormat="1" applyAlignment="1">
      <alignment horizontal="left" vertical="center"/>
    </xf>
    <xf numFmtId="0" fontId="48" fillId="12" borderId="1" xfId="0" applyFont="1" applyFill="1" applyBorder="1" applyAlignment="1" applyProtection="1">
      <alignment horizontal="left" vertical="center"/>
      <protection locked="0"/>
    </xf>
    <xf numFmtId="0" fontId="99" fillId="26" borderId="0" xfId="10" applyFont="1" applyFill="1" applyAlignment="1" applyProtection="1">
      <alignment horizontal="left" vertical="center" wrapText="1"/>
      <protection locked="0"/>
    </xf>
    <xf numFmtId="0" fontId="99" fillId="0" borderId="0" xfId="10" applyFont="1" applyAlignment="1" applyProtection="1">
      <alignment horizontal="left" vertical="center" wrapText="1"/>
      <protection locked="0"/>
    </xf>
    <xf numFmtId="0" fontId="99" fillId="23" borderId="0" xfId="10" applyFont="1" applyFill="1" applyAlignment="1" applyProtection="1">
      <alignment horizontal="left" vertical="center" wrapText="1"/>
      <protection locked="0"/>
    </xf>
    <xf numFmtId="0" fontId="78" fillId="12" borderId="1" xfId="0" applyFont="1" applyFill="1" applyBorder="1" applyAlignment="1" applyProtection="1">
      <alignment horizontal="left" vertical="center"/>
      <protection locked="0"/>
    </xf>
    <xf numFmtId="0" fontId="99" fillId="25" borderId="0" xfId="10" applyFont="1" applyFill="1" applyAlignment="1" applyProtection="1">
      <alignment horizontal="left" vertical="center" wrapText="1"/>
      <protection locked="0"/>
    </xf>
    <xf numFmtId="0" fontId="115" fillId="22" borderId="0" xfId="10" applyFont="1" applyFill="1" applyAlignment="1" applyProtection="1">
      <alignment horizontal="left" vertical="center" wrapText="1"/>
      <protection locked="0"/>
    </xf>
    <xf numFmtId="0" fontId="274" fillId="0" borderId="0" xfId="10" applyFont="1" applyAlignment="1" applyProtection="1">
      <alignment horizontal="left" vertical="center" wrapText="1"/>
      <protection locked="0"/>
    </xf>
    <xf numFmtId="0" fontId="99" fillId="22" borderId="0" xfId="10" applyFont="1" applyFill="1" applyAlignment="1" applyProtection="1">
      <alignment horizontal="left" vertical="center" wrapText="1"/>
      <protection locked="0"/>
    </xf>
    <xf numFmtId="0" fontId="274" fillId="22" borderId="0" xfId="10" applyFont="1" applyFill="1" applyAlignment="1" applyProtection="1">
      <alignment horizontal="left" vertical="center" wrapText="1"/>
      <protection locked="0"/>
    </xf>
    <xf numFmtId="0" fontId="99" fillId="24" borderId="0" xfId="10" applyFont="1" applyFill="1" applyAlignment="1" applyProtection="1">
      <alignment horizontal="left" vertical="center" wrapText="1"/>
      <protection locked="0"/>
    </xf>
    <xf numFmtId="0" fontId="115" fillId="0" borderId="0" xfId="10" applyFont="1" applyAlignment="1" applyProtection="1">
      <alignment horizontal="left" vertical="center" wrapText="1"/>
      <protection locked="0"/>
    </xf>
    <xf numFmtId="181" fontId="99" fillId="0" borderId="0" xfId="20" applyNumberFormat="1" applyFont="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99" fillId="0" borderId="0" xfId="10" applyFont="1" applyAlignment="1" applyProtection="1">
      <alignment horizontal="left" vertical="center" wrapText="1"/>
      <protection locked="0"/>
    </xf>
    <xf numFmtId="0" fontId="115" fillId="23" borderId="0" xfId="10" applyFont="1" applyFill="1" applyAlignment="1" applyProtection="1">
      <alignment horizontal="left" vertical="center" wrapText="1"/>
      <protection locked="0"/>
    </xf>
    <xf numFmtId="0" fontId="99" fillId="23" borderId="0" xfId="10" applyFont="1" applyFill="1" applyAlignment="1" applyProtection="1">
      <alignment horizontal="left" vertical="center" wrapText="1"/>
      <protection locked="0"/>
    </xf>
    <xf numFmtId="0" fontId="99" fillId="25" borderId="0" xfId="10" applyFont="1" applyFill="1" applyAlignment="1" applyProtection="1">
      <alignment horizontal="left" vertical="center" wrapText="1"/>
      <protection locked="0"/>
    </xf>
    <xf numFmtId="0" fontId="99" fillId="26" borderId="0" xfId="10" applyFont="1" applyFill="1" applyAlignment="1" applyProtection="1">
      <alignment horizontal="left" vertical="center" wrapText="1"/>
      <protection locked="0"/>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4">
    <cellStyle name="百分比" xfId="17" builtinId="5"/>
    <cellStyle name="百分比 2" xfId="14" xr:uid="{00000000-0005-0000-0000-000001000000}"/>
    <cellStyle name="百分比 3" xfId="23" xr:uid="{6BC4CF95-1C1A-408D-8CAC-5934BC140D28}"/>
    <cellStyle name="百分比 4" xfId="20" xr:uid="{5E265126-C624-4EE2-BAAA-D88E0F0EB7EC}"/>
    <cellStyle name="常规" xfId="0" builtinId="0"/>
    <cellStyle name="常规 10" xfId="21" xr:uid="{45FA7F44-7901-43F9-A896-B27F5F82B49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788AA3A-F174-4D66-9828-CB7A9520AE1F}"/>
    <cellStyle name="千位分隔 2" xfId="22" xr:uid="{CD829DBB-1411-47E1-9746-B72A38BC2144}"/>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560261</xdr:colOff>
      <xdr:row>24</xdr:row>
      <xdr:rowOff>44159</xdr:rowOff>
    </xdr:to>
    <xdr:pic>
      <xdr:nvPicPr>
        <xdr:cNvPr id="2" name="图片 1">
          <a:extLst>
            <a:ext uri="{FF2B5EF4-FFF2-40B4-BE49-F238E27FC236}">
              <a16:creationId xmlns:a16="http://schemas.microsoft.com/office/drawing/2014/main" id="{5D942923-20C9-33C6-1C75-A91FB4CE6F2F}"/>
            </a:ext>
          </a:extLst>
        </xdr:cNvPr>
        <xdr:cNvPicPr>
          <a:picLocks noChangeAspect="1"/>
        </xdr:cNvPicPr>
      </xdr:nvPicPr>
      <xdr:blipFill>
        <a:blip xmlns:r="http://schemas.openxmlformats.org/officeDocument/2006/relationships" r:embed="rId1"/>
        <a:stretch>
          <a:fillRect/>
        </a:stretch>
      </xdr:blipFill>
      <xdr:spPr>
        <a:xfrm>
          <a:off x="0" y="0"/>
          <a:ext cx="8104061" cy="4158959"/>
        </a:xfrm>
        <a:prstGeom prst="rect">
          <a:avLst/>
        </a:prstGeom>
      </xdr:spPr>
    </xdr:pic>
    <xdr:clientData/>
  </xdr:twoCellAnchor>
  <xdr:twoCellAnchor editAs="oneCell">
    <xdr:from>
      <xdr:col>12</xdr:col>
      <xdr:colOff>161924</xdr:colOff>
      <xdr:row>0</xdr:row>
      <xdr:rowOff>0</xdr:rowOff>
    </xdr:from>
    <xdr:to>
      <xdr:col>16</xdr:col>
      <xdr:colOff>561449</xdr:colOff>
      <xdr:row>25</xdr:row>
      <xdr:rowOff>124967</xdr:rowOff>
    </xdr:to>
    <xdr:pic>
      <xdr:nvPicPr>
        <xdr:cNvPr id="3" name="图片 2">
          <a:extLst>
            <a:ext uri="{FF2B5EF4-FFF2-40B4-BE49-F238E27FC236}">
              <a16:creationId xmlns:a16="http://schemas.microsoft.com/office/drawing/2014/main" id="{87456B0B-F31C-55E6-3DC1-189CBE0147E2}"/>
            </a:ext>
          </a:extLst>
        </xdr:cNvPr>
        <xdr:cNvPicPr>
          <a:picLocks noChangeAspect="1"/>
        </xdr:cNvPicPr>
      </xdr:nvPicPr>
      <xdr:blipFill>
        <a:blip xmlns:r="http://schemas.openxmlformats.org/officeDocument/2006/relationships" r:embed="rId2"/>
        <a:stretch>
          <a:fillRect/>
        </a:stretch>
      </xdr:blipFill>
      <xdr:spPr>
        <a:xfrm>
          <a:off x="8391524" y="0"/>
          <a:ext cx="3142725" cy="4411217"/>
        </a:xfrm>
        <a:prstGeom prst="rect">
          <a:avLst/>
        </a:prstGeom>
      </xdr:spPr>
    </xdr:pic>
    <xdr:clientData/>
  </xdr:twoCellAnchor>
  <xdr:twoCellAnchor editAs="oneCell">
    <xdr:from>
      <xdr:col>0</xdr:col>
      <xdr:colOff>0</xdr:colOff>
      <xdr:row>25</xdr:row>
      <xdr:rowOff>104775</xdr:rowOff>
    </xdr:from>
    <xdr:to>
      <xdr:col>6</xdr:col>
      <xdr:colOff>85200</xdr:colOff>
      <xdr:row>60</xdr:row>
      <xdr:rowOff>37358</xdr:rowOff>
    </xdr:to>
    <xdr:pic>
      <xdr:nvPicPr>
        <xdr:cNvPr id="4" name="图片 3">
          <a:extLst>
            <a:ext uri="{FF2B5EF4-FFF2-40B4-BE49-F238E27FC236}">
              <a16:creationId xmlns:a16="http://schemas.microsoft.com/office/drawing/2014/main" id="{8C3AF9AF-7DAC-0834-72DF-F9DCA505EFC8}"/>
            </a:ext>
          </a:extLst>
        </xdr:cNvPr>
        <xdr:cNvPicPr>
          <a:picLocks noChangeAspect="1"/>
        </xdr:cNvPicPr>
      </xdr:nvPicPr>
      <xdr:blipFill>
        <a:blip xmlns:r="http://schemas.openxmlformats.org/officeDocument/2006/relationships" r:embed="rId3"/>
        <a:stretch>
          <a:fillRect/>
        </a:stretch>
      </xdr:blipFill>
      <xdr:spPr>
        <a:xfrm>
          <a:off x="0" y="4391025"/>
          <a:ext cx="4200000" cy="5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估价对象为北京市房地产，为所有。根据《国有土地使用证》[]，估价对象（分摊）出让国有建设用地使用权面积为46654.62平方米，建筑面积为162980.67平方米。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估价对象为北京市房地产,属开发建设的，该项目尚在开发建设中。根据《国有土地使用证》[]，估价对象（分摊）出让国有建设用地使用权面积为46654.62平方米，规划建筑面积为162980.67平方米。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2025年8月7日（评估专业人员实地查勘之日）</v>
      </c>
    </row>
    <row r="13" spans="1:2">
      <c r="A13" s="1119" t="s">
        <v>529</v>
      </c>
      <c r="B13" s="1120"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162980.66999999998</v>
      </c>
    </row>
    <row r="44" spans="1:2">
      <c r="A44" s="1119" t="s">
        <v>575</v>
      </c>
      <c r="B44" s="1120" t="str">
        <f>'预评函-3'!C2</f>
        <v>(分摊)土地面积</v>
      </c>
    </row>
    <row r="45" spans="1:2">
      <c r="A45" s="1119" t="s">
        <v>547</v>
      </c>
      <c r="B45" s="1120">
        <f>'预评函-3'!C4</f>
        <v>46654.62</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F20" sqref="F20"/>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3465</v>
      </c>
      <c r="C19" s="1442"/>
    </row>
    <row r="20" spans="1:3">
      <c r="A20" s="1441" t="s">
        <v>1048</v>
      </c>
      <c r="B20" s="1441" t="s">
        <v>3466</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27" t="s">
        <v>2580</v>
      </c>
      <c r="J2" s="3227"/>
      <c r="K2" s="3227"/>
      <c r="L2" s="3227"/>
      <c r="M2" s="3227"/>
      <c r="N2" s="3227"/>
      <c r="O2" s="3227"/>
      <c r="P2" s="3227"/>
      <c r="Q2" s="3227"/>
      <c r="R2" s="3227"/>
    </row>
    <row r="3" spans="1:18">
      <c r="A3" s="2763" t="s">
        <v>2501</v>
      </c>
      <c r="B3" s="2764">
        <f>项目基本情况!D3</f>
        <v>45876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1.36</v>
      </c>
      <c r="D5" s="2768">
        <f>IF(ISERROR(ROUND(POWER(1+E5,A5-C5)*(POWER(1+E5,C5)-1)/(POWER(1+E5,A5)-1),3)),0,ROUND(POWER(1+E5,A5-C5)*(POWER(1+E5,C5)-1)/(POWER(1+E5,A5)-1),4))</f>
        <v>6.5600000000000006E-2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11.37</v>
      </c>
      <c r="D6" s="2768">
        <f>IF(ISERROR(ROUND(POWER(1+E6,A6-C6)*(POWER(1+E6,C6)-1)/(POWER(1+E6,A6)-1),3)),0,ROUND(POWER(1+E6,A6-C6)*(POWER(1+E6,C6)-1)/(POWER(1+E6,A6)-1),4))</f>
        <v>0.41870000000000002</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31.38</v>
      </c>
      <c r="D7" s="2768">
        <f>IF(ISERROR(ROUND(POWER(1+E7,A7-C7)*(POWER(1+E7,C7)-1)/(POWER(1+E7,A7)-1),3)),0,ROUND(POWER(1+E7,A7-C7)*(POWER(1+E7,C7)-1)/(POWER(1+E7,A7)-1),4))</f>
        <v>0.75649999999999995</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33" sqref="H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5" t="str">
        <f>IF(B10="北京市","北京市",C10)&amp;F10&amp;IF(结果表!G1="在建","出让国有建设用地使用权及在建建筑物",IF(结果表!G1="土地","出让国有建设用地使用权",))&amp;B9&amp;"预评估"</f>
        <v>北京市房地产抵押价值预评估</v>
      </c>
      <c r="C1" s="3236"/>
      <c r="D1" s="3236"/>
      <c r="E1" s="3236"/>
      <c r="F1" s="3236"/>
      <c r="G1" s="3236"/>
      <c r="H1" s="3236"/>
      <c r="I1" s="323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45876</v>
      </c>
      <c r="C3" s="2186" t="s">
        <v>2171</v>
      </c>
      <c r="D3" s="2185">
        <f>B3</f>
        <v>45876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3418</v>
      </c>
      <c r="C8" s="2201"/>
      <c r="D8" s="3238" t="s">
        <v>2177</v>
      </c>
      <c r="E8" s="2202" t="s">
        <v>3419</v>
      </c>
      <c r="F8" s="2203"/>
      <c r="G8" s="2442"/>
      <c r="H8" s="2442"/>
      <c r="I8" s="2442"/>
      <c r="J8" s="2245"/>
      <c r="K8" s="2400"/>
      <c r="L8" s="2399"/>
      <c r="M8" s="2399"/>
      <c r="N8" s="2245"/>
      <c r="O8" s="1670"/>
      <c r="P8" s="2245"/>
      <c r="Q8" s="2245"/>
      <c r="R8" s="2245"/>
    </row>
    <row r="9" spans="1:30" ht="13.5" thickBot="1">
      <c r="A9" s="2204" t="s">
        <v>2178</v>
      </c>
      <c r="B9" s="2205" t="s">
        <v>3419</v>
      </c>
      <c r="C9" s="2206"/>
      <c r="D9" s="3239"/>
      <c r="E9" s="2205" t="s">
        <v>43</v>
      </c>
      <c r="F9" s="2207"/>
      <c r="G9" s="2443"/>
      <c r="H9" s="2443"/>
      <c r="I9" s="2443"/>
      <c r="J9" s="2245"/>
      <c r="K9" s="2402"/>
      <c r="L9" s="2399"/>
      <c r="M9" s="2399"/>
      <c r="N9" s="2245"/>
      <c r="O9" s="1670"/>
      <c r="P9" s="2245"/>
      <c r="Q9" s="2245"/>
      <c r="R9" s="2245"/>
    </row>
    <row r="10" spans="1:30" ht="13.5" thickTop="1">
      <c r="A10" s="2208" t="s">
        <v>2179</v>
      </c>
      <c r="B10" s="2209" t="s">
        <v>3420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3421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3331</v>
      </c>
      <c r="B13" s="2218" t="s">
        <v>2190</v>
      </c>
      <c r="C13" s="803"/>
      <c r="D13" s="803">
        <v>59547</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37.450000000000003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45"/>
      <c r="C16" s="3246"/>
      <c r="D16" s="3247"/>
      <c r="E16" s="2222" t="s">
        <v>2194</v>
      </c>
      <c r="F16" s="3248"/>
      <c r="G16" s="3249"/>
      <c r="H16" s="3249"/>
      <c r="I16" s="3250"/>
      <c r="J16" s="2245"/>
      <c r="K16" s="2403"/>
      <c r="L16" s="1670"/>
      <c r="M16" s="1670"/>
      <c r="N16" s="2245"/>
      <c r="O16" s="1670"/>
      <c r="P16" s="2245"/>
      <c r="Q16" s="2245"/>
      <c r="R16" s="2245"/>
    </row>
    <row r="17" spans="1:28">
      <c r="A17" s="305" t="s">
        <v>2195</v>
      </c>
      <c r="B17" s="294" t="s">
        <v>2196</v>
      </c>
      <c r="C17" s="8">
        <f>'数据-汇总表'!E3</f>
        <v>162980.66999999998</v>
      </c>
      <c r="D17" s="1256" t="s">
        <v>2197</v>
      </c>
      <c r="E17" s="3251" t="s">
        <v>2198</v>
      </c>
      <c r="F17" s="3252"/>
      <c r="G17" s="3252"/>
      <c r="H17" s="3252"/>
      <c r="I17" s="325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46654.62</v>
      </c>
      <c r="D18" s="1029" t="s">
        <v>2201</v>
      </c>
      <c r="E18" s="3254" t="s">
        <v>2202</v>
      </c>
      <c r="F18" s="3255"/>
      <c r="G18" s="3255"/>
      <c r="H18" s="3255"/>
      <c r="I18" s="325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1" t="s">
        <v>2206</v>
      </c>
      <c r="C20" s="3242"/>
      <c r="D20" s="3243" t="s">
        <v>2207</v>
      </c>
      <c r="E20" s="3244"/>
      <c r="F20" s="2430" t="s">
        <v>1056</v>
      </c>
      <c r="G20" s="2442"/>
      <c r="H20" s="2442"/>
      <c r="I20" s="2442"/>
      <c r="J20" s="2245"/>
      <c r="K20" s="324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0"/>
      <c r="B30" s="294" t="s">
        <v>2218</v>
      </c>
      <c r="C30" s="3231"/>
      <c r="D30" s="3232"/>
      <c r="E30" s="2442"/>
      <c r="F30" s="2442"/>
      <c r="G30" s="2442"/>
      <c r="H30" s="2442"/>
      <c r="I30" s="2442"/>
      <c r="J30" s="2245"/>
      <c r="K30" s="2402"/>
      <c r="L30" s="2399"/>
      <c r="M30" s="2399"/>
      <c r="N30" s="2245"/>
      <c r="O30" s="1670"/>
      <c r="P30" s="2245"/>
      <c r="Q30" s="2245"/>
      <c r="R30" s="2245"/>
      <c r="S30" s="2245"/>
      <c r="T30" s="2245"/>
      <c r="U30" s="2245"/>
      <c r="V30" s="2245"/>
    </row>
    <row r="31" spans="1:28">
      <c r="A31" s="323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8" t="s">
        <v>2228</v>
      </c>
      <c r="T34" s="315" t="str">
        <f>NUMBERSTRING(7-K34,1)&amp;"通"</f>
        <v>七通</v>
      </c>
      <c r="U34" s="2245"/>
      <c r="V34" s="2245"/>
    </row>
    <row r="35" spans="1:30">
      <c r="A35" s="2236"/>
      <c r="B35" s="3228" t="s">
        <v>2229</v>
      </c>
      <c r="C35" s="3228"/>
      <c r="D35" s="3228"/>
      <c r="E35" s="322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8"/>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306</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3445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30300-BD0F-4D56-8CD2-65EA00AFA430}">
  <sheetPr>
    <tabColor rgb="FFFFFF00"/>
  </sheetPr>
  <dimension ref="A1:AE37"/>
  <sheetViews>
    <sheetView topLeftCell="D16" workbookViewId="0">
      <selection activeCell="J36" sqref="J36"/>
    </sheetView>
  </sheetViews>
  <sheetFormatPr defaultRowHeight="13.5"/>
  <cols>
    <col min="1" max="2" width="9" style="2814"/>
    <col min="3" max="3" width="18.875" style="2814" bestFit="1" customWidth="1"/>
    <col min="4" max="4" width="10.5" style="2814" bestFit="1" customWidth="1"/>
    <col min="5" max="5" width="38" style="2814" bestFit="1" customWidth="1"/>
    <col min="6" max="6" width="20.375" style="2814" bestFit="1" customWidth="1"/>
    <col min="7" max="7" width="9" style="2814"/>
    <col min="8" max="8" width="12.75" style="2814" bestFit="1" customWidth="1"/>
    <col min="9" max="9" width="9" style="2814"/>
    <col min="10" max="10" width="9.5" style="2814" bestFit="1" customWidth="1"/>
    <col min="11" max="31" width="11.625" style="2814" bestFit="1" customWidth="1"/>
    <col min="32" max="16384" width="9" style="2814"/>
  </cols>
  <sheetData>
    <row r="1" spans="1:31">
      <c r="J1" s="3170"/>
      <c r="K1" s="3170">
        <v>45929</v>
      </c>
    </row>
    <row r="2" spans="1:31">
      <c r="K2" s="3170">
        <v>46293</v>
      </c>
    </row>
    <row r="3" spans="1:31">
      <c r="C3" s="1421" t="s">
        <v>3433</v>
      </c>
      <c r="D3" s="1421" t="s">
        <v>3434</v>
      </c>
      <c r="E3" s="1421" t="s">
        <v>2543</v>
      </c>
      <c r="F3" s="1421" t="s">
        <v>3435</v>
      </c>
    </row>
    <row r="4" spans="1:31">
      <c r="C4" s="1421" t="s">
        <v>3422</v>
      </c>
      <c r="D4" s="2814">
        <v>88406.15</v>
      </c>
      <c r="E4" s="1421" t="s">
        <v>3429</v>
      </c>
      <c r="F4" s="3170">
        <v>45645</v>
      </c>
      <c r="G4" s="2814">
        <f>D4/5</f>
        <v>17681.23</v>
      </c>
    </row>
    <row r="5" spans="1:31">
      <c r="C5" s="1421" t="s">
        <v>3423</v>
      </c>
      <c r="D5" s="2814">
        <v>14.25</v>
      </c>
      <c r="E5" s="1421" t="s">
        <v>3430</v>
      </c>
      <c r="F5" s="3170">
        <v>45645</v>
      </c>
    </row>
    <row r="6" spans="1:31">
      <c r="C6" s="1421" t="s">
        <v>3424</v>
      </c>
      <c r="D6" s="2814">
        <v>14.37</v>
      </c>
      <c r="E6" s="1421" t="s">
        <v>3430</v>
      </c>
      <c r="F6" s="3170">
        <v>45645</v>
      </c>
    </row>
    <row r="7" spans="1:31">
      <c r="C7" s="1421" t="s">
        <v>3425</v>
      </c>
      <c r="D7" s="2814">
        <v>54.79</v>
      </c>
      <c r="E7" s="1421" t="s">
        <v>3430</v>
      </c>
      <c r="F7" s="3170">
        <v>45645</v>
      </c>
    </row>
    <row r="8" spans="1:31">
      <c r="A8" s="1421" t="s">
        <v>3437</v>
      </c>
      <c r="B8" s="2814">
        <v>14.73</v>
      </c>
      <c r="C8" s="1421" t="s">
        <v>3426</v>
      </c>
      <c r="D8" s="2814">
        <v>61.53</v>
      </c>
      <c r="E8" s="1421" t="s">
        <v>3431</v>
      </c>
      <c r="F8" s="3170">
        <v>45645</v>
      </c>
    </row>
    <row r="9" spans="1:31">
      <c r="C9" s="1421" t="s">
        <v>3427</v>
      </c>
      <c r="D9" s="2814">
        <v>17.05</v>
      </c>
      <c r="E9" s="1421" t="s">
        <v>3430</v>
      </c>
      <c r="F9" s="3170">
        <v>45645</v>
      </c>
      <c r="G9" s="1421" t="s">
        <v>3443</v>
      </c>
      <c r="H9" s="1421" t="s">
        <v>3442</v>
      </c>
      <c r="I9" s="1421" t="s">
        <v>3444</v>
      </c>
    </row>
    <row r="10" spans="1:31">
      <c r="A10" s="1421" t="s">
        <v>3437</v>
      </c>
      <c r="B10" s="2814">
        <v>7844.27</v>
      </c>
      <c r="C10" s="1421" t="s">
        <v>3428</v>
      </c>
      <c r="D10" s="2814">
        <v>54412.53</v>
      </c>
      <c r="E10" s="1421" t="s">
        <v>3432</v>
      </c>
      <c r="F10" s="3170">
        <v>45645</v>
      </c>
      <c r="G10" s="2814">
        <v>20000</v>
      </c>
      <c r="H10" s="2814">
        <f>671*35</f>
        <v>23485</v>
      </c>
      <c r="I10" s="2814">
        <f>D10-H10</f>
        <v>30927.53</v>
      </c>
    </row>
    <row r="11" spans="1:31">
      <c r="B11" s="2814">
        <v>145.79</v>
      </c>
      <c r="C11" s="1421"/>
      <c r="D11" s="2814">
        <f>SUM(D4:D10)</f>
        <v>142980.66999999998</v>
      </c>
      <c r="E11" s="1421"/>
      <c r="F11" s="3170"/>
    </row>
    <row r="12" spans="1:31">
      <c r="B12" s="2814">
        <f>SUM(B10:B11)</f>
        <v>7990.06</v>
      </c>
      <c r="J12" s="3170"/>
    </row>
    <row r="13" spans="1:31">
      <c r="K13" s="3170"/>
      <c r="L13" s="3170"/>
      <c r="M13" s="3170"/>
      <c r="N13" s="3170"/>
      <c r="O13" s="3170"/>
      <c r="P13" s="3170"/>
      <c r="Q13" s="3170"/>
      <c r="R13" s="3170"/>
      <c r="S13" s="3170"/>
      <c r="T13" s="3170"/>
      <c r="U13" s="3170"/>
      <c r="V13" s="3170"/>
      <c r="W13" s="3170"/>
      <c r="X13" s="3170"/>
      <c r="Y13" s="3170"/>
      <c r="Z13" s="3170"/>
      <c r="AA13" s="3170"/>
      <c r="AB13" s="3170"/>
      <c r="AC13" s="3170"/>
      <c r="AD13" s="3170"/>
      <c r="AE13" s="3170"/>
    </row>
    <row r="14" spans="1:31">
      <c r="A14" s="1421"/>
      <c r="D14" s="1421" t="s">
        <v>3507</v>
      </c>
      <c r="E14" s="1421" t="s">
        <v>3508</v>
      </c>
      <c r="F14" s="1421" t="s">
        <v>3509</v>
      </c>
      <c r="G14" s="1421" t="s">
        <v>3512</v>
      </c>
      <c r="H14" s="1421" t="s">
        <v>3511</v>
      </c>
      <c r="K14" s="3170"/>
      <c r="L14" s="3170"/>
      <c r="M14" s="3170"/>
      <c r="N14" s="3170"/>
      <c r="O14" s="3170"/>
      <c r="P14" s="3170"/>
      <c r="Q14" s="3170"/>
      <c r="R14" s="3170"/>
      <c r="S14" s="3170"/>
      <c r="T14" s="3170"/>
      <c r="U14" s="3170"/>
      <c r="V14" s="3170"/>
      <c r="W14" s="3170"/>
      <c r="X14" s="3170"/>
      <c r="Y14" s="3170"/>
      <c r="Z14" s="3170"/>
      <c r="AA14" s="3170"/>
      <c r="AB14" s="3170"/>
      <c r="AC14" s="3170"/>
      <c r="AD14" s="3170"/>
      <c r="AE14" s="3170"/>
    </row>
    <row r="15" spans="1:31">
      <c r="D15" s="1421" t="s">
        <v>3467</v>
      </c>
      <c r="E15" s="1421" t="s">
        <v>3487</v>
      </c>
      <c r="F15" s="2814">
        <v>3036</v>
      </c>
      <c r="H15" s="2814">
        <f>ROUND(F15*10000/365/'数据-汇总表'!$E$3,2)</f>
        <v>0.51</v>
      </c>
    </row>
    <row r="16" spans="1:31">
      <c r="D16" s="1421" t="s">
        <v>3468</v>
      </c>
      <c r="E16" s="1421" t="s">
        <v>3488</v>
      </c>
      <c r="F16" s="2814">
        <v>6118</v>
      </c>
      <c r="G16" s="3172">
        <f>F16/F15-1</f>
        <v>1.0151515151515151</v>
      </c>
      <c r="H16" s="2814">
        <f>F16*10000/365/'数据-汇总表'!$E$3</f>
        <v>1.028443669768718</v>
      </c>
    </row>
    <row r="17" spans="4:8">
      <c r="D17" s="1421" t="s">
        <v>3469</v>
      </c>
      <c r="E17" s="1421" t="s">
        <v>3489</v>
      </c>
      <c r="F17" s="2814">
        <v>6462</v>
      </c>
      <c r="G17" s="3172">
        <f t="shared" ref="G17:G34" si="0">F17/F16-1</f>
        <v>5.62275253350768E-2</v>
      </c>
      <c r="H17" s="2814">
        <f>F17*10000/365/'数据-汇总表'!$E$3</f>
        <v>1.0862705122663381</v>
      </c>
    </row>
    <row r="18" spans="4:8">
      <c r="D18" s="1421" t="s">
        <v>3470</v>
      </c>
      <c r="E18" s="1421" t="s">
        <v>3490</v>
      </c>
      <c r="F18" s="2814">
        <v>7363</v>
      </c>
      <c r="G18" s="3172">
        <f t="shared" si="0"/>
        <v>0.13943051686784269</v>
      </c>
      <c r="H18" s="2814">
        <f>F18*10000/365/'数据-汇总表'!$E$3</f>
        <v>1.2377297712499298</v>
      </c>
    </row>
    <row r="19" spans="4:8">
      <c r="D19" s="1421" t="s">
        <v>3471</v>
      </c>
      <c r="E19" s="1421" t="s">
        <v>3491</v>
      </c>
      <c r="F19" s="2814">
        <v>7780</v>
      </c>
      <c r="G19" s="3172">
        <f t="shared" si="0"/>
        <v>5.6634523971207384E-2</v>
      </c>
      <c r="H19" s="2814">
        <f>F19*10000/365/'数据-汇总表'!$E$3</f>
        <v>1.3078280076496609</v>
      </c>
    </row>
    <row r="20" spans="4:8">
      <c r="D20" s="1421" t="s">
        <v>3472</v>
      </c>
      <c r="E20" s="1421" t="s">
        <v>3492</v>
      </c>
      <c r="F20" s="2814">
        <v>8118</v>
      </c>
      <c r="G20" s="3172">
        <f t="shared" si="0"/>
        <v>4.3444730077120797E-2</v>
      </c>
      <c r="H20" s="2814">
        <f>F20*10000/365/'数据-汇总表'!$E$3</f>
        <v>1.3646462424292991</v>
      </c>
    </row>
    <row r="21" spans="4:8">
      <c r="D21" s="1421" t="s">
        <v>3473</v>
      </c>
      <c r="E21" s="1421" t="s">
        <v>3493</v>
      </c>
      <c r="F21" s="2814">
        <v>8845</v>
      </c>
      <c r="G21" s="3172">
        <f t="shared" si="0"/>
        <v>8.9554077358955375E-2</v>
      </c>
      <c r="H21" s="2814">
        <f>F21*10000/365/'数据-汇总表'!$E$3</f>
        <v>1.4868558775914205</v>
      </c>
    </row>
    <row r="22" spans="4:8">
      <c r="D22" s="1421" t="s">
        <v>3474</v>
      </c>
      <c r="E22" s="1421" t="s">
        <v>3494</v>
      </c>
      <c r="F22" s="2814">
        <v>10075</v>
      </c>
      <c r="G22" s="3172">
        <f t="shared" si="0"/>
        <v>0.1390616167326173</v>
      </c>
      <c r="H22" s="2814">
        <f>F22*10000/365/'数据-汇总表'!$E$3</f>
        <v>1.6936204597776781</v>
      </c>
    </row>
    <row r="23" spans="4:8">
      <c r="D23" s="1421" t="s">
        <v>3475</v>
      </c>
      <c r="E23" s="1421" t="s">
        <v>3495</v>
      </c>
      <c r="F23" s="2814">
        <v>10144</v>
      </c>
      <c r="G23" s="3172">
        <f t="shared" si="0"/>
        <v>6.8486352357319813E-3</v>
      </c>
      <c r="H23" s="2814">
        <f>F23*10000/365/'数据-汇总表'!$E$3</f>
        <v>1.7052194485344678</v>
      </c>
    </row>
    <row r="24" spans="4:8">
      <c r="D24" s="1421" t="s">
        <v>3476</v>
      </c>
      <c r="E24" s="1421" t="s">
        <v>3496</v>
      </c>
      <c r="F24" s="2814">
        <v>10491</v>
      </c>
      <c r="G24" s="3172">
        <f t="shared" si="0"/>
        <v>3.4207413249211394E-2</v>
      </c>
      <c r="H24" s="2814">
        <f>F24*10000/365/'数据-汇总表'!$E$3</f>
        <v>1.7635505948910788</v>
      </c>
    </row>
    <row r="25" spans="4:8">
      <c r="D25" s="1421" t="s">
        <v>3477</v>
      </c>
      <c r="E25" s="1421" t="s">
        <v>3497</v>
      </c>
      <c r="F25" s="2814">
        <v>11039</v>
      </c>
      <c r="G25" s="3172">
        <f t="shared" si="0"/>
        <v>5.2235249261271655E-2</v>
      </c>
      <c r="H25" s="2814">
        <f>F25*10000/365/'数据-汇总表'!$E$3</f>
        <v>1.8556700998000781</v>
      </c>
    </row>
    <row r="26" spans="4:8">
      <c r="D26" s="1421" t="s">
        <v>3478</v>
      </c>
      <c r="E26" s="1421" t="s">
        <v>3498</v>
      </c>
      <c r="F26" s="2814">
        <v>11413</v>
      </c>
      <c r="G26" s="3172">
        <f t="shared" si="0"/>
        <v>3.3879880423951514E-2</v>
      </c>
      <c r="H26" s="2814">
        <f>F26*10000/365/'数据-汇总表'!$E$3</f>
        <v>1.9185399808876067</v>
      </c>
    </row>
    <row r="27" spans="4:8">
      <c r="D27" s="1421" t="s">
        <v>3479</v>
      </c>
      <c r="E27" s="1421" t="s">
        <v>3499</v>
      </c>
      <c r="F27" s="2814">
        <v>11687</v>
      </c>
      <c r="G27" s="3172">
        <f t="shared" si="0"/>
        <v>2.4007710505563828E-2</v>
      </c>
      <c r="H27" s="2814">
        <f>F27*10000/365/'数据-汇总表'!$E$3</f>
        <v>1.9645997333421064</v>
      </c>
    </row>
    <row r="28" spans="4:8">
      <c r="D28" s="1421" t="s">
        <v>3480</v>
      </c>
      <c r="E28" s="1421" t="s">
        <v>3500</v>
      </c>
      <c r="F28" s="2814">
        <v>11873</v>
      </c>
      <c r="G28" s="3172">
        <f t="shared" si="0"/>
        <v>1.5915119363395291E-2</v>
      </c>
      <c r="H28" s="2814">
        <f>F28*10000/365/'数据-汇总表'!$E$3</f>
        <v>1.9958665725995406</v>
      </c>
    </row>
    <row r="29" spans="4:8">
      <c r="D29" s="1421" t="s">
        <v>3481</v>
      </c>
      <c r="E29" s="1421" t="s">
        <v>3501</v>
      </c>
      <c r="F29" s="2814">
        <v>12231</v>
      </c>
      <c r="G29" s="3172">
        <f t="shared" si="0"/>
        <v>3.0152446727869986E-2</v>
      </c>
      <c r="H29" s="2814">
        <f>F29*10000/365/'数据-汇总表'!$E$3</f>
        <v>2.0560468331057846</v>
      </c>
    </row>
    <row r="30" spans="4:8">
      <c r="D30" s="1421" t="s">
        <v>3482</v>
      </c>
      <c r="E30" s="1421" t="s">
        <v>3502</v>
      </c>
      <c r="F30" s="2814">
        <v>12451</v>
      </c>
      <c r="G30" s="3172">
        <f t="shared" si="0"/>
        <v>1.7987082004742083E-2</v>
      </c>
      <c r="H30" s="2814">
        <f>F30*10000/365/'数据-汇总表'!$E$3</f>
        <v>2.0930291160984487</v>
      </c>
    </row>
    <row r="31" spans="4:8">
      <c r="D31" s="1421" t="s">
        <v>3483</v>
      </c>
      <c r="E31" s="1421" t="s">
        <v>3503</v>
      </c>
      <c r="F31" s="2814">
        <v>12731</v>
      </c>
      <c r="G31" s="3172">
        <f t="shared" si="0"/>
        <v>2.2488153561962987E-2</v>
      </c>
      <c r="H31" s="2814">
        <f>F31*10000/365/'数据-汇总表'!$E$3</f>
        <v>2.1400974762709297</v>
      </c>
    </row>
    <row r="32" spans="4:8">
      <c r="D32" s="1421" t="s">
        <v>3484</v>
      </c>
      <c r="E32" s="1421" t="s">
        <v>3504</v>
      </c>
      <c r="F32" s="2814">
        <v>13031</v>
      </c>
      <c r="G32" s="3172">
        <f t="shared" si="0"/>
        <v>2.3564527531223067E-2</v>
      </c>
      <c r="H32" s="2814">
        <f>F32*10000/365/'数据-汇总表'!$E$3</f>
        <v>2.190527862170017</v>
      </c>
    </row>
    <row r="33" spans="4:8">
      <c r="D33" s="1421" t="s">
        <v>3485</v>
      </c>
      <c r="E33" s="1421" t="s">
        <v>3505</v>
      </c>
      <c r="F33" s="2814">
        <v>13336</v>
      </c>
      <c r="G33" s="3172">
        <f t="shared" si="0"/>
        <v>2.3405724810068307E-2</v>
      </c>
      <c r="H33" s="2814">
        <f>F33*10000/365/'数据-汇总表'!$E$3</f>
        <v>2.2417987545007554</v>
      </c>
    </row>
    <row r="34" spans="4:8">
      <c r="D34" s="1421" t="s">
        <v>3486</v>
      </c>
      <c r="E34" s="1421" t="s">
        <v>3506</v>
      </c>
      <c r="F34" s="2814">
        <v>13479</v>
      </c>
      <c r="G34" s="3172">
        <f t="shared" si="0"/>
        <v>1.0722855428914269E-2</v>
      </c>
      <c r="H34" s="2814">
        <f>F34*10000/365/'数据-汇总表'!$E$3</f>
        <v>2.2658372384459873</v>
      </c>
    </row>
    <row r="35" spans="4:8">
      <c r="F35" s="2814">
        <f>SUM(F15:F34)</f>
        <v>201703</v>
      </c>
      <c r="G35" s="3172"/>
    </row>
    <row r="36" spans="4:8">
      <c r="E36" s="1421" t="s">
        <v>3540</v>
      </c>
      <c r="F36" s="2814">
        <f>ROUND(F35*10000/20/365/Sheet1!D11,2)</f>
        <v>1.93</v>
      </c>
    </row>
    <row r="37" spans="4:8">
      <c r="E37" s="1421"/>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463" customWidth="1"/>
    <col min="2" max="2" width="11" style="1463" customWidth="1"/>
    <col min="3" max="3" width="15.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hidden="1" customWidth="1"/>
    <col min="16" max="16" width="9.75" style="1463" hidden="1" customWidth="1"/>
    <col min="17" max="17" width="9.375" style="1463" hidden="1" customWidth="1"/>
    <col min="18" max="18" width="9.25" style="1463" hidden="1" customWidth="1"/>
    <col min="19" max="19" width="10.875" style="1463" hidden="1" customWidth="1"/>
    <col min="20" max="21" width="10.75" style="1463" hidden="1" customWidth="1"/>
    <col min="22" max="22" width="10.875" style="1463" hidden="1" customWidth="1"/>
    <col min="23" max="27" width="10.75" style="1463" hidden="1" customWidth="1"/>
    <col min="28" max="28" width="10.875" style="1463" hidden="1"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46654.62</v>
      </c>
      <c r="B3" s="11">
        <f>IF(C3="否",G5-AT5,G5)</f>
        <v>162980.66999999998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162980.66999999998</v>
      </c>
      <c r="H5" s="13">
        <f t="shared" ref="H5:AT5" si="0">SUM(H13:H656)</f>
        <v>131891.15</v>
      </c>
      <c r="I5" s="13">
        <f t="shared" si="0"/>
        <v>88406.15</v>
      </c>
      <c r="J5" s="13">
        <f t="shared" si="0"/>
        <v>0</v>
      </c>
      <c r="K5" s="13">
        <f t="shared" si="0"/>
        <v>20000</v>
      </c>
      <c r="L5" s="13">
        <f t="shared" si="0"/>
        <v>0</v>
      </c>
      <c r="M5" s="13">
        <f t="shared" si="0"/>
        <v>23485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31089.52</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31089.52</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162980.66999999998</v>
      </c>
      <c r="BA5" s="15">
        <f t="shared" si="1"/>
        <v>131891.15</v>
      </c>
      <c r="BB5" s="15">
        <f t="shared" si="1"/>
        <v>88406.15</v>
      </c>
      <c r="BC5" s="15">
        <f t="shared" si="1"/>
        <v>20000</v>
      </c>
      <c r="BD5" s="15">
        <f t="shared" si="1"/>
        <v>23485</v>
      </c>
      <c r="BE5" s="15">
        <f t="shared" si="1"/>
        <v>0</v>
      </c>
      <c r="BF5" s="15">
        <f t="shared" si="1"/>
        <v>0</v>
      </c>
      <c r="BG5" s="15">
        <f t="shared" si="1"/>
        <v>0</v>
      </c>
      <c r="BH5" s="15">
        <f t="shared" si="1"/>
        <v>0</v>
      </c>
      <c r="BI5" s="15">
        <f t="shared" si="1"/>
        <v>0</v>
      </c>
      <c r="BJ5" s="15">
        <f t="shared" si="1"/>
        <v>0</v>
      </c>
      <c r="BK5" s="15">
        <f t="shared" si="1"/>
        <v>0</v>
      </c>
      <c r="BL5" s="15">
        <f t="shared" si="1"/>
        <v>31089.52</v>
      </c>
      <c r="BM5" s="15">
        <f t="shared" si="1"/>
        <v>0</v>
      </c>
      <c r="BN5" s="15">
        <f t="shared" si="1"/>
        <v>0</v>
      </c>
      <c r="BO5" s="15">
        <f t="shared" si="1"/>
        <v>0</v>
      </c>
      <c r="BP5" s="15">
        <f t="shared" si="1"/>
        <v>0</v>
      </c>
      <c r="BQ5" s="15">
        <f t="shared" si="1"/>
        <v>0</v>
      </c>
      <c r="BR5" s="15">
        <f t="shared" si="1"/>
        <v>31089.52</v>
      </c>
      <c r="BS5" s="15">
        <f t="shared" si="1"/>
        <v>0</v>
      </c>
      <c r="BT5" s="16">
        <f t="shared" si="1"/>
        <v>0</v>
      </c>
    </row>
    <row r="6" spans="1:72" s="1477" customFormat="1" ht="12.75">
      <c r="A6" s="12" t="s">
        <v>1072</v>
      </c>
      <c r="B6" s="1474"/>
      <c r="C6" s="1474"/>
      <c r="D6" s="1475"/>
      <c r="E6" s="13">
        <f>H6+AC6+AT6</f>
        <v>46654.61</v>
      </c>
      <c r="F6" s="13" t="s">
        <v>0</v>
      </c>
      <c r="G6" s="13" t="s">
        <v>1</v>
      </c>
      <c r="H6" s="17">
        <f>SUMIF(I$12:AB$12,"总值",I6:AB6)</f>
        <v>37754.97</v>
      </c>
      <c r="I6" s="13">
        <f t="shared" ref="I6:AB6" si="2">ROUND($A$3*I5/$B$3,2)</f>
        <v>25307.02</v>
      </c>
      <c r="J6" s="13">
        <f t="shared" si="2"/>
        <v>0</v>
      </c>
      <c r="K6" s="13">
        <f t="shared" si="2"/>
        <v>5725.17</v>
      </c>
      <c r="L6" s="13">
        <f t="shared" si="2"/>
        <v>0</v>
      </c>
      <c r="M6" s="13">
        <f t="shared" si="2"/>
        <v>6722.78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8899.64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8899.64</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46654.62</v>
      </c>
      <c r="AZ6" s="13" t="s">
        <v>2</v>
      </c>
      <c r="BA6" s="13">
        <f>ROUND($AY$6*BA5/$AZ$5,2)</f>
        <v>37754.980000000003</v>
      </c>
      <c r="BB6" s="13">
        <f>ROUND($AY$6*BB5/$AZ$5,2)</f>
        <v>25307.02</v>
      </c>
      <c r="BC6" s="13">
        <f t="shared" ref="BC6:BH6" si="4">ROUND($AY$6*BC5/$AZ$5,2)</f>
        <v>5725.17</v>
      </c>
      <c r="BD6" s="13">
        <f t="shared" si="4"/>
        <v>6722.78</v>
      </c>
      <c r="BE6" s="13">
        <f t="shared" si="4"/>
        <v>0</v>
      </c>
      <c r="BF6" s="13">
        <f t="shared" si="4"/>
        <v>0</v>
      </c>
      <c r="BG6" s="13">
        <f t="shared" si="4"/>
        <v>0</v>
      </c>
      <c r="BH6" s="13">
        <f t="shared" si="4"/>
        <v>0</v>
      </c>
      <c r="BI6" s="13">
        <f t="shared" ref="BI6:BT6" si="5">ROUND($AY$6*BI5/$AZ$5,2)</f>
        <v>0</v>
      </c>
      <c r="BJ6" s="13">
        <f t="shared" si="5"/>
        <v>0</v>
      </c>
      <c r="BK6" s="13">
        <f t="shared" si="5"/>
        <v>0</v>
      </c>
      <c r="BL6" s="13">
        <f t="shared" si="5"/>
        <v>8899.64</v>
      </c>
      <c r="BM6" s="13">
        <f t="shared" si="5"/>
        <v>0</v>
      </c>
      <c r="BN6" s="13">
        <f t="shared" si="5"/>
        <v>0</v>
      </c>
      <c r="BO6" s="13">
        <f t="shared" si="5"/>
        <v>0</v>
      </c>
      <c r="BP6" s="13">
        <f t="shared" si="5"/>
        <v>0</v>
      </c>
      <c r="BQ6" s="13">
        <f t="shared" si="5"/>
        <v>0</v>
      </c>
      <c r="BR6" s="13">
        <f t="shared" si="5"/>
        <v>8899.64</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3438</v>
      </c>
      <c r="J9" s="761"/>
      <c r="K9" s="1491" t="s">
        <v>3439</v>
      </c>
      <c r="L9" s="761"/>
      <c r="M9" s="1491" t="s">
        <v>3439</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3332</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4.25" customHeight="1">
      <c r="A13" s="628"/>
      <c r="B13" s="628"/>
      <c r="C13" s="628" t="str">
        <f>Sheet1!C4</f>
        <v>1号楼1-5层101</v>
      </c>
      <c r="D13" s="1513" t="s">
        <v>3436</v>
      </c>
      <c r="E13" s="13">
        <f>IF($C$3="是",ROUND($A$3*G13/$B$3,2),ROUND($A$3*(G13-AT13)/$B$3,2))</f>
        <v>25307.02</v>
      </c>
      <c r="F13" s="29"/>
      <c r="G13" s="30">
        <f>H13+AC13+AT13</f>
        <v>88406.15</v>
      </c>
      <c r="H13" s="17">
        <f>SUMIF(I$12:AB$12,"总值",I13:AB13)</f>
        <v>88406.15</v>
      </c>
      <c r="I13" s="1514">
        <f>Sheet1!D4</f>
        <v>88406.15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1号楼1-5层101</v>
      </c>
      <c r="AY13" s="1260">
        <f>ROUND($AY$6*AZ13/$AZ$5,2)</f>
        <v>25307.02</v>
      </c>
      <c r="AZ13" s="13">
        <f>BA13+BL13</f>
        <v>88406.15</v>
      </c>
      <c r="BA13" s="13">
        <f>SUM(BB13:BK13)</f>
        <v>88406.15</v>
      </c>
      <c r="BB13" s="13">
        <f>IF($D13="是",I13-J13,0)</f>
        <v>88406.15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4.25" customHeight="1">
      <c r="A14" s="628"/>
      <c r="B14" s="628"/>
      <c r="C14" s="628" t="str">
        <f>Sheet1!C5</f>
        <v>2号楼1层101</v>
      </c>
      <c r="D14" s="1513" t="s">
        <v>3436</v>
      </c>
      <c r="E14" s="13">
        <f>IF($C$3="是",ROUND($A$3*G14/$B$3,2),ROUND($A$3*(G14-AT14)/$B$3,2))</f>
        <v>4.08</v>
      </c>
      <c r="F14" s="29"/>
      <c r="G14" s="30">
        <f>H14+AC14+AT14</f>
        <v>14.25</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14.25</v>
      </c>
      <c r="AD14" s="989"/>
      <c r="AE14" s="989"/>
      <c r="AF14" s="989"/>
      <c r="AG14" s="989"/>
      <c r="AH14" s="989"/>
      <c r="AI14" s="989"/>
      <c r="AJ14" s="989"/>
      <c r="AK14" s="989"/>
      <c r="AL14" s="989"/>
      <c r="AM14" s="989"/>
      <c r="AN14" s="989">
        <f>Sheet1!D5</f>
        <v>14.25</v>
      </c>
      <c r="AO14" s="989"/>
      <c r="AP14" s="989"/>
      <c r="AQ14" s="989"/>
      <c r="AR14" s="989"/>
      <c r="AS14" s="989"/>
      <c r="AT14" s="29"/>
      <c r="AU14" s="1515"/>
      <c r="AV14" s="8">
        <f t="shared" si="6"/>
        <v>0</v>
      </c>
      <c r="AW14" s="8">
        <f t="shared" si="6"/>
        <v>0</v>
      </c>
      <c r="AX14" s="8" t="str">
        <f t="shared" si="6"/>
        <v>2号楼1层101</v>
      </c>
      <c r="AY14" s="1260">
        <f>ROUND($AY$6*AZ14/$AZ$5,2)</f>
        <v>4.08</v>
      </c>
      <c r="AZ14" s="13">
        <f>BA14+BL14</f>
        <v>14.25</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14.25</v>
      </c>
      <c r="BM14" s="13">
        <f>IF($D14="是",AD14-AE14,0)</f>
        <v>0</v>
      </c>
      <c r="BN14" s="13">
        <f>IF($D14="是",AF14-AG14,0)</f>
        <v>0</v>
      </c>
      <c r="BO14" s="13">
        <f>IF($D14="是",AH14-AI14,0)</f>
        <v>0</v>
      </c>
      <c r="BP14" s="13">
        <f>IF($D14="是",AJ14-AK14,0)</f>
        <v>0</v>
      </c>
      <c r="BQ14" s="13">
        <f>IF($D14="是",AL14-AM14,0)</f>
        <v>0</v>
      </c>
      <c r="BR14" s="13">
        <f>IF($D14="是",AN14-AO14,0)</f>
        <v>14.25</v>
      </c>
      <c r="BS14" s="13">
        <f>IF($D14="是",AP14-AQ14,0)</f>
        <v>0</v>
      </c>
      <c r="BT14" s="19">
        <f>IF($D14="是",AR14-AS14,0)</f>
        <v>0</v>
      </c>
    </row>
    <row r="15" spans="1:72" s="1468" customFormat="1" ht="14.25" customHeight="1">
      <c r="A15" s="628"/>
      <c r="B15" s="628"/>
      <c r="C15" s="628" t="str">
        <f>Sheet1!C6</f>
        <v>4号楼1层101</v>
      </c>
      <c r="D15" s="1513" t="s">
        <v>3436</v>
      </c>
      <c r="E15" s="13">
        <f>IF($C$3="是",ROUND($A$3*G15/$B$3,2),ROUND($A$3*(G15-AT15)/$B$3,2))</f>
        <v>4.1100000000000003</v>
      </c>
      <c r="F15" s="29"/>
      <c r="G15" s="30">
        <f>H15+AC15+AT15</f>
        <v>14.37</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14.37</v>
      </c>
      <c r="AD15" s="989"/>
      <c r="AE15" s="989"/>
      <c r="AF15" s="989"/>
      <c r="AG15" s="989"/>
      <c r="AH15" s="989"/>
      <c r="AI15" s="989"/>
      <c r="AJ15" s="989"/>
      <c r="AK15" s="989"/>
      <c r="AL15" s="989"/>
      <c r="AM15" s="989"/>
      <c r="AN15" s="989">
        <f>Sheet1!D6</f>
        <v>14.37</v>
      </c>
      <c r="AO15" s="989"/>
      <c r="AP15" s="989"/>
      <c r="AQ15" s="989"/>
      <c r="AR15" s="989"/>
      <c r="AS15" s="989"/>
      <c r="AT15" s="29"/>
      <c r="AU15" s="1515"/>
      <c r="AV15" s="8">
        <f t="shared" si="6"/>
        <v>0</v>
      </c>
      <c r="AW15" s="8">
        <f t="shared" si="6"/>
        <v>0</v>
      </c>
      <c r="AX15" s="8" t="str">
        <f t="shared" si="6"/>
        <v>4号楼1层101</v>
      </c>
      <c r="AY15" s="1260">
        <f>ROUND($AY$6*AZ15/$AZ$5,2)</f>
        <v>4.1100000000000003</v>
      </c>
      <c r="AZ15" s="13">
        <f>BA15+BL15</f>
        <v>14.37</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14.37</v>
      </c>
      <c r="BM15" s="13">
        <f>IF($D15="是",AD15-AE15,0)</f>
        <v>0</v>
      </c>
      <c r="BN15" s="13">
        <f>IF($D15="是",AF15-AG15,0)</f>
        <v>0</v>
      </c>
      <c r="BO15" s="13">
        <f>IF($D15="是",AH15-AI15,0)</f>
        <v>0</v>
      </c>
      <c r="BP15" s="13">
        <f>IF($D15="是",AJ15-AK15,0)</f>
        <v>0</v>
      </c>
      <c r="BQ15" s="13">
        <f>IF($D15="是",AL15-AM15,0)</f>
        <v>0</v>
      </c>
      <c r="BR15" s="13">
        <f>IF($D15="是",AN15-AO15,0)</f>
        <v>14.37</v>
      </c>
      <c r="BS15" s="13">
        <f>IF($D15="是",AP15-AQ15,0)</f>
        <v>0</v>
      </c>
      <c r="BT15" s="19">
        <f>IF($D15="是",AR15-AS15,0)</f>
        <v>0</v>
      </c>
    </row>
    <row r="16" spans="1:72" s="1468" customFormat="1" ht="14.25" customHeight="1">
      <c r="A16" s="628"/>
      <c r="B16" s="628"/>
      <c r="C16" s="628" t="str">
        <f>Sheet1!C7</f>
        <v>5号楼1层101</v>
      </c>
      <c r="D16" s="1513" t="s">
        <v>3436</v>
      </c>
      <c r="E16" s="13">
        <f>IF($C$3="是",ROUND($A$3*G16/$B$3,2),ROUND($A$3*(G16-AT16)/$B$3,2))</f>
        <v>15.68</v>
      </c>
      <c r="F16" s="29"/>
      <c r="G16" s="30">
        <f>H16+AC16+AT16</f>
        <v>54.79</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54.79</v>
      </c>
      <c r="AD16" s="989"/>
      <c r="AE16" s="989"/>
      <c r="AF16" s="989"/>
      <c r="AG16" s="989"/>
      <c r="AH16" s="989"/>
      <c r="AI16" s="989"/>
      <c r="AJ16" s="989"/>
      <c r="AK16" s="989"/>
      <c r="AL16" s="989"/>
      <c r="AM16" s="989"/>
      <c r="AN16" s="989">
        <f>Sheet1!D7</f>
        <v>54.79</v>
      </c>
      <c r="AO16" s="989"/>
      <c r="AP16" s="989"/>
      <c r="AQ16" s="989"/>
      <c r="AR16" s="989"/>
      <c r="AS16" s="989"/>
      <c r="AT16" s="29"/>
      <c r="AU16" s="1515"/>
      <c r="AV16" s="8">
        <f t="shared" si="6"/>
        <v>0</v>
      </c>
      <c r="AW16" s="8">
        <f t="shared" si="6"/>
        <v>0</v>
      </c>
      <c r="AX16" s="8" t="str">
        <f t="shared" si="6"/>
        <v>5号楼1层101</v>
      </c>
      <c r="AY16" s="1260">
        <f>ROUND($AY$6*AZ16/$AZ$5,2)</f>
        <v>15.68</v>
      </c>
      <c r="AZ16" s="13">
        <f>BA16+BL16</f>
        <v>54.79</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54.79</v>
      </c>
      <c r="BM16" s="13">
        <f>IF($D16="是",AD16-AE16,0)</f>
        <v>0</v>
      </c>
      <c r="BN16" s="13">
        <f>IF($D16="是",AF16-AG16,0)</f>
        <v>0</v>
      </c>
      <c r="BO16" s="13">
        <f>IF($D16="是",AH16-AI16,0)</f>
        <v>0</v>
      </c>
      <c r="BP16" s="13">
        <f>IF($D16="是",AJ16-AK16,0)</f>
        <v>0</v>
      </c>
      <c r="BQ16" s="13">
        <f>IF($D16="是",AL16-AM16,0)</f>
        <v>0</v>
      </c>
      <c r="BR16" s="13">
        <f>IF($D16="是",AN16-AO16,0)</f>
        <v>54.79</v>
      </c>
      <c r="BS16" s="13">
        <f>IF($D16="是",AP16-AQ16,0)</f>
        <v>0</v>
      </c>
      <c r="BT16" s="19">
        <f>IF($D16="是",AR16-AS16,0)</f>
        <v>0</v>
      </c>
    </row>
    <row r="17" spans="1:72" s="1468" customFormat="1" ht="14.25" customHeight="1">
      <c r="A17" s="628"/>
      <c r="B17" s="628"/>
      <c r="C17" s="628" t="str">
        <f>Sheet1!C8</f>
        <v>7号楼1层101</v>
      </c>
      <c r="D17" s="1513" t="s">
        <v>3436</v>
      </c>
      <c r="E17" s="13">
        <f>IF($C$3="是",ROUND($A$3*G17/$B$3,2),ROUND($A$3*(G17-AT17)/$B$3,2))</f>
        <v>17.61</v>
      </c>
      <c r="F17" s="29"/>
      <c r="G17" s="30">
        <f>H17+AC17+AT17</f>
        <v>61.53</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61.53</v>
      </c>
      <c r="AD17" s="989"/>
      <c r="AE17" s="989"/>
      <c r="AF17" s="989"/>
      <c r="AG17" s="989"/>
      <c r="AH17" s="989"/>
      <c r="AI17" s="989"/>
      <c r="AJ17" s="989"/>
      <c r="AK17" s="989"/>
      <c r="AL17" s="989"/>
      <c r="AM17" s="989"/>
      <c r="AN17" s="989">
        <f>Sheet1!D8</f>
        <v>61.53</v>
      </c>
      <c r="AO17" s="989"/>
      <c r="AP17" s="989"/>
      <c r="AQ17" s="989"/>
      <c r="AR17" s="989"/>
      <c r="AS17" s="989"/>
      <c r="AT17" s="29"/>
      <c r="AU17" s="1515"/>
      <c r="AV17" s="8">
        <f t="shared" si="6"/>
        <v>0</v>
      </c>
      <c r="AW17" s="8">
        <f t="shared" si="6"/>
        <v>0</v>
      </c>
      <c r="AX17" s="8" t="str">
        <f t="shared" si="6"/>
        <v>7号楼1层101</v>
      </c>
      <c r="AY17" s="1260">
        <f>ROUND($AY$6*AZ17/$AZ$5,2)</f>
        <v>17.61</v>
      </c>
      <c r="AZ17" s="13">
        <f>BA17+BL17</f>
        <v>61.53</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61.53</v>
      </c>
      <c r="BM17" s="13">
        <f>IF($D17="是",AD17-AE17,0)</f>
        <v>0</v>
      </c>
      <c r="BN17" s="13">
        <f>IF($D17="是",AF17-AG17,0)</f>
        <v>0</v>
      </c>
      <c r="BO17" s="13">
        <f>IF($D17="是",AH17-AI17,0)</f>
        <v>0</v>
      </c>
      <c r="BP17" s="13">
        <f>IF($D17="是",AJ17-AK17,0)</f>
        <v>0</v>
      </c>
      <c r="BQ17" s="13">
        <f>IF($D17="是",AL17-AM17,0)</f>
        <v>0</v>
      </c>
      <c r="BR17" s="13">
        <f>IF($D17="是",AN17-AO17,0)</f>
        <v>61.53</v>
      </c>
      <c r="BS17" s="13">
        <f>IF($D17="是",AP17-AQ17,0)</f>
        <v>0</v>
      </c>
      <c r="BT17" s="19">
        <f>IF($D17="是",AR17-AS17,0)</f>
        <v>0</v>
      </c>
    </row>
    <row r="18" spans="1:72" ht="14.25" customHeight="1">
      <c r="A18" s="6"/>
      <c r="B18" s="31"/>
      <c r="C18" s="628" t="str">
        <f>Sheet1!C9</f>
        <v>8号楼1层101</v>
      </c>
      <c r="D18" s="1513" t="s">
        <v>3436</v>
      </c>
      <c r="E18" s="32">
        <f t="shared" ref="E18:E112" si="7">IF($C$3="是",ROUND($A$3*G18/$B$3,2),ROUND($A$3*(G18-AT18)/$B$3,2))</f>
        <v>4.88</v>
      </c>
      <c r="F18" s="33"/>
      <c r="G18" s="34">
        <f t="shared" ref="G18:G109" si="8">H18+AC18+AT18</f>
        <v>17.05</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17.05</v>
      </c>
      <c r="AD18" s="37"/>
      <c r="AE18" s="37"/>
      <c r="AF18" s="37"/>
      <c r="AG18" s="37"/>
      <c r="AH18" s="37"/>
      <c r="AI18" s="37"/>
      <c r="AJ18" s="37"/>
      <c r="AK18" s="37"/>
      <c r="AL18" s="37"/>
      <c r="AM18" s="37"/>
      <c r="AN18" s="989">
        <f>Sheet1!D9</f>
        <v>17.05</v>
      </c>
      <c r="AO18" s="37"/>
      <c r="AP18" s="37"/>
      <c r="AQ18" s="37"/>
      <c r="AR18" s="37"/>
      <c r="AS18" s="37"/>
      <c r="AT18" s="33"/>
      <c r="AU18" s="1517"/>
      <c r="AV18" s="530">
        <f t="shared" ref="AV18:AV112" si="11">A18</f>
        <v>0</v>
      </c>
      <c r="AW18" s="530">
        <f t="shared" ref="AW18:AW112" si="12">B18</f>
        <v>0</v>
      </c>
      <c r="AX18" s="530" t="str">
        <f t="shared" ref="AX18:AX112" si="13">C18</f>
        <v>8号楼1层101</v>
      </c>
      <c r="AY18" s="38">
        <f t="shared" ref="AY18:AY109" si="14">ROUND($AY$6*AZ18/$AZ$5,2)</f>
        <v>4.88</v>
      </c>
      <c r="AZ18" s="32">
        <f t="shared" ref="AZ18:AZ109" si="15">BA18+BL18</f>
        <v>17.05</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17.05</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17.05</v>
      </c>
      <c r="BS18" s="32">
        <f t="shared" ref="BS18:BS109" si="34">IF($D18="是",AP18-AQ18,0)</f>
        <v>0</v>
      </c>
      <c r="BT18" s="39">
        <f t="shared" ref="BT18:BT109" si="35">IF($D18="是",AR18-AS18,0)</f>
        <v>0</v>
      </c>
    </row>
    <row r="19" spans="1:72" ht="14.25" customHeight="1">
      <c r="A19" s="6"/>
      <c r="B19" s="31"/>
      <c r="C19" s="628" t="str">
        <f>Sheet1!C10</f>
        <v>9号楼-2至-1层-101</v>
      </c>
      <c r="D19" s="1513" t="s">
        <v>3436</v>
      </c>
      <c r="E19" s="32">
        <f t="shared" si="7"/>
        <v>21301.23</v>
      </c>
      <c r="F19" s="33"/>
      <c r="G19" s="34">
        <f t="shared" si="8"/>
        <v>74412.53</v>
      </c>
      <c r="H19" s="35">
        <f t="shared" si="9"/>
        <v>43485</v>
      </c>
      <c r="I19" s="36"/>
      <c r="J19" s="36"/>
      <c r="K19" s="36">
        <f>Sheet1!G10</f>
        <v>20000</v>
      </c>
      <c r="L19" s="36"/>
      <c r="M19" s="36">
        <f>Sheet1!H10</f>
        <v>23485</v>
      </c>
      <c r="N19" s="36"/>
      <c r="O19" s="36"/>
      <c r="P19" s="36"/>
      <c r="Q19" s="36"/>
      <c r="R19" s="36"/>
      <c r="S19" s="36"/>
      <c r="T19" s="36"/>
      <c r="U19" s="36"/>
      <c r="V19" s="36"/>
      <c r="W19" s="36"/>
      <c r="X19" s="36"/>
      <c r="Y19" s="36"/>
      <c r="Z19" s="36"/>
      <c r="AA19" s="36"/>
      <c r="AB19" s="36"/>
      <c r="AC19" s="32">
        <f t="shared" si="10"/>
        <v>30927.53</v>
      </c>
      <c r="AD19" s="37"/>
      <c r="AE19" s="37"/>
      <c r="AF19" s="37"/>
      <c r="AG19" s="37"/>
      <c r="AH19" s="37"/>
      <c r="AI19" s="37"/>
      <c r="AJ19" s="37"/>
      <c r="AK19" s="37"/>
      <c r="AL19" s="37"/>
      <c r="AM19" s="37"/>
      <c r="AN19" s="37">
        <f>Sheet1!I10</f>
        <v>30927.53</v>
      </c>
      <c r="AO19" s="37"/>
      <c r="AP19" s="37"/>
      <c r="AQ19" s="37"/>
      <c r="AR19" s="37"/>
      <c r="AS19" s="37"/>
      <c r="AT19" s="33"/>
      <c r="AU19" s="1517"/>
      <c r="AV19" s="530">
        <f t="shared" si="11"/>
        <v>0</v>
      </c>
      <c r="AW19" s="530">
        <f t="shared" si="12"/>
        <v>0</v>
      </c>
      <c r="AX19" s="530" t="str">
        <f t="shared" si="13"/>
        <v>9号楼-2至-1层-101</v>
      </c>
      <c r="AY19" s="38">
        <f t="shared" si="14"/>
        <v>21301.23</v>
      </c>
      <c r="AZ19" s="32">
        <f t="shared" si="15"/>
        <v>74412.53</v>
      </c>
      <c r="BA19" s="32">
        <f t="shared" si="16"/>
        <v>43485</v>
      </c>
      <c r="BB19" s="32">
        <f t="shared" si="17"/>
        <v>0</v>
      </c>
      <c r="BC19" s="32">
        <f t="shared" si="18"/>
        <v>20000</v>
      </c>
      <c r="BD19" s="32">
        <f t="shared" si="19"/>
        <v>23485</v>
      </c>
      <c r="BE19" s="32">
        <f t="shared" si="20"/>
        <v>0</v>
      </c>
      <c r="BF19" s="32">
        <f t="shared" si="21"/>
        <v>0</v>
      </c>
      <c r="BG19" s="32">
        <f t="shared" si="22"/>
        <v>0</v>
      </c>
      <c r="BH19" s="32">
        <f t="shared" si="23"/>
        <v>0</v>
      </c>
      <c r="BI19" s="32">
        <f t="shared" si="24"/>
        <v>0</v>
      </c>
      <c r="BJ19" s="32">
        <f t="shared" si="25"/>
        <v>0</v>
      </c>
      <c r="BK19" s="32">
        <f t="shared" si="26"/>
        <v>0</v>
      </c>
      <c r="BL19" s="32">
        <f t="shared" si="27"/>
        <v>30927.53</v>
      </c>
      <c r="BM19" s="32">
        <f t="shared" si="28"/>
        <v>0</v>
      </c>
      <c r="BN19" s="32">
        <f t="shared" si="29"/>
        <v>0</v>
      </c>
      <c r="BO19" s="32">
        <f t="shared" si="30"/>
        <v>0</v>
      </c>
      <c r="BP19" s="32">
        <f t="shared" si="31"/>
        <v>0</v>
      </c>
      <c r="BQ19" s="32">
        <f t="shared" si="32"/>
        <v>0</v>
      </c>
      <c r="BR19" s="32">
        <f t="shared" si="33"/>
        <v>30927.53</v>
      </c>
      <c r="BS19" s="32">
        <f t="shared" si="34"/>
        <v>0</v>
      </c>
      <c r="BT19" s="39">
        <f t="shared" si="35"/>
        <v>0</v>
      </c>
    </row>
    <row r="20" spans="1:72">
      <c r="A20" s="6"/>
      <c r="B20" s="31"/>
      <c r="C20" s="628"/>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P12" sqref="P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6" t="s">
        <v>1131</v>
      </c>
      <c r="B2" s="3266"/>
      <c r="C2" s="3266"/>
      <c r="D2" s="748" t="s">
        <v>1107</v>
      </c>
      <c r="E2" s="1523" t="s">
        <v>1108</v>
      </c>
      <c r="F2" s="2439"/>
      <c r="G2" s="2432"/>
      <c r="H2" s="2433"/>
      <c r="I2" s="2146" t="s">
        <v>1132</v>
      </c>
      <c r="J2" s="2439"/>
      <c r="K2" s="2439"/>
      <c r="L2" s="2439"/>
      <c r="M2" s="2439"/>
      <c r="N2" s="2440"/>
      <c r="O2" s="2439"/>
      <c r="P2" s="2439"/>
    </row>
    <row r="3" spans="1:16" ht="15.75" thickBot="1">
      <c r="A3" s="3267" t="s">
        <v>1105</v>
      </c>
      <c r="B3" s="3267"/>
      <c r="C3" s="3267"/>
      <c r="D3" s="41">
        <f>'数据-基础表'!AY6</f>
        <v>46654.62</v>
      </c>
      <c r="E3" s="41">
        <f>'数据-基础表'!AZ5</f>
        <v>162980.66999999998</v>
      </c>
      <c r="F3" s="2439"/>
      <c r="G3" s="42"/>
      <c r="H3" s="43" t="s">
        <v>1106</v>
      </c>
      <c r="I3" s="802">
        <f>ROUND('数据-基础表'!B3/'数据-基础表'!A3,2)</f>
        <v>3.49</v>
      </c>
      <c r="J3" s="2439"/>
      <c r="K3" s="2439"/>
      <c r="L3" s="2439"/>
      <c r="M3" s="2439"/>
      <c r="N3" s="2440"/>
      <c r="O3" s="2439"/>
      <c r="P3" s="2439"/>
    </row>
    <row r="4" spans="1:16" ht="15">
      <c r="A4" s="3268"/>
      <c r="B4" s="3269"/>
      <c r="C4" s="3270"/>
      <c r="D4" s="1524" t="s">
        <v>1107</v>
      </c>
      <c r="E4" s="1525" t="s">
        <v>1108</v>
      </c>
      <c r="F4" s="2439"/>
      <c r="G4" s="2434" t="s">
        <v>1133</v>
      </c>
      <c r="H4" s="43" t="s">
        <v>1113</v>
      </c>
      <c r="I4" s="802">
        <f>ROUND(SUMIF('数据-基础表'!I9:AS9,"地上",'数据-基础表'!I5:AS5)/'数据-基础表'!A3,2)</f>
        <v>1.89</v>
      </c>
      <c r="J4" s="2439"/>
      <c r="K4" s="2439"/>
      <c r="L4" s="2439"/>
      <c r="M4" s="2439"/>
      <c r="N4" s="2440"/>
      <c r="O4" s="2439"/>
      <c r="P4" s="2439"/>
    </row>
    <row r="5" spans="1:16">
      <c r="A5" s="42" t="s">
        <v>1109</v>
      </c>
      <c r="B5" s="3271" t="s">
        <v>1110</v>
      </c>
      <c r="C5" s="3271"/>
      <c r="D5" s="43">
        <f>ROUND($D$3*E5/$E$3,2)</f>
        <v>0</v>
      </c>
      <c r="E5" s="44">
        <f>SUMIF('数据-基础表'!$11:$11,"住宅",'数据-基础表'!$5:$5)</f>
        <v>0</v>
      </c>
      <c r="F5" s="2439"/>
      <c r="G5" s="42"/>
      <c r="H5" s="43" t="s">
        <v>1106</v>
      </c>
      <c r="I5" s="802">
        <f>ROUND(E31/D31,2)</f>
        <v>3.49</v>
      </c>
      <c r="J5" s="2439"/>
      <c r="K5" s="2439"/>
      <c r="L5" s="2439"/>
      <c r="M5" s="2439"/>
      <c r="N5" s="2439"/>
      <c r="O5" s="2439"/>
      <c r="P5" s="2439"/>
    </row>
    <row r="6" spans="1:16" ht="15" thickBot="1">
      <c r="A6" s="1527"/>
      <c r="B6" s="3271" t="s">
        <v>1111</v>
      </c>
      <c r="C6" s="3271"/>
      <c r="D6" s="43">
        <f>ROUND($D$3*E6/$E$3,2)</f>
        <v>46654.62</v>
      </c>
      <c r="E6" s="44">
        <f>E3-E5</f>
        <v>162980.66999999998</v>
      </c>
      <c r="F6" s="2439"/>
      <c r="G6" s="1529" t="s">
        <v>1112</v>
      </c>
      <c r="H6" s="45" t="s">
        <v>1113</v>
      </c>
      <c r="I6" s="2435">
        <f>ROUND(F31/D31,2)</f>
        <v>1.89</v>
      </c>
      <c r="J6" s="2439"/>
      <c r="K6" s="2439"/>
      <c r="L6" s="2439"/>
      <c r="M6" s="2439"/>
      <c r="N6" s="2439"/>
      <c r="O6" s="2439"/>
      <c r="P6" s="2439"/>
    </row>
    <row r="7" spans="1:16" ht="15.75" thickBot="1">
      <c r="A7" s="3263"/>
      <c r="B7" s="3264"/>
      <c r="C7" s="3265"/>
      <c r="D7" s="1524" t="s">
        <v>1107</v>
      </c>
      <c r="E7" s="1528" t="s">
        <v>1114</v>
      </c>
      <c r="F7" s="2439"/>
      <c r="G7" s="2436" t="s">
        <v>1115</v>
      </c>
      <c r="H7" s="95"/>
      <c r="I7" s="2437">
        <v>1.86</v>
      </c>
      <c r="J7" s="2439"/>
      <c r="K7" s="2439"/>
      <c r="L7" s="2439"/>
      <c r="M7" s="2439"/>
      <c r="N7" s="2439"/>
      <c r="O7" s="2439"/>
      <c r="P7" s="2439"/>
    </row>
    <row r="8" spans="1:16">
      <c r="A8" s="42" t="s">
        <v>1116</v>
      </c>
      <c r="B8" s="45" t="s">
        <v>1117</v>
      </c>
      <c r="C8" s="43" t="s">
        <v>1118</v>
      </c>
      <c r="D8" s="43">
        <f t="shared" ref="D8:D15" si="0">ROUND($D$3*E8/$E$3,2)</f>
        <v>25307.02</v>
      </c>
      <c r="E8" s="46">
        <f>SUMIF('数据-基础表'!BB10:BK10,"地上",'数据-基础表'!BB5:BK5)</f>
        <v>88406.15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5725.17</v>
      </c>
      <c r="E10" s="46">
        <f>SUMPRODUCT(('数据-基础表'!BB10:BK10="地下")*('数据-基础表'!BB11:BK11="商业")*('数据-基础表'!BB5:BK5))</f>
        <v>20000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6722.78</v>
      </c>
      <c r="E13" s="46">
        <f>SUMPRODUCT(('数据-基础表'!BB10:BK10="地下")*('数据-基础表'!BB11:BK11="车库")*('数据-基础表'!BB5:BK5))</f>
        <v>23485</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37754.97</v>
      </c>
      <c r="E16" s="48">
        <f>SUM(E8:E15)</f>
        <v>131891.15</v>
      </c>
      <c r="F16" s="2439"/>
      <c r="G16" s="2439"/>
      <c r="H16" s="1531" t="s">
        <v>1135</v>
      </c>
      <c r="I16" s="1532"/>
      <c r="J16" s="1071"/>
      <c r="K16" s="3260" t="s">
        <v>1135</v>
      </c>
      <c r="L16" s="3261"/>
      <c r="M16" s="3261"/>
      <c r="N16" s="3261"/>
      <c r="O16" s="3261"/>
      <c r="P16" s="3262"/>
    </row>
    <row r="17" spans="1:19" ht="15">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3440</v>
      </c>
      <c r="D19" s="43">
        <f>ROUND($D$3*E19/$E$3,2)</f>
        <v>37754.980000000003</v>
      </c>
      <c r="E19" s="51">
        <f t="shared" ref="E19:E26" si="1">SUM(F19:G19)</f>
        <v>131891.15</v>
      </c>
      <c r="F19" s="2558">
        <f>'数据-基础表'!I5</f>
        <v>88406.15</v>
      </c>
      <c r="G19" s="1243">
        <f>'数据-基础表'!K19+'数据-基础表'!M19</f>
        <v>43485</v>
      </c>
      <c r="H19" s="637">
        <f>ROUND($D$3*I19/$E$3,2)</f>
        <v>8899.64</v>
      </c>
      <c r="I19" s="46">
        <f t="shared" ref="I19:I26" si="2">IF($I$17="自定义",P19,M19)</f>
        <v>31089.52</v>
      </c>
      <c r="J19" s="1071"/>
      <c r="K19" s="637">
        <f t="shared" ref="K19:K26" si="3">ROUND(E$28*E19/E$27,2)</f>
        <v>31089.52</v>
      </c>
      <c r="L19" s="43">
        <f t="shared" ref="L19:L26" si="4">ROUND(IF(COUNTIF(C19,"*住宅*")&gt;0,E$29*E19/E$32,0),2)</f>
        <v>0</v>
      </c>
      <c r="M19" s="46">
        <f>K19+L19</f>
        <v>31089.52</v>
      </c>
      <c r="N19" s="1550"/>
      <c r="O19" s="1551"/>
      <c r="P19" s="46">
        <f>N19+O19</f>
        <v>0</v>
      </c>
      <c r="R19" s="43">
        <f t="shared" ref="R19:S26" si="5">D19+H19</f>
        <v>46654.62</v>
      </c>
      <c r="S19" s="51">
        <f t="shared" si="5"/>
        <v>162980.66999999998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37754.980000000003</v>
      </c>
      <c r="E27" s="1073">
        <f>IF(SUM(E19:E26)='数据-基础表'!BA5,SUM(E19:E26),IF(F27="地上面积有误","面积有误","地下面积有误"))</f>
        <v>131891.15</v>
      </c>
      <c r="F27" s="1072">
        <f>IF(SUM(F19:F26)=E8,SUM(F19:F26),"地上面积有误")</f>
        <v>88406.15</v>
      </c>
      <c r="G27" s="1074">
        <f>SUM(G19:G26)</f>
        <v>43485</v>
      </c>
      <c r="H27" s="1075">
        <f>SUM(H19:H26)</f>
        <v>8899.64</v>
      </c>
      <c r="I27" s="1076">
        <f>SUM(I19:I26)</f>
        <v>31089.52</v>
      </c>
      <c r="J27" s="1071"/>
      <c r="K27" s="1077">
        <f>SUM(K19:K26)</f>
        <v>31089.52</v>
      </c>
      <c r="L27" s="785">
        <f>SUM(L19:L26)</f>
        <v>0</v>
      </c>
      <c r="M27" s="1078">
        <f>SUM(M19:M26)</f>
        <v>31089.52</v>
      </c>
      <c r="N27" s="1077">
        <f t="shared" ref="N27:O27" si="10">SUM(N19:N26)</f>
        <v>0</v>
      </c>
      <c r="O27" s="785">
        <f t="shared" si="10"/>
        <v>0</v>
      </c>
      <c r="P27" s="94">
        <f>SUM(P19:P26)</f>
        <v>0</v>
      </c>
      <c r="R27" s="968">
        <f>IF(SUM(R19:R26)=$D$3,SUM(R19:R26),SUM(R19:R26)&amp;"误差"&amp;ROUND(SUM(R19:R26)-$D$3,2))</f>
        <v>46654.62</v>
      </c>
      <c r="S27" s="43">
        <f>IF(SUM(S19:S26)=$E$3,SUM(S19:S26),SUM(S19:S26)&amp;"误差"&amp;ROUND(SUM(S19:S26)-E3,2))</f>
        <v>162980.66999999998</v>
      </c>
    </row>
    <row r="28" spans="1:19">
      <c r="A28" s="1549"/>
      <c r="B28" s="45" t="s">
        <v>1155</v>
      </c>
      <c r="C28" s="54" t="s">
        <v>1156</v>
      </c>
      <c r="D28" s="43">
        <f>ROUND($D$3*E28/$E$3,2)</f>
        <v>8899.64</v>
      </c>
      <c r="E28" s="51">
        <f>SUM(F28:G28)</f>
        <v>31089.52</v>
      </c>
      <c r="F28" s="54">
        <f>'数据-基础表'!BQ5+'数据-基础表'!BS5</f>
        <v>0</v>
      </c>
      <c r="G28" s="55">
        <f>'数据-基础表'!BR5+'数据-基础表'!BT5</f>
        <v>31089.52</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8899.64</v>
      </c>
      <c r="E30" s="1072">
        <f>SUM(E28:E29)</f>
        <v>31089.52</v>
      </c>
      <c r="F30" s="1072">
        <f>SUM(F28:F29)</f>
        <v>0</v>
      </c>
      <c r="G30" s="1074">
        <f>SUM(G28:G29)</f>
        <v>31089.52</v>
      </c>
      <c r="H30" s="2439"/>
      <c r="I30" s="2439"/>
      <c r="J30" s="2439"/>
      <c r="K30" s="2439"/>
      <c r="L30" s="2439"/>
      <c r="M30" s="2439"/>
      <c r="N30" s="2439"/>
      <c r="O30" s="2439"/>
      <c r="P30" s="2439"/>
    </row>
    <row r="31" spans="1:19" ht="15.75" thickBot="1">
      <c r="A31" s="1557"/>
      <c r="B31" s="96"/>
      <c r="C31" s="785" t="s">
        <v>1158</v>
      </c>
      <c r="D31" s="643">
        <f>D27+D30</f>
        <v>46654.62</v>
      </c>
      <c r="E31" s="643">
        <f>E27+E30</f>
        <v>162980.66999999998</v>
      </c>
      <c r="F31" s="644">
        <f>F27+F30</f>
        <v>88406.15</v>
      </c>
      <c r="G31" s="645">
        <f>G27+G30</f>
        <v>74574.52</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X28" sqref="X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45876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59547</v>
      </c>
      <c r="F6" s="61">
        <f>SUMIF(项目基本情况!C$12:I$12,C6,项目基本情况!C$15:I$15)</f>
        <v>37.450000000000003</v>
      </c>
      <c r="G6" s="62">
        <f>IF(ISERROR(ROUND(POWER(1+H6,D6-F6)*(POWER(1+H6,F6)-1)/(POWER(1+H6,D6)-1),3)),0,ROUND(POWER(1+H6,D6-F6)*(POWER(1+H6,F6)-1)/(POWER(1+H6,D6)-1),3))</f>
        <v>0.97799999999999998</v>
      </c>
      <c r="H6" s="691">
        <v>0.05</v>
      </c>
      <c r="I6" s="691">
        <v>0.06</v>
      </c>
      <c r="J6" s="63">
        <v>7.0000000000000007E-2</v>
      </c>
      <c r="K6" s="970">
        <f>SUMIF('数据-汇总表'!C$19:C$33,A6,'数据-汇总表'!E$19:E$33)</f>
        <v>131891.15</v>
      </c>
      <c r="L6" s="692">
        <v>5500</v>
      </c>
      <c r="M6" s="64">
        <f t="shared" ref="M6:M14" si="0">ROUND(K6*L6/10000,0)</f>
        <v>72540</v>
      </c>
      <c r="N6" s="690">
        <f>ROUND(1-(1-0%)*(2025-2024)/60,2)</f>
        <v>0.98</v>
      </c>
      <c r="O6" s="64" t="str">
        <f>IF($N$5="成新度","——",ROUND(M6*N6,0))</f>
        <v>——</v>
      </c>
      <c r="P6" s="65" t="str">
        <f>IF($N$5="成新度","——",M6-O6)</f>
        <v>——</v>
      </c>
      <c r="Q6" s="693">
        <v>0.2</v>
      </c>
      <c r="R6" s="66">
        <f ca="1">SUMIF('数据-汇总表'!C$19:C$33,A6,'数据-汇总表'!R$19:R$27)</f>
        <v>46654.62</v>
      </c>
      <c r="S6" s="49">
        <f>IF('数据-汇总表'!$I$17="按面积比例",SUMIF('数据-汇总表'!C$19:C$33,A6,'数据-汇总表'!K$19:K$33),SUMIF('数据-汇总表'!C$19:C$33,A6,'数据-汇总表'!N$19:N$33))</f>
        <v>31089.52</v>
      </c>
      <c r="T6" s="1092">
        <f>ROUND($L$14*S6/10000,0)</f>
        <v>17099</v>
      </c>
      <c r="U6" s="3127">
        <f>Sheet1!F36</f>
        <v>1.93</v>
      </c>
      <c r="V6" s="67">
        <v>0</v>
      </c>
      <c r="W6" s="67">
        <v>0</v>
      </c>
      <c r="X6" s="979"/>
      <c r="Y6" s="68">
        <f>N6</f>
        <v>0.98</v>
      </c>
      <c r="Z6" s="69">
        <f>ROUND(Q27*(1+2%)^20,2)</f>
        <v>2.73</v>
      </c>
      <c r="AA6" s="63">
        <v>0.02</v>
      </c>
      <c r="AB6" s="63">
        <v>0.1</v>
      </c>
      <c r="AC6" s="979"/>
      <c r="AD6" s="70">
        <f>ROUND(1-(1-0%)*(2045-2024)/60,2)</f>
        <v>0.65</v>
      </c>
      <c r="AE6" s="980">
        <f ca="1">IF(AN6="",0,SUMIF(INDIRECT("'"&amp;AN6&amp;"'"&amp;"!E:E"),$AE$5,INDIRECT("'"&amp;AN6&amp;"'"&amp;"!F:F")))</f>
        <v>37.450000000000003</v>
      </c>
      <c r="AF6" s="74">
        <v>20</v>
      </c>
      <c r="AG6" s="130">
        <f ca="1">IF(AF6="",0,AE6-AF6)</f>
        <v>17.450000000000003</v>
      </c>
      <c r="AH6" s="71"/>
      <c r="AI6" s="73">
        <v>365</v>
      </c>
      <c r="AJ6" s="74"/>
      <c r="AK6" s="75">
        <v>2E-3</v>
      </c>
      <c r="AL6" s="76">
        <v>1.5E-3</v>
      </c>
      <c r="AM6" s="77">
        <v>0.02</v>
      </c>
      <c r="AN6" s="1589" t="s">
        <v>3464</v>
      </c>
      <c r="AO6" s="50">
        <f ca="1">SUMIF(INDIRECT("'"&amp;AN6&amp;"'"&amp;"!A:A"),"总价",INDIRECT("'"&amp;AN6&amp;"'"&amp;"!B:B"))</f>
        <v>119497</v>
      </c>
      <c r="AP6" s="1590">
        <f>IF(C6="住宅",K6*L6,0)</f>
        <v>0</v>
      </c>
      <c r="AQ6" s="50">
        <f>ROUND($L$14*$N$14*S6/10000,0)</f>
        <v>16757</v>
      </c>
      <c r="AR6" s="50">
        <f>ROUND($L$14*(1-$N$14)*S6/10000,0)</f>
        <v>342</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31089.52</v>
      </c>
      <c r="L14" s="79">
        <v>5500</v>
      </c>
      <c r="M14" s="64">
        <f t="shared" si="0"/>
        <v>17099</v>
      </c>
      <c r="N14" s="80">
        <f>N6</f>
        <v>0.98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0.97799999999999998</v>
      </c>
      <c r="H16" s="84">
        <f>ROUND(SUMPRODUCT(H6:H13,K6:K13)/SUMPRODUCT((H6:H13&gt;0)*(K6:K13)),3)</f>
        <v>0.05</v>
      </c>
      <c r="I16" s="85"/>
      <c r="J16" s="85"/>
      <c r="K16" s="86">
        <f>SUM(K6:K15)</f>
        <v>162980.66999999998</v>
      </c>
      <c r="L16" s="87">
        <f>ROUND(M16*10000/SUM(K6:K14),0)</f>
        <v>5500</v>
      </c>
      <c r="M16" s="87">
        <f>SUM(M6:M14)</f>
        <v>89639</v>
      </c>
      <c r="N16" s="88">
        <f>ROUND(SUMPRODUCT(M6:M14,N6:N14)/M16,3)</f>
        <v>0.98</v>
      </c>
      <c r="O16" s="87">
        <f>SUM(O6:O14)</f>
        <v>0</v>
      </c>
      <c r="P16" s="87">
        <f>SUM(P6:P14)</f>
        <v>0</v>
      </c>
      <c r="Q16" s="89">
        <f>ROUND(SUMPRODUCT(Q6:Q13,K6:K13)/SUMPRODUCT((Q6:Q13&gt;0)*(K6:K13)),2)</f>
        <v>0.2</v>
      </c>
      <c r="R16" s="974">
        <f ca="1">SUM(R6:R13)</f>
        <v>46654.62</v>
      </c>
      <c r="S16" s="90">
        <f>SUM(S6:S13)</f>
        <v>31089.52</v>
      </c>
      <c r="T16" s="91">
        <f>IF(SUMIF(T6:T13,"&lt;9E307")=M14,SUMIF(T6:T13,"&lt;9E307"),"有误，请检查")</f>
        <v>17099</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3171"/>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3272" t="s">
        <v>3513</v>
      </c>
      <c r="J19" s="3272"/>
      <c r="K19" s="3272"/>
      <c r="L19" s="3179" t="s">
        <v>3514</v>
      </c>
      <c r="M19" s="2449"/>
      <c r="N19" s="2449"/>
      <c r="O19" s="2449"/>
      <c r="P19" s="3177" t="s">
        <v>3530</v>
      </c>
      <c r="Q19" s="3177" t="s">
        <v>3533</v>
      </c>
      <c r="R19" s="3177" t="s">
        <v>3534</v>
      </c>
      <c r="S19" s="3177" t="s">
        <v>3535</v>
      </c>
      <c r="T19" s="3177" t="s">
        <v>3539</v>
      </c>
      <c r="U19" s="3173"/>
      <c r="V19" s="3173"/>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3272" t="s">
        <v>3515</v>
      </c>
      <c r="J20" s="3272"/>
      <c r="K20" s="3175"/>
      <c r="L20" s="3179" t="s">
        <v>3516</v>
      </c>
      <c r="M20" s="2449"/>
      <c r="N20" s="2449"/>
      <c r="O20" s="2449"/>
      <c r="P20" s="3173">
        <v>1</v>
      </c>
      <c r="Q20" s="3173">
        <v>3</v>
      </c>
      <c r="R20" s="3173"/>
      <c r="S20" s="3173">
        <f>'数据-汇总表'!F19/5</f>
        <v>17681.23</v>
      </c>
      <c r="T20" s="3173">
        <v>20000</v>
      </c>
      <c r="U20" s="3173">
        <f t="shared" ref="U20:U26" si="12">Q20*S20</f>
        <v>53043.69</v>
      </c>
      <c r="V20" s="3173">
        <f t="shared" ref="V20:V26" si="13">T20*S20</f>
        <v>353624600</v>
      </c>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3272"/>
      <c r="J21" s="3272"/>
      <c r="K21" s="3180" t="s">
        <v>3517</v>
      </c>
      <c r="L21" s="3181">
        <v>6</v>
      </c>
      <c r="M21" s="2449"/>
      <c r="N21" s="2449"/>
      <c r="O21" s="2449"/>
      <c r="P21" s="3173">
        <v>2</v>
      </c>
      <c r="Q21" s="3173">
        <f>$Q$20*R21</f>
        <v>2.4000000000000004</v>
      </c>
      <c r="R21" s="3173">
        <v>0.8</v>
      </c>
      <c r="S21" s="3173">
        <f>S20</f>
        <v>17681.23</v>
      </c>
      <c r="T21" s="3173">
        <f t="shared" ref="T21:T26" si="14">$T$20*R21</f>
        <v>16000</v>
      </c>
      <c r="U21" s="3173">
        <f t="shared" si="12"/>
        <v>42434.952000000005</v>
      </c>
      <c r="V21" s="3173">
        <f t="shared" si="13"/>
        <v>282899680</v>
      </c>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3272"/>
      <c r="J22" s="3272"/>
      <c r="K22" s="3180" t="s">
        <v>3518</v>
      </c>
      <c r="L22" s="3181">
        <v>3</v>
      </c>
      <c r="M22" s="2449"/>
      <c r="N22" s="2449"/>
      <c r="O22" s="2449"/>
      <c r="P22" s="3173">
        <v>3</v>
      </c>
      <c r="Q22" s="3173">
        <f t="shared" ref="Q22:Q26" si="15">$Q$20*R22</f>
        <v>2.0999999999999996</v>
      </c>
      <c r="R22" s="3173">
        <v>0.7</v>
      </c>
      <c r="S22" s="3173">
        <f t="shared" ref="S22:S24" si="16">S21</f>
        <v>17681.23</v>
      </c>
      <c r="T22" s="3173">
        <f t="shared" si="14"/>
        <v>14000</v>
      </c>
      <c r="U22" s="3173">
        <f t="shared" si="12"/>
        <v>37130.582999999991</v>
      </c>
      <c r="V22" s="3173">
        <f t="shared" si="13"/>
        <v>247537220</v>
      </c>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3272" t="s">
        <v>3519</v>
      </c>
      <c r="J23" s="3272"/>
      <c r="K23" s="3175" t="s">
        <v>3520</v>
      </c>
      <c r="L23" s="3181">
        <v>0</v>
      </c>
      <c r="M23" s="2449"/>
      <c r="N23" s="2449"/>
      <c r="O23" s="2449"/>
      <c r="P23" s="3173">
        <v>4</v>
      </c>
      <c r="Q23" s="3173">
        <f t="shared" si="15"/>
        <v>1.9500000000000002</v>
      </c>
      <c r="R23" s="3173">
        <v>0.65</v>
      </c>
      <c r="S23" s="3173">
        <f t="shared" si="16"/>
        <v>17681.23</v>
      </c>
      <c r="T23" s="3173">
        <f t="shared" si="14"/>
        <v>13000</v>
      </c>
      <c r="U23" s="3173">
        <f t="shared" si="12"/>
        <v>34478.398500000003</v>
      </c>
      <c r="V23" s="3173">
        <f t="shared" si="13"/>
        <v>229855990</v>
      </c>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3272"/>
      <c r="J24" s="3272"/>
      <c r="K24" s="3180" t="s">
        <v>3517</v>
      </c>
      <c r="L24" s="3182">
        <v>0</v>
      </c>
      <c r="M24" s="2449"/>
      <c r="N24" s="2449"/>
      <c r="O24" s="2449"/>
      <c r="P24" s="3173">
        <v>5</v>
      </c>
      <c r="Q24" s="3173">
        <f t="shared" si="15"/>
        <v>1.7999999999999998</v>
      </c>
      <c r="R24" s="3173">
        <v>0.6</v>
      </c>
      <c r="S24" s="3173">
        <f t="shared" si="16"/>
        <v>17681.23</v>
      </c>
      <c r="T24" s="3173">
        <f t="shared" si="14"/>
        <v>12000</v>
      </c>
      <c r="U24" s="3173">
        <f t="shared" si="12"/>
        <v>31826.213999999996</v>
      </c>
      <c r="V24" s="3173">
        <f t="shared" si="13"/>
        <v>212174760</v>
      </c>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3272"/>
      <c r="J25" s="3272"/>
      <c r="K25" s="3180" t="s">
        <v>3518</v>
      </c>
      <c r="L25" s="3182">
        <v>0</v>
      </c>
      <c r="M25" s="2449"/>
      <c r="N25" s="2449"/>
      <c r="O25" s="2449"/>
      <c r="P25" s="3177" t="s">
        <v>3531</v>
      </c>
      <c r="Q25" s="3173">
        <f t="shared" si="15"/>
        <v>1.5</v>
      </c>
      <c r="R25" s="3173">
        <v>0.5</v>
      </c>
      <c r="S25" s="3173">
        <f>Sheet1!G10</f>
        <v>20000</v>
      </c>
      <c r="T25" s="3173">
        <f t="shared" si="14"/>
        <v>10000</v>
      </c>
      <c r="U25" s="3173">
        <f t="shared" si="12"/>
        <v>30000</v>
      </c>
      <c r="V25" s="3173">
        <f t="shared" si="13"/>
        <v>200000000</v>
      </c>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3272" t="s">
        <v>3521</v>
      </c>
      <c r="J26" s="3273" t="s">
        <v>3522</v>
      </c>
      <c r="K26" s="3274"/>
      <c r="L26" s="3176">
        <f>L27+L30+L31</f>
        <v>5458</v>
      </c>
      <c r="M26" s="2449"/>
      <c r="N26" s="2449"/>
      <c r="O26" s="2449">
        <f>Q26*35*30</f>
        <v>630.00000000000011</v>
      </c>
      <c r="P26" s="3177" t="s">
        <v>3532</v>
      </c>
      <c r="Q26" s="3173">
        <f t="shared" si="15"/>
        <v>0.60000000000000009</v>
      </c>
      <c r="R26" s="3173">
        <v>0.2</v>
      </c>
      <c r="S26" s="3173">
        <f>Sheet1!H10</f>
        <v>23485</v>
      </c>
      <c r="T26" s="3173">
        <f t="shared" si="14"/>
        <v>4000</v>
      </c>
      <c r="U26" s="3173">
        <f t="shared" si="12"/>
        <v>14091.000000000002</v>
      </c>
      <c r="V26" s="3173">
        <f t="shared" si="13"/>
        <v>93940000</v>
      </c>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3272"/>
      <c r="J27" s="3272" t="s">
        <v>3523</v>
      </c>
      <c r="K27" s="3183" t="s">
        <v>3520</v>
      </c>
      <c r="L27" s="3183">
        <f>ROUND(N27/M27,0)</f>
        <v>3282</v>
      </c>
      <c r="M27" s="2449">
        <f>'数据-汇总表'!E31</f>
        <v>162980.66999999998</v>
      </c>
      <c r="N27" s="2449">
        <f>N28+N29</f>
        <v>534955223.56</v>
      </c>
      <c r="O27" s="2449"/>
      <c r="P27" s="3173"/>
      <c r="Q27" s="3173">
        <f>ROUND(U27/S27,2)</f>
        <v>1.84</v>
      </c>
      <c r="R27" s="3173"/>
      <c r="S27" s="3173">
        <f>SUM(S20:S26)</f>
        <v>131891.15</v>
      </c>
      <c r="T27" s="3173">
        <f>V27/S27</f>
        <v>12283.100496128816</v>
      </c>
      <c r="U27" s="3173">
        <f>SUM(U20:U26)</f>
        <v>243004.83750000002</v>
      </c>
      <c r="V27" s="3173">
        <f>SUM(V20:V26)</f>
        <v>1620032250</v>
      </c>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3272"/>
      <c r="J28" s="3272"/>
      <c r="K28" s="3180" t="s">
        <v>3517</v>
      </c>
      <c r="L28" s="3182">
        <v>2008</v>
      </c>
      <c r="M28" s="2449">
        <f>'数据-汇总表'!F31</f>
        <v>88406.15</v>
      </c>
      <c r="N28" s="2449">
        <f>L28*M28</f>
        <v>177519549.19999999</v>
      </c>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v>0</v>
      </c>
      <c r="C29" s="2564" t="s">
        <v>2294</v>
      </c>
      <c r="D29" s="2455"/>
      <c r="E29" s="2440"/>
      <c r="F29" s="2440"/>
      <c r="G29" s="2439"/>
      <c r="H29" s="2439"/>
      <c r="I29" s="3272"/>
      <c r="J29" s="3272"/>
      <c r="K29" s="3180" t="s">
        <v>3518</v>
      </c>
      <c r="L29" s="3182">
        <v>4793</v>
      </c>
      <c r="M29" s="2449">
        <f>'数据-汇总表'!G31</f>
        <v>74574.52</v>
      </c>
      <c r="N29" s="2449">
        <f>L29*M29</f>
        <v>357435674.36000001</v>
      </c>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3272"/>
      <c r="J30" s="3275" t="s">
        <v>3524</v>
      </c>
      <c r="K30" s="3275"/>
      <c r="L30" s="3178">
        <v>700</v>
      </c>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3272"/>
      <c r="J31" s="3276" t="s">
        <v>3525</v>
      </c>
      <c r="K31" s="3276"/>
      <c r="L31" s="3174">
        <v>1476</v>
      </c>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3175"/>
      <c r="J32" s="3175"/>
      <c r="K32" s="3175"/>
      <c r="L32" s="3175"/>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3175"/>
      <c r="J33" s="3175"/>
      <c r="K33" s="3175"/>
      <c r="L33" s="3175"/>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3175"/>
      <c r="J34" s="3184" t="s">
        <v>3526</v>
      </c>
      <c r="K34" s="3175"/>
      <c r="L34" s="3175"/>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3175"/>
      <c r="J35" s="3184" t="s">
        <v>3527</v>
      </c>
      <c r="K35" s="3175"/>
      <c r="L35" s="3185">
        <v>0.56164383561643838</v>
      </c>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3175"/>
      <c r="J36" s="3184" t="s">
        <v>3528</v>
      </c>
      <c r="K36" s="3175"/>
      <c r="L36" s="3185">
        <v>0.14101531023368252</v>
      </c>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3175"/>
      <c r="J37" s="3184" t="s">
        <v>3529</v>
      </c>
      <c r="K37" s="3175"/>
      <c r="L37" s="3185">
        <v>0.29734085414987915</v>
      </c>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mergeCells count="8">
    <mergeCell ref="I19:K19"/>
    <mergeCell ref="I20:J22"/>
    <mergeCell ref="I23:J25"/>
    <mergeCell ref="I26:I31"/>
    <mergeCell ref="J26:K26"/>
    <mergeCell ref="J27:J29"/>
    <mergeCell ref="J30:K30"/>
    <mergeCell ref="J31:K31"/>
  </mergeCells>
  <phoneticPr fontId="4"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7" t="s">
        <v>2286</v>
      </c>
      <c r="B1" s="3278"/>
      <c r="C1" s="3278"/>
      <c r="D1" s="3278"/>
      <c r="E1" s="3278"/>
      <c r="F1" s="3278"/>
      <c r="G1" s="327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7" sqref="N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162980.66999999998</v>
      </c>
      <c r="C1" s="2462"/>
      <c r="D1" s="2462"/>
      <c r="E1" s="2462"/>
      <c r="F1" s="2462"/>
      <c r="G1" s="2463"/>
      <c r="H1" s="2463"/>
      <c r="I1" s="2463"/>
      <c r="J1" s="2463"/>
      <c r="K1" s="2463"/>
    </row>
    <row r="2" spans="1:11" ht="16.5">
      <c r="A2" s="2300" t="s">
        <v>653</v>
      </c>
      <c r="B2" s="2300">
        <f>SUM(C14:C23)</f>
        <v>46654.62</v>
      </c>
      <c r="C2" s="2462"/>
      <c r="D2" s="2462"/>
      <c r="E2" s="2462"/>
      <c r="F2" s="2462"/>
      <c r="G2" s="2463"/>
      <c r="H2" s="2463"/>
      <c r="I2" s="2463"/>
      <c r="J2" s="2463"/>
      <c r="K2" s="2463"/>
    </row>
    <row r="3" spans="1:11" ht="16.5">
      <c r="A3" s="2300" t="s">
        <v>662</v>
      </c>
      <c r="B3" s="2302">
        <f>项目基本情况!D3</f>
        <v>45876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181578</v>
      </c>
      <c r="C5" s="2300">
        <f ca="1">IF(B5=D14,结果表!H102,ROUND(B5*10000/$B$1,0))</f>
        <v>0</v>
      </c>
      <c r="D5" s="2300">
        <f ca="1">ROUND(B5*10000/$B$2,0)</f>
        <v>38920</v>
      </c>
      <c r="E5" s="2462"/>
      <c r="F5" s="2463"/>
      <c r="G5" s="2463"/>
      <c r="H5" s="2463"/>
      <c r="I5" s="2463"/>
      <c r="J5" s="2463"/>
      <c r="K5" s="2463"/>
    </row>
    <row r="6" spans="1:11" ht="16.5">
      <c r="A6" s="2300" t="s">
        <v>656</v>
      </c>
      <c r="B6" s="2300">
        <f ca="1">SUM(G14:G23)</f>
        <v>181578</v>
      </c>
      <c r="C6" s="2300">
        <f ca="1">IF(B6=G14,结果表!H108,ROUND(B6*10000/$B$1,0))</f>
        <v>0</v>
      </c>
      <c r="D6" s="2300">
        <f ca="1">ROUND(B6*10000/$B$2,0)</f>
        <v>38920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162980.66999999998</v>
      </c>
      <c r="C14" s="2306">
        <f>'数据-汇总表'!D3</f>
        <v>46654.62</v>
      </c>
      <c r="D14" s="2306">
        <f ca="1">结果表!G19</f>
        <v>181578</v>
      </c>
      <c r="E14" s="2306">
        <f ca="1">ROUND(D14*10000/B14,0)</f>
        <v>11141</v>
      </c>
      <c r="F14" s="2306">
        <f ca="1">ROUND(D14*10000/C14,0)</f>
        <v>38920</v>
      </c>
      <c r="G14" s="2306">
        <f ca="1">D14</f>
        <v>181578</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E25" sqref="E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3510</v>
      </c>
      <c r="D4" s="1626" t="s">
        <v>3464</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3" t="s">
        <v>1268</v>
      </c>
      <c r="B5" s="3280">
        <v>25</v>
      </c>
      <c r="C5" s="3296"/>
      <c r="D5" s="3316"/>
      <c r="E5" s="123" t="s">
        <v>1269</v>
      </c>
      <c r="F5" s="1627"/>
      <c r="G5" s="1627"/>
      <c r="H5" s="1627"/>
      <c r="I5" s="1281"/>
    </row>
    <row r="6" spans="1:12" ht="12.75">
      <c r="A6" s="3293"/>
      <c r="B6" s="3280"/>
      <c r="C6" s="3297"/>
      <c r="D6" s="3316"/>
      <c r="E6" s="123" t="s">
        <v>1270</v>
      </c>
      <c r="F6" s="1627"/>
      <c r="G6" s="1627"/>
      <c r="H6" s="1627"/>
      <c r="I6" s="1281"/>
    </row>
    <row r="7" spans="1:12" ht="12.75">
      <c r="A7" s="3293"/>
      <c r="B7" s="3280"/>
      <c r="C7" s="3298"/>
      <c r="D7" s="3316"/>
      <c r="E7" s="123" t="s">
        <v>1271</v>
      </c>
      <c r="F7" s="1627"/>
      <c r="G7" s="1627"/>
      <c r="H7" s="1627"/>
      <c r="I7" s="1281"/>
    </row>
    <row r="8" spans="1:12" ht="12.75">
      <c r="A8" s="3293" t="s">
        <v>1272</v>
      </c>
      <c r="B8" s="3280">
        <v>15</v>
      </c>
      <c r="C8" s="3296"/>
      <c r="D8" s="3316"/>
      <c r="E8" s="123" t="s">
        <v>1273</v>
      </c>
      <c r="F8" s="1627"/>
      <c r="G8" s="1627"/>
      <c r="H8" s="1627"/>
      <c r="I8" s="1281"/>
    </row>
    <row r="9" spans="1:12" ht="12.75">
      <c r="A9" s="3293"/>
      <c r="B9" s="3280"/>
      <c r="C9" s="3298"/>
      <c r="D9" s="3316"/>
      <c r="E9" s="123" t="s">
        <v>1274</v>
      </c>
      <c r="F9" s="1627"/>
      <c r="G9" s="1627"/>
      <c r="H9" s="1627"/>
      <c r="I9" s="1281"/>
    </row>
    <row r="10" spans="1:12" ht="12.75">
      <c r="A10" s="3293" t="s">
        <v>1275</v>
      </c>
      <c r="B10" s="3280">
        <v>15</v>
      </c>
      <c r="C10" s="3296"/>
      <c r="D10" s="3316"/>
      <c r="E10" s="123" t="s">
        <v>1276</v>
      </c>
      <c r="F10" s="1627"/>
      <c r="G10" s="1627"/>
      <c r="H10" s="1627"/>
      <c r="I10" s="1281"/>
    </row>
    <row r="11" spans="1:12" ht="12.75">
      <c r="A11" s="3293"/>
      <c r="B11" s="3280"/>
      <c r="C11" s="3298"/>
      <c r="D11" s="3316"/>
      <c r="E11" s="123" t="s">
        <v>1277</v>
      </c>
      <c r="F11" s="1627"/>
      <c r="G11" s="1627"/>
      <c r="H11" s="1627"/>
      <c r="I11" s="1281"/>
    </row>
    <row r="12" spans="1:12" ht="12.75">
      <c r="A12" s="3293" t="s">
        <v>1278</v>
      </c>
      <c r="B12" s="3280">
        <v>15</v>
      </c>
      <c r="C12" s="3296"/>
      <c r="D12" s="3316"/>
      <c r="E12" s="123" t="s">
        <v>1279</v>
      </c>
      <c r="F12" s="1627"/>
      <c r="G12" s="1627"/>
      <c r="H12" s="1627"/>
      <c r="I12" s="1281"/>
    </row>
    <row r="13" spans="1:12" ht="12.75">
      <c r="A13" s="3293"/>
      <c r="B13" s="3280"/>
      <c r="C13" s="3298"/>
      <c r="D13" s="3316"/>
      <c r="E13" s="123" t="s">
        <v>1280</v>
      </c>
      <c r="F13" s="1627"/>
      <c r="G13" s="1627"/>
      <c r="H13" s="1627"/>
      <c r="I13" s="1281"/>
    </row>
    <row r="14" spans="1:12" ht="12.75">
      <c r="A14" s="3293" t="s">
        <v>1281</v>
      </c>
      <c r="B14" s="3280">
        <v>30</v>
      </c>
      <c r="C14" s="3296">
        <v>6</v>
      </c>
      <c r="D14" s="3316">
        <v>4</v>
      </c>
      <c r="E14" s="123" t="s">
        <v>1282</v>
      </c>
      <c r="F14" s="1627"/>
      <c r="G14" s="1627"/>
      <c r="H14" s="1627"/>
      <c r="I14" s="1281"/>
    </row>
    <row r="15" spans="1:12" ht="12.75">
      <c r="A15" s="3293"/>
      <c r="B15" s="3280"/>
      <c r="C15" s="3297"/>
      <c r="D15" s="3316"/>
      <c r="E15" s="123" t="s">
        <v>1283</v>
      </c>
      <c r="F15" s="1627"/>
      <c r="G15" s="1627"/>
      <c r="H15" s="1627"/>
      <c r="I15" s="1281"/>
    </row>
    <row r="16" spans="1:12" ht="12.75">
      <c r="A16" s="3293"/>
      <c r="B16" s="3280"/>
      <c r="C16" s="3298"/>
      <c r="D16" s="3316"/>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03" t="s">
        <v>2131</v>
      </c>
      <c r="F18" s="3304"/>
      <c r="G18" s="3304"/>
      <c r="H18" s="3304"/>
      <c r="I18" s="3304"/>
      <c r="K18" s="294" t="s">
        <v>1289</v>
      </c>
      <c r="L18" s="294">
        <f>IF(C1="",'数据-汇总表'!E3,SUMIF(项目类型,C1,'数据-汇总表'!E17:E26)+SUMIF(项目类型,C1,'数据-汇总表'!I17:I26))</f>
        <v>162980.66999999998</v>
      </c>
      <c r="M18" s="294">
        <f>IF(C1="",'数据-汇总表'!E3,SUMIF(项目类型,C1,'数据-汇总表'!E17:E26))</f>
        <v>162980.66999999998</v>
      </c>
    </row>
    <row r="19" spans="1:36" ht="15">
      <c r="A19" s="1630" t="s">
        <v>1290</v>
      </c>
      <c r="B19" s="1631" t="s">
        <v>1291</v>
      </c>
      <c r="C19" s="126">
        <f ca="1">SUMIF(INDIRECT("'"&amp;C4&amp;"'"&amp;"!A:A"),结果表!B19,INDIRECT("'"&amp;C4&amp;"'"&amp;"!B:B"))</f>
        <v>222966</v>
      </c>
      <c r="D19" s="127">
        <f ca="1">SUMIF(INDIRECT("'"&amp;D4&amp;"'"&amp;"!A:A"),结果表!B19,INDIRECT("'"&amp;D4&amp;"'"&amp;"!B:B"))</f>
        <v>119497</v>
      </c>
      <c r="E19" s="1630" t="s">
        <v>1292</v>
      </c>
      <c r="F19" s="1631" t="s">
        <v>1291</v>
      </c>
      <c r="G19" s="128">
        <f ca="1">ROUND(C19*$C$18+D19*$D$18,0)</f>
        <v>181578</v>
      </c>
      <c r="H19" s="1632" t="s">
        <v>1293</v>
      </c>
      <c r="I19" s="121"/>
      <c r="K19" s="294" t="s">
        <v>1294</v>
      </c>
      <c r="L19" s="294">
        <f>IF(C1="",'数据-汇总表'!D3,SUMIF(项目类型,C1,'数据-汇总表'!D17:D26)+SUMIF(项目类型,C1,'数据-汇总表'!H17:H27))</f>
        <v>46654.62</v>
      </c>
      <c r="M19" s="294">
        <f>IF(C1="",'数据-汇总表'!D3,SUMIF(项目类型,C1,'数据-汇总表'!D17:D26))</f>
        <v>46654.62</v>
      </c>
    </row>
    <row r="20" spans="1:36" ht="15">
      <c r="A20" s="1633"/>
      <c r="B20" s="43" t="s">
        <v>1295</v>
      </c>
      <c r="C20" s="129">
        <f ca="1">SUMIF(INDIRECT("'"&amp;C4&amp;"'"&amp;"!A:A"),结果表!B20,INDIRECT("'"&amp;C4&amp;"'"&amp;"!B:B"))</f>
        <v>13681</v>
      </c>
      <c r="D20" s="130">
        <f ca="1">SUMIF(INDIRECT("'"&amp;D4&amp;"'"&amp;"!A:A"),结果表!B20,INDIRECT("'"&amp;D4&amp;"'"&amp;"!B:B"))</f>
        <v>9060</v>
      </c>
      <c r="E20" s="1633"/>
      <c r="F20" s="43" t="s">
        <v>1295</v>
      </c>
      <c r="G20" s="131">
        <f ca="1">ROUND(C20*$C$18+D20*$D$18,0)</f>
        <v>11833</v>
      </c>
      <c r="H20" s="760" t="s">
        <v>1296</v>
      </c>
      <c r="I20" s="121"/>
    </row>
    <row r="21" spans="1:36" ht="15" customHeight="1" thickBot="1">
      <c r="A21" s="449"/>
      <c r="B21" s="93" t="s">
        <v>1297</v>
      </c>
      <c r="C21" s="678">
        <f ca="1">ROUND(C19*10000/L19,0)</f>
        <v>47791</v>
      </c>
      <c r="D21" s="679">
        <f ca="1">ROUND(D19*10000/L19,0)</f>
        <v>25613</v>
      </c>
      <c r="E21" s="449"/>
      <c r="F21" s="93" t="s">
        <v>1297</v>
      </c>
      <c r="G21" s="132">
        <f ca="1">ROUND(G19*10000/L19,0)</f>
        <v>38920</v>
      </c>
      <c r="H21" s="1634" t="s">
        <v>1296</v>
      </c>
      <c r="I21" s="121"/>
    </row>
    <row r="22" spans="1:36" ht="15" thickBot="1">
      <c r="A22" s="1564" t="s">
        <v>1298</v>
      </c>
      <c r="B22" s="1635"/>
      <c r="C22" s="1636"/>
      <c r="D22" s="680">
        <f ca="1">IF(C19&lt;D19,D19/C19-1,C19/D19-1)</f>
        <v>0.8658711097349725</v>
      </c>
      <c r="E22" s="121"/>
      <c r="F22" s="121"/>
      <c r="G22" s="121"/>
      <c r="H22" s="121"/>
      <c r="I22" s="121">
        <v>0</v>
      </c>
    </row>
    <row r="23" spans="1:36" ht="13.5" thickBot="1">
      <c r="A23" s="646"/>
      <c r="B23" s="646"/>
      <c r="C23" s="646"/>
      <c r="D23" s="646"/>
      <c r="E23" s="121"/>
      <c r="F23" s="121"/>
      <c r="G23" s="121"/>
      <c r="H23" s="121"/>
      <c r="I23" s="121"/>
    </row>
    <row r="24" spans="1:36" ht="14.25">
      <c r="A24" s="3287" t="s">
        <v>1299</v>
      </c>
      <c r="B24" s="1631" t="s">
        <v>1291</v>
      </c>
      <c r="C24" s="128">
        <f>IF(B30=0,0,D30)</f>
        <v>0</v>
      </c>
      <c r="D24" s="1637"/>
      <c r="E24" s="121"/>
      <c r="F24" s="121"/>
      <c r="G24" s="121"/>
      <c r="H24" s="121"/>
      <c r="I24" s="121"/>
    </row>
    <row r="25" spans="1:36" ht="14.25">
      <c r="A25" s="328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11833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7" t="s">
        <v>1312</v>
      </c>
      <c r="B36" s="1652" t="s">
        <v>1313</v>
      </c>
      <c r="C36" s="137"/>
      <c r="D36" s="1653"/>
      <c r="E36" s="1567"/>
      <c r="F36" s="1654"/>
      <c r="G36" s="121"/>
      <c r="H36" s="121"/>
      <c r="I36" s="121"/>
    </row>
    <row r="37" spans="1:15" ht="15.75" thickBot="1">
      <c r="A37" s="3308"/>
      <c r="B37" s="1555" t="s">
        <v>1314</v>
      </c>
      <c r="C37" s="139"/>
      <c r="D37" s="1071"/>
      <c r="E37" s="1071"/>
      <c r="F37" s="1654"/>
      <c r="G37" s="121"/>
      <c r="H37" s="121"/>
      <c r="I37" s="121"/>
    </row>
    <row r="38" spans="1:15" ht="15.75" thickBot="1">
      <c r="A38" s="330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4" t="s">
        <v>1326</v>
      </c>
      <c r="B45" s="3285"/>
      <c r="C45" s="3286"/>
      <c r="D45" s="147" t="e">
        <f ca="1">ROUND(H101*F45,0)</f>
        <v>#REF!</v>
      </c>
      <c r="E45" s="148" t="s">
        <v>1327</v>
      </c>
      <c r="F45" s="149">
        <v>1</v>
      </c>
      <c r="G45" s="150" t="s">
        <v>1328</v>
      </c>
      <c r="H45" s="121"/>
      <c r="I45" s="121"/>
      <c r="J45" s="3362" t="s">
        <v>1329</v>
      </c>
      <c r="K45" s="3362"/>
      <c r="L45" s="3362"/>
      <c r="M45" s="3362"/>
      <c r="N45" s="3362"/>
      <c r="O45" s="3362"/>
    </row>
    <row r="46" spans="1:15" ht="14.25" customHeight="1">
      <c r="A46" s="3281" t="s">
        <v>1330</v>
      </c>
      <c r="B46" s="3282"/>
      <c r="C46" s="3282"/>
      <c r="D46" s="3282"/>
      <c r="E46" s="3282"/>
      <c r="F46" s="3282"/>
      <c r="G46" s="3283"/>
      <c r="H46" s="1668"/>
      <c r="I46" s="151"/>
      <c r="J46" s="2310">
        <v>1</v>
      </c>
      <c r="K46" s="3343" t="s">
        <v>1331</v>
      </c>
      <c r="L46" s="3343"/>
      <c r="M46" s="3363"/>
      <c r="N46" s="3363"/>
      <c r="O46" s="3363"/>
    </row>
    <row r="47" spans="1:15" ht="12" customHeight="1">
      <c r="A47" s="152" t="s">
        <v>1332</v>
      </c>
      <c r="B47" s="153"/>
      <c r="C47" s="154"/>
      <c r="D47" s="1024" t="s">
        <v>1333</v>
      </c>
      <c r="E47" s="294" t="s">
        <v>1334</v>
      </c>
      <c r="F47" s="155" t="s">
        <v>1335</v>
      </c>
      <c r="G47" s="2333" t="s">
        <v>1336</v>
      </c>
      <c r="H47" s="2334"/>
      <c r="I47" s="151"/>
      <c r="J47" s="2310">
        <v>2</v>
      </c>
      <c r="K47" s="3343" t="s">
        <v>1337</v>
      </c>
      <c r="L47" s="3343"/>
      <c r="M47" s="3364">
        <f>'数据-取费表'!B2</f>
        <v>45876</v>
      </c>
      <c r="N47" s="3364"/>
      <c r="O47" s="3364"/>
    </row>
    <row r="48" spans="1:15" ht="25.5">
      <c r="A48" s="3312" t="s">
        <v>1338</v>
      </c>
      <c r="B48" s="3295"/>
      <c r="C48" s="3295"/>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43" t="s">
        <v>1340</v>
      </c>
      <c r="L48" s="3343"/>
      <c r="M48" s="3365" t="e">
        <f ca="1">H101</f>
        <v>#REF!</v>
      </c>
      <c r="N48" s="3365"/>
      <c r="O48" s="3365"/>
    </row>
    <row r="49" spans="1:35" ht="25.5" customHeight="1">
      <c r="A49" s="2152" t="s">
        <v>1341</v>
      </c>
      <c r="B49" s="3279" t="s">
        <v>1342</v>
      </c>
      <c r="C49" s="3279"/>
      <c r="D49" s="1478">
        <v>0</v>
      </c>
      <c r="E49" s="316" t="s">
        <v>1343</v>
      </c>
      <c r="F49" s="2233" t="s">
        <v>28</v>
      </c>
      <c r="G49" s="3349"/>
      <c r="H49" s="2134" t="s">
        <v>2134</v>
      </c>
      <c r="I49" s="2135"/>
      <c r="J49" s="2310">
        <v>4</v>
      </c>
      <c r="K49" s="3343" t="str">
        <f>IF(项目基本情况!E8="房地产抵押价值","房地产抵押价值","抵押担保权已注销时的房地产抵押价值")</f>
        <v>房地产抵押价值</v>
      </c>
      <c r="L49" s="3343"/>
      <c r="M49" s="3365" t="str">
        <f ca="1">IF(项目基本情况!E8="房地产抵押价值",H107,H109)</f>
        <v>——</v>
      </c>
      <c r="N49" s="3365"/>
      <c r="O49" s="3365"/>
    </row>
    <row r="50" spans="1:35" ht="25.5" customHeight="1">
      <c r="A50" s="2338"/>
      <c r="B50" s="3279" t="s">
        <v>1344</v>
      </c>
      <c r="C50" s="3279"/>
      <c r="D50" s="2189"/>
      <c r="E50" s="323"/>
      <c r="F50" s="2233"/>
      <c r="G50" s="3350"/>
      <c r="H50" s="2136" t="s">
        <v>2135</v>
      </c>
      <c r="I50" s="2135"/>
      <c r="J50" s="3362" t="s">
        <v>1345</v>
      </c>
      <c r="K50" s="3362"/>
      <c r="L50" s="3362"/>
      <c r="M50" s="3362"/>
      <c r="N50" s="3362"/>
      <c r="O50" s="3362"/>
    </row>
    <row r="51" spans="1:35" ht="20.45" customHeight="1">
      <c r="A51" s="2339"/>
      <c r="B51" s="3279" t="s">
        <v>1346</v>
      </c>
      <c r="C51" s="3279"/>
      <c r="D51" s="1024"/>
      <c r="E51" s="319"/>
      <c r="F51" s="2233"/>
      <c r="G51" s="3351"/>
      <c r="H51" s="2136" t="s">
        <v>2136</v>
      </c>
      <c r="I51" s="2135"/>
      <c r="J51" s="2311" t="s">
        <v>1347</v>
      </c>
      <c r="K51" s="3343" t="s">
        <v>1348</v>
      </c>
      <c r="L51" s="3343"/>
      <c r="M51" s="2311" t="s">
        <v>1349</v>
      </c>
      <c r="N51" s="2311" t="s">
        <v>1350</v>
      </c>
      <c r="O51" s="2311" t="s">
        <v>1351</v>
      </c>
    </row>
    <row r="52" spans="1:35" ht="24" customHeight="1">
      <c r="A52" s="2153" t="s">
        <v>1352</v>
      </c>
      <c r="B52" s="3279" t="s">
        <v>1353</v>
      </c>
      <c r="C52" s="3279"/>
      <c r="D52" s="1024" t="e">
        <f ca="1">ROUND(D45*'数据-取费表'!B41/(1+'数据-取费表'!C42),0)</f>
        <v>#REF!</v>
      </c>
      <c r="E52" s="1256" t="s">
        <v>1354</v>
      </c>
      <c r="F52" s="2340">
        <f>'数据-取费表'!B41</f>
        <v>5.5000000000000007E-2</v>
      </c>
      <c r="G52" s="2341"/>
      <c r="H52" s="2331"/>
      <c r="I52" s="1669"/>
      <c r="J52" s="2310">
        <v>1</v>
      </c>
      <c r="K52" s="3344" t="s">
        <v>1355</v>
      </c>
      <c r="L52" s="3344"/>
      <c r="M52" s="2312" t="b">
        <f>D48</f>
        <v>0</v>
      </c>
      <c r="N52" s="2310" t="str">
        <f>E48</f>
        <v>销售额×税（费）率</v>
      </c>
      <c r="O52" s="2313">
        <f>F48</f>
        <v>5.5000000000000007E-2</v>
      </c>
    </row>
    <row r="53" spans="1:35" ht="12" customHeight="1">
      <c r="A53" s="2153" t="s">
        <v>1356</v>
      </c>
      <c r="B53" s="3305" t="s">
        <v>2291</v>
      </c>
      <c r="C53" s="3306"/>
      <c r="D53" s="1024" t="e">
        <f ca="1">ROUND(D45*'数据-取费表'!B41/(1+'数据-取费表'!C42),0)</f>
        <v>#REF!</v>
      </c>
      <c r="E53" s="1256" t="s">
        <v>1354</v>
      </c>
      <c r="F53" s="2340">
        <f>'数据-取费表'!B41</f>
        <v>5.5000000000000007E-2</v>
      </c>
      <c r="G53" s="2341"/>
      <c r="H53" s="2331"/>
      <c r="I53" s="1669"/>
      <c r="J53" s="2310">
        <v>2</v>
      </c>
      <c r="K53" s="3344" t="s">
        <v>1357</v>
      </c>
      <c r="L53" s="3344"/>
      <c r="M53" s="2312" t="e">
        <f t="shared" ref="M53:O54" ca="1" si="0">D55</f>
        <v>#REF!</v>
      </c>
      <c r="N53" s="2310" t="str">
        <f t="shared" si="0"/>
        <v>销售额×税（费）率</v>
      </c>
      <c r="O53" s="2313" t="str">
        <f t="shared" si="0"/>
        <v>免征</v>
      </c>
    </row>
    <row r="54" spans="1:35" ht="12" customHeight="1">
      <c r="A54" s="2153" t="s">
        <v>1358</v>
      </c>
      <c r="B54" s="3305" t="s">
        <v>2292</v>
      </c>
      <c r="C54" s="3306"/>
      <c r="D54" s="1024" t="e">
        <f ca="1">C68</f>
        <v>#REF!</v>
      </c>
      <c r="E54" s="319" t="s">
        <v>1359</v>
      </c>
      <c r="F54" s="2340">
        <f>'数据-取费表'!B41</f>
        <v>5.5000000000000007E-2</v>
      </c>
      <c r="G54" s="2341"/>
      <c r="H54" s="2342"/>
      <c r="I54" s="1669"/>
      <c r="J54" s="2310">
        <v>3</v>
      </c>
      <c r="K54" s="3344" t="s">
        <v>1360</v>
      </c>
      <c r="L54" s="3344"/>
      <c r="M54" s="2312" t="e">
        <f t="shared" ca="1" si="0"/>
        <v>#REF!</v>
      </c>
      <c r="N54" s="2310" t="str">
        <f t="shared" si="0"/>
        <v>增值额×税（费）率</v>
      </c>
      <c r="O54" s="2314" t="str">
        <f t="shared" si="0"/>
        <v>免征</v>
      </c>
    </row>
    <row r="55" spans="1:35" ht="24" customHeight="1">
      <c r="A55" s="3294" t="s">
        <v>1361</v>
      </c>
      <c r="B55" s="3295"/>
      <c r="C55" s="3295"/>
      <c r="D55" s="12" t="e">
        <f ca="1">IF(H55="个人住宅",0,ROUND(D45*I55,0))</f>
        <v>#REF!</v>
      </c>
      <c r="E55" s="1256" t="s">
        <v>1362</v>
      </c>
      <c r="F55" s="2340" t="str">
        <f>IF(H55="正常",I55,"免征")</f>
        <v>免征</v>
      </c>
      <c r="G55" s="2341"/>
      <c r="H55" s="2337"/>
      <c r="I55" s="157">
        <f>'数据-取费表'!B49</f>
        <v>5.0000000000000001E-4</v>
      </c>
      <c r="J55" s="2310">
        <f>IF(H59="非个人房产","",4)</f>
        <v>4</v>
      </c>
      <c r="K55" s="3344" t="str">
        <f>IF(H59="非个人房产","——","个人所得税")</f>
        <v>个人所得税</v>
      </c>
      <c r="L55" s="3344"/>
      <c r="M55" s="2315" t="e">
        <f ca="1">D59</f>
        <v>#REF!</v>
      </c>
      <c r="N55" s="1883" t="str">
        <f>E59</f>
        <v>差额计税</v>
      </c>
      <c r="O55" s="2316">
        <f>F59</f>
        <v>0.01</v>
      </c>
    </row>
    <row r="56" spans="1:35" ht="24.75">
      <c r="A56" s="3294" t="s">
        <v>1363</v>
      </c>
      <c r="B56" s="3295"/>
      <c r="C56" s="3295"/>
      <c r="D56" s="12" t="e">
        <f ca="1">IF(H56="个人住宅",D57,D58)</f>
        <v>#REF!</v>
      </c>
      <c r="E56" s="1256" t="s">
        <v>1364</v>
      </c>
      <c r="F56" s="2340" t="str">
        <f>IF(H56="正常",F58,"免征")</f>
        <v>免征</v>
      </c>
      <c r="G56" s="2343" t="s">
        <v>1365</v>
      </c>
      <c r="H56" s="2344"/>
      <c r="I56" s="1670"/>
      <c r="J56" s="2310" t="str">
        <f>IF(项目基本情况!K6="上海银行",IF(J55="",4,J55+1),"")</f>
        <v/>
      </c>
      <c r="K56" s="3367" t="str">
        <f>IF(项目基本情况!K6="上海银行","其他处置费用","")</f>
        <v/>
      </c>
      <c r="L56" s="3368"/>
      <c r="M56" s="2312" t="str">
        <f>IF(项目基本情况!K6="上海银行",M69,"")</f>
        <v/>
      </c>
      <c r="N56" s="3367" t="str">
        <f>IF(项目基本情况!K6="上海银行","包含处置中涉及的律师、诉讼、拍卖、评估等费用","")</f>
        <v/>
      </c>
      <c r="O56" s="3370"/>
    </row>
    <row r="57" spans="1:35" ht="12.75">
      <c r="A57" s="2153" t="s">
        <v>1341</v>
      </c>
      <c r="B57" s="3305" t="s">
        <v>1366</v>
      </c>
      <c r="C57" s="3306"/>
      <c r="D57" s="1478">
        <v>0</v>
      </c>
      <c r="E57" s="316" t="s">
        <v>1343</v>
      </c>
      <c r="F57" s="294"/>
      <c r="G57" s="2341"/>
      <c r="H57" s="2345"/>
      <c r="I57" s="1670"/>
      <c r="J57" s="3344">
        <f>IF(AND(J55="",J56=""),4,IF(项目基本情况!K6="上海银行",结果表!J56+1,结果表!J55+1))</f>
        <v>5</v>
      </c>
      <c r="K57" s="3344" t="s">
        <v>1367</v>
      </c>
      <c r="L57" s="2317" t="s">
        <v>1368</v>
      </c>
      <c r="M57" s="2318"/>
      <c r="N57" s="2319">
        <f ca="1">SUMIF(M52:M56,"&lt;9e307")</f>
        <v>0</v>
      </c>
      <c r="O57" s="2320"/>
      <c r="P57" s="2465" t="e">
        <f ca="1">N57/M49</f>
        <v>#VALUE!</v>
      </c>
    </row>
    <row r="58" spans="1:35" ht="24.75">
      <c r="A58" s="2153" t="s">
        <v>1352</v>
      </c>
      <c r="B58" s="3305" t="s">
        <v>1369</v>
      </c>
      <c r="C58" s="3279"/>
      <c r="D58" s="12" t="e">
        <f ca="1">IF(H58="转让取得",C81,C97)</f>
        <v>#REF!</v>
      </c>
      <c r="E58" s="1256" t="s">
        <v>1364</v>
      </c>
      <c r="F58" s="294" t="s">
        <v>28</v>
      </c>
      <c r="G58" s="2341"/>
      <c r="H58" s="2344"/>
      <c r="I58" s="1670"/>
      <c r="J58" s="3344"/>
      <c r="K58" s="3344"/>
      <c r="L58" s="2317" t="s">
        <v>1370</v>
      </c>
      <c r="M58" s="2321"/>
      <c r="N58" s="2322" t="str">
        <f ca="1">NUMBERSTRING(INT(N57*10000),2)&amp;"元整"</f>
        <v>零元整</v>
      </c>
      <c r="O58" s="2323"/>
    </row>
    <row r="59" spans="1:35" ht="24.75" thickBot="1">
      <c r="A59" s="3347" t="s">
        <v>1371</v>
      </c>
      <c r="B59" s="3348"/>
      <c r="C59" s="334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45">
        <f>J57+1</f>
        <v>6</v>
      </c>
      <c r="K59" s="3344" t="s">
        <v>1372</v>
      </c>
      <c r="L59" s="2310" t="s">
        <v>1368</v>
      </c>
      <c r="M59" s="2324"/>
      <c r="N59" s="2325" t="e">
        <f ca="1">M49-N57</f>
        <v>#VALUE!</v>
      </c>
      <c r="O59" s="2326"/>
    </row>
    <row r="60" spans="1:35" ht="12" customHeight="1">
      <c r="A60" s="1671"/>
      <c r="B60" s="646"/>
      <c r="C60" s="646"/>
      <c r="D60" s="646"/>
      <c r="E60" s="1466"/>
      <c r="F60" s="1670"/>
      <c r="G60" s="1670"/>
      <c r="H60" s="151"/>
      <c r="I60" s="121"/>
      <c r="J60" s="3346"/>
      <c r="K60" s="3344"/>
      <c r="L60" s="2317" t="s">
        <v>1370</v>
      </c>
      <c r="M60" s="2321"/>
      <c r="N60" s="2322" t="e">
        <f ca="1">NUMBERSTRING(INT(N59*10000),2)&amp;"元整"</f>
        <v>#VALUE!</v>
      </c>
      <c r="O60" s="2323"/>
    </row>
    <row r="61" spans="1:35" ht="13.5" thickBot="1">
      <c r="A61" s="3292" t="s">
        <v>1373</v>
      </c>
      <c r="B61" s="3292"/>
      <c r="C61" s="3292"/>
      <c r="D61" s="3292"/>
      <c r="E61" s="3292"/>
      <c r="F61" s="1670"/>
      <c r="G61" s="1670"/>
      <c r="H61" s="151"/>
      <c r="I61" s="121"/>
      <c r="J61" s="2310">
        <f>J59+1</f>
        <v>7</v>
      </c>
      <c r="K61" s="3344" t="s">
        <v>1374</v>
      </c>
      <c r="L61" s="3344"/>
      <c r="M61" s="2327"/>
      <c r="N61" s="2328" t="e">
        <f ca="1">ROUND(N59*10000/'数据-汇总表'!E3,0)</f>
        <v>#VALUE!</v>
      </c>
      <c r="O61" s="2329"/>
    </row>
    <row r="62" spans="1:35" ht="12.75">
      <c r="A62" s="3310" t="s">
        <v>1375</v>
      </c>
      <c r="B62" s="3311"/>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69"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6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69"/>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69"/>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6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369"/>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69"/>
      <c r="K69" s="1245" t="s">
        <v>1393</v>
      </c>
      <c r="L69" s="1245"/>
      <c r="M69" s="294" t="e">
        <f ca="1">ROUND(SUM(M63:M68),0)</f>
        <v>#VALUE!</v>
      </c>
      <c r="N69" s="2332" t="e">
        <f ca="1">M69/M49</f>
        <v>#VALUE!</v>
      </c>
      <c r="Z69" s="1623"/>
      <c r="AI69" s="1561"/>
    </row>
    <row r="70" spans="1:35" s="642" customFormat="1" ht="15" thickBot="1">
      <c r="A70" s="3331" t="s">
        <v>1394</v>
      </c>
      <c r="B70" s="3332"/>
      <c r="C70" s="3332"/>
      <c r="D70" s="3332"/>
      <c r="E70" s="3332"/>
      <c r="F70" s="3332"/>
      <c r="G70" s="3332"/>
      <c r="H70" s="333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0" t="s">
        <v>1375</v>
      </c>
      <c r="B71" s="331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5" t="s">
        <v>1402</v>
      </c>
      <c r="F76" s="3279"/>
      <c r="G76" s="3279"/>
      <c r="H76" s="333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89" t="s">
        <v>1406</v>
      </c>
      <c r="F78" s="3290"/>
      <c r="G78" s="3290"/>
      <c r="H78" s="329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1" t="s">
        <v>1410</v>
      </c>
      <c r="B83" s="3332"/>
      <c r="C83" s="3332"/>
      <c r="D83" s="3332"/>
      <c r="E83" s="3332"/>
      <c r="F83" s="3332"/>
      <c r="G83" s="3332"/>
      <c r="H83" s="333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0" t="s">
        <v>1375</v>
      </c>
      <c r="B84" s="331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71" t="s">
        <v>2129</v>
      </c>
      <c r="H90" s="337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9" t="s">
        <v>1422</v>
      </c>
      <c r="F92" s="3290"/>
      <c r="G92" s="3290"/>
      <c r="H92" s="329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89" t="s">
        <v>1406</v>
      </c>
      <c r="F93" s="3290"/>
      <c r="G93" s="3290"/>
      <c r="H93" s="329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00" t="s">
        <v>1426</v>
      </c>
      <c r="F94" s="3301"/>
      <c r="G94" s="3301"/>
      <c r="H94" s="33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291"/>
      <c r="E100" s="3269" t="s">
        <v>1429</v>
      </c>
      <c r="F100" s="3269"/>
      <c r="G100" s="3269"/>
      <c r="H100" s="3291"/>
      <c r="I100" s="121"/>
    </row>
    <row r="101" spans="1:35" ht="18.75" customHeight="1">
      <c r="A101" s="3352" t="s">
        <v>1430</v>
      </c>
      <c r="B101" s="3353"/>
      <c r="C101" s="2371" t="str">
        <f>C4</f>
        <v>成本法</v>
      </c>
      <c r="D101" s="2372" t="str">
        <f>D4</f>
        <v>商业收益法</v>
      </c>
      <c r="E101" s="3366" t="s">
        <v>1431</v>
      </c>
      <c r="F101" s="3323"/>
      <c r="G101" s="1687" t="s">
        <v>1432</v>
      </c>
      <c r="H101" s="2381" t="e">
        <f ca="1">H118</f>
        <v>#REF!</v>
      </c>
      <c r="I101" s="121"/>
    </row>
    <row r="102" spans="1:35" ht="18.75" customHeight="1">
      <c r="A102" s="3325" t="s">
        <v>1433</v>
      </c>
      <c r="B102" s="2370" t="s">
        <v>1432</v>
      </c>
      <c r="C102" s="2371">
        <f ca="1">IF(D32="楼面单价",ROUND(C19,0),C19)</f>
        <v>222966</v>
      </c>
      <c r="D102" s="2372">
        <f ca="1">IF(D32="楼面单价",ROUND(D19,0),D19)</f>
        <v>119497</v>
      </c>
      <c r="E102" s="3366"/>
      <c r="F102" s="3323"/>
      <c r="G102" s="1687" t="s">
        <v>1434</v>
      </c>
      <c r="H102" s="2341" t="e">
        <f ca="1">I118</f>
        <v>#REF!</v>
      </c>
      <c r="I102" s="121"/>
    </row>
    <row r="103" spans="1:35" ht="42.75" customHeight="1">
      <c r="A103" s="3325"/>
      <c r="B103" s="2370" t="s">
        <v>1434</v>
      </c>
      <c r="C103" s="2373">
        <f ca="1">C20</f>
        <v>13681</v>
      </c>
      <c r="D103" s="2374">
        <f ca="1">D20</f>
        <v>9060</v>
      </c>
      <c r="E103" s="3360" t="s">
        <v>1435</v>
      </c>
      <c r="F103" s="3361"/>
      <c r="G103" s="1688" t="s">
        <v>1436</v>
      </c>
      <c r="H103" s="2381">
        <f>IF(D36="正常操作",H104+H105+H106,H105+H106)</f>
        <v>0</v>
      </c>
      <c r="I103" s="121"/>
    </row>
    <row r="104" spans="1:35" ht="18.75" customHeight="1">
      <c r="A104" s="332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2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2" t="str">
        <f>IF(项目基本情况!E8="已注销","——","3.房地产抵押价值")</f>
        <v>3.房地产抵押价值</v>
      </c>
      <c r="F107" s="3323"/>
      <c r="G107" s="1687" t="s">
        <v>1432</v>
      </c>
      <c r="H107" s="2381" t="e">
        <f ca="1">IF(E107="——","——",H101-H103)</f>
        <v>#REF!</v>
      </c>
      <c r="I107" s="121"/>
    </row>
    <row r="108" spans="1:35" ht="18.75" customHeight="1">
      <c r="A108" s="121"/>
      <c r="B108" s="121"/>
      <c r="C108" s="121"/>
      <c r="D108" s="121"/>
      <c r="E108" s="3322"/>
      <c r="F108" s="3323"/>
      <c r="G108" s="1687" t="s">
        <v>1434</v>
      </c>
      <c r="H108" s="2341">
        <f ca="1">IF(H107=H101,H102,ROUND(H107*10000/'数据-汇总表'!E3,0))</f>
        <v>0</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323"/>
      <c r="G109" s="1687" t="s">
        <v>1432</v>
      </c>
      <c r="H109" s="2384" t="str">
        <f>IF(E109="——","——",H101-H105-H106)</f>
        <v>——</v>
      </c>
      <c r="I109" s="121"/>
    </row>
    <row r="110" spans="1:35" ht="18.75" customHeight="1">
      <c r="A110" s="121"/>
      <c r="B110" s="121"/>
      <c r="C110" s="121"/>
      <c r="D110" s="121"/>
      <c r="E110" s="3322"/>
      <c r="F110" s="3323"/>
      <c r="G110" s="1687" t="s">
        <v>1434</v>
      </c>
      <c r="H110" s="2341"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24"/>
      <c r="G111" s="1687" t="s">
        <v>1432</v>
      </c>
      <c r="H111" s="2381" t="str">
        <f>IF(E111="——","——",N59)</f>
        <v>——</v>
      </c>
      <c r="I111" s="121"/>
    </row>
    <row r="112" spans="1:35" ht="18.75" customHeight="1" thickBot="1">
      <c r="A112" s="121"/>
      <c r="B112" s="121"/>
      <c r="C112" s="121"/>
      <c r="D112" s="121"/>
      <c r="E112" s="3355"/>
      <c r="F112" s="3356"/>
      <c r="G112" s="1690" t="s">
        <v>1434</v>
      </c>
      <c r="H112" s="2385" t="str">
        <f>IF(E111="——","——",N61)</f>
        <v>——</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7" t="s">
        <v>1442</v>
      </c>
      <c r="B115" s="3338"/>
      <c r="C115" s="3338"/>
      <c r="D115" s="3338"/>
      <c r="E115" s="3338"/>
      <c r="F115" s="3338"/>
      <c r="G115" s="3338"/>
      <c r="H115" s="3338"/>
      <c r="I115" s="3339"/>
    </row>
    <row r="116" spans="1:27" ht="27" customHeight="1">
      <c r="A116" s="3293" t="s">
        <v>1443</v>
      </c>
      <c r="B116" s="3328" t="s">
        <v>1444</v>
      </c>
      <c r="C116" s="3328" t="s">
        <v>1445</v>
      </c>
      <c r="D116" s="3341" t="s">
        <v>1446</v>
      </c>
      <c r="E116" s="3342"/>
      <c r="F116" s="3336" t="s">
        <v>1447</v>
      </c>
      <c r="G116" s="3336"/>
      <c r="H116" s="3293" t="s">
        <v>1448</v>
      </c>
      <c r="I116" s="3293"/>
    </row>
    <row r="117" spans="1:27" ht="18.75" customHeight="1">
      <c r="A117" s="3293"/>
      <c r="B117" s="3329"/>
      <c r="C117" s="332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162980.66999999998</v>
      </c>
      <c r="C118" s="2150">
        <f>M19</f>
        <v>46654.62</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3" t="s">
        <v>1452</v>
      </c>
      <c r="B119" s="3293"/>
      <c r="C119" s="3293"/>
      <c r="D119" s="3333" t="e">
        <f ca="1">NUMBERSTRING(INT(D118*10000),2)&amp;"元整"</f>
        <v>#REF!</v>
      </c>
      <c r="E119" s="3335"/>
      <c r="F119" s="3333" t="e">
        <f ca="1">NUMBERSTRING(INT(F118*10000),2)&amp;"元整"</f>
        <v>#REF!</v>
      </c>
      <c r="G119" s="3335"/>
      <c r="H119" s="3333" t="e">
        <f ca="1">NUMBERSTRING(INT(H118*10000),2)&amp;"元整"</f>
        <v>#REF!</v>
      </c>
      <c r="I119" s="3335"/>
    </row>
    <row r="120" spans="1:27" ht="18.75" customHeight="1">
      <c r="A120" s="3357" t="str">
        <f>IF(项目基本情况!B9="房地产市场价值","",MID(E103,3,LEN(E103)-2))</f>
        <v>估价师知悉的法定优先受偿款</v>
      </c>
      <c r="B120" s="3358"/>
      <c r="C120" s="3359"/>
      <c r="D120" s="3357">
        <f>H103</f>
        <v>0</v>
      </c>
      <c r="E120" s="3358"/>
      <c r="F120" s="3358"/>
      <c r="G120" s="3358"/>
      <c r="H120" s="3358"/>
      <c r="I120" s="335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3" t="s">
        <v>1452</v>
      </c>
      <c r="B121" s="3334"/>
      <c r="C121" s="3335"/>
      <c r="D121" s="3333" t="str">
        <f>IF(D120=0,"零元整",NUMBERSTRING(INT(D120*10000),2)&amp;"元整")</f>
        <v>零元整</v>
      </c>
      <c r="E121" s="3334"/>
      <c r="F121" s="3334"/>
      <c r="G121" s="3334"/>
      <c r="H121" s="3334"/>
      <c r="I121" s="3335"/>
      <c r="AA121" s="684"/>
    </row>
    <row r="122" spans="1:27" ht="18.75" customHeight="1">
      <c r="A122" s="3324" t="str">
        <f>IF(项目基本情况!B9="房地产市场价值","",MID(E107,3,LEN(E107)-2))</f>
        <v>房地产抵押价值</v>
      </c>
      <c r="B122" s="3324"/>
      <c r="C122" s="3324"/>
      <c r="D122" s="3357" t="e">
        <f ca="1">H107</f>
        <v>#REF!</v>
      </c>
      <c r="E122" s="3358"/>
      <c r="F122" s="3358"/>
      <c r="G122" s="3358"/>
      <c r="H122" s="3358"/>
      <c r="I122" s="3359"/>
      <c r="AA122" s="684"/>
    </row>
    <row r="123" spans="1:27" ht="18.75" customHeight="1">
      <c r="A123" s="3293" t="s">
        <v>1452</v>
      </c>
      <c r="B123" s="3293"/>
      <c r="C123" s="3293"/>
      <c r="D123" s="3333" t="e">
        <f ca="1">NUMBERSTRING(INT(D122*10000),2)&amp;"元整"</f>
        <v>#REF!</v>
      </c>
      <c r="E123" s="3334"/>
      <c r="F123" s="3334"/>
      <c r="G123" s="3334"/>
      <c r="H123" s="3334"/>
      <c r="I123" s="3335"/>
      <c r="AA123" s="684"/>
    </row>
    <row r="124" spans="1:27" ht="18.75" customHeight="1">
      <c r="A124" s="3324" t="str">
        <f>IF(项目基本情况!B9="房地产市场价值","",MID(E109,3,LEN(E109)-2))</f>
        <v/>
      </c>
      <c r="B124" s="3324"/>
      <c r="C124" s="3324"/>
      <c r="D124" s="3357" t="str">
        <f>H109</f>
        <v>——</v>
      </c>
      <c r="E124" s="3358"/>
      <c r="F124" s="3358"/>
      <c r="G124" s="3358"/>
      <c r="H124" s="3358"/>
      <c r="I124" s="3359"/>
      <c r="AA124" s="684"/>
    </row>
    <row r="125" spans="1:27" ht="18.75" customHeight="1">
      <c r="A125" s="3293" t="s">
        <v>1452</v>
      </c>
      <c r="B125" s="3293"/>
      <c r="C125" s="3293"/>
      <c r="D125" s="3333" t="e">
        <f>NUMBERSTRING(INT(D124*10000),2)&amp;"元整"</f>
        <v>#VALUE!</v>
      </c>
      <c r="E125" s="3334"/>
      <c r="F125" s="3334"/>
      <c r="G125" s="3334"/>
      <c r="H125" s="3334"/>
      <c r="I125" s="3335"/>
      <c r="AA125" s="684"/>
    </row>
    <row r="126" spans="1:27" ht="18.75" customHeight="1">
      <c r="A126" s="3324" t="str">
        <f>IF(项目基本情况!B9="房地产市场价值","",MID(E111,3,LEN(E111)-2))</f>
        <v/>
      </c>
      <c r="B126" s="3324"/>
      <c r="C126" s="3324"/>
      <c r="D126" s="3357" t="str">
        <f>H111</f>
        <v>——</v>
      </c>
      <c r="E126" s="3358"/>
      <c r="F126" s="3358"/>
      <c r="G126" s="3358"/>
      <c r="H126" s="3358"/>
      <c r="I126" s="3359"/>
      <c r="AA126" s="684"/>
    </row>
    <row r="127" spans="1:27" ht="18.75" customHeight="1">
      <c r="A127" s="3293" t="s">
        <v>1452</v>
      </c>
      <c r="B127" s="3293"/>
      <c r="C127" s="3293"/>
      <c r="D127" s="3333" t="e">
        <f>NUMBERSTRING(INT(D126*10000),2)&amp;"元整"</f>
        <v>#VALUE!</v>
      </c>
      <c r="E127" s="3334"/>
      <c r="F127" s="3334"/>
      <c r="G127" s="3334"/>
      <c r="H127" s="3334"/>
      <c r="I127" s="3335"/>
      <c r="AA127" s="684"/>
    </row>
    <row r="128" spans="1:27" ht="21.75" customHeight="1">
      <c r="A128" s="3340" t="s">
        <v>1453</v>
      </c>
      <c r="B128" s="3340"/>
      <c r="C128" s="3340"/>
      <c r="D128" s="3340"/>
      <c r="E128" s="3340"/>
      <c r="F128" s="3340"/>
      <c r="G128" s="3340"/>
      <c r="H128" s="3340"/>
      <c r="I128" s="334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6" t="str">
        <f>项目基本情况!B1</f>
        <v>北京市房地产抵押价值预评估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222966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13681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65238</v>
      </c>
      <c r="D5" s="203" t="s">
        <v>1469</v>
      </c>
      <c r="E5" s="204" t="s">
        <v>1470</v>
      </c>
      <c r="F5" s="204" t="s">
        <v>1471</v>
      </c>
      <c r="G5" s="205"/>
    </row>
    <row r="6" spans="1:9" s="206" customFormat="1" ht="13.5" customHeight="1">
      <c r="A6" s="732" t="s">
        <v>1472</v>
      </c>
      <c r="B6" s="207" t="s">
        <v>1473</v>
      </c>
      <c r="C6" s="208">
        <f>基准地价修正!B2</f>
        <v>63307</v>
      </c>
      <c r="D6" s="209"/>
      <c r="E6" s="210"/>
      <c r="F6" s="210"/>
      <c r="G6" s="211"/>
    </row>
    <row r="7" spans="1:9" s="206" customFormat="1" ht="13.5" customHeight="1">
      <c r="A7" s="732" t="s">
        <v>1474</v>
      </c>
      <c r="B7" s="207" t="s">
        <v>1475</v>
      </c>
      <c r="C7" s="212">
        <f>ROUND(C6*F7,0)</f>
        <v>1931</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3536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3537</v>
      </c>
      <c r="H9" s="1070"/>
      <c r="I9" s="1716" t="s">
        <v>1479</v>
      </c>
    </row>
    <row r="10" spans="1:9" s="206" customFormat="1" ht="13.5" customHeight="1">
      <c r="A10" s="733" t="s">
        <v>356</v>
      </c>
      <c r="B10" s="216" t="s">
        <v>1480</v>
      </c>
      <c r="C10" s="217">
        <f ca="1">ROUND(D10*E10/10000,0)</f>
        <v>3260</v>
      </c>
      <c r="D10" s="795">
        <f ca="1">IF(B1="",'数据-汇总表'!E6,IF(INDIRECT("'数据-取费表'!c"&amp;$G$1)="住宅",INDIRECT("'数据-取费表'!s"&amp;$G$1),INDIRECT("'数据-取费表'!k"&amp;$G$1)+INDIRECT("'数据-取费表'!s"&amp;$G$1)))</f>
        <v>162980.66999999998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162980.66999999998</v>
      </c>
      <c r="E19" s="203">
        <f>'数据-取费表'!B31</f>
        <v>200</v>
      </c>
      <c r="F19" s="223"/>
      <c r="G19" s="1714" t="s">
        <v>3538</v>
      </c>
    </row>
    <row r="20" spans="1:7" s="206" customFormat="1" ht="13.5" customHeight="1">
      <c r="A20" s="247" t="s">
        <v>1493</v>
      </c>
      <c r="B20" s="202" t="s">
        <v>1494</v>
      </c>
      <c r="C20" s="224">
        <f>ROUND((C5+C19)*F20,0)</f>
        <v>1305</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4012</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3973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39</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13309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13309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90860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99174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89639</v>
      </c>
      <c r="D34" s="209"/>
      <c r="E34" s="212"/>
      <c r="F34" s="249">
        <f ca="1">IF('数据-取费表'!B24=0,1,IF(B1="",'数据-取费表'!N16,INDIRECT("'数据-取费表'!n"&amp;$G$1)))</f>
        <v>1</v>
      </c>
      <c r="G34" s="211" t="s">
        <v>1526</v>
      </c>
    </row>
    <row r="35" spans="1:7" ht="13.5" customHeight="1">
      <c r="A35" s="734" t="s">
        <v>351</v>
      </c>
      <c r="B35" s="207" t="s">
        <v>1527</v>
      </c>
      <c r="C35" s="212">
        <f ca="1">ROUND(C34*F35,0)</f>
        <v>4482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3260</v>
      </c>
      <c r="D37" s="209">
        <f ca="1">D19</f>
        <v>162980.66999999998</v>
      </c>
      <c r="E37" s="241">
        <f>'数据-取费表'!B35</f>
        <v>200</v>
      </c>
      <c r="F37" s="251"/>
      <c r="G37" s="253" t="s">
        <v>1532</v>
      </c>
    </row>
    <row r="38" spans="1:7" ht="13.5" customHeight="1">
      <c r="A38" s="734" t="s">
        <v>354</v>
      </c>
      <c r="B38" s="207" t="s">
        <v>1533</v>
      </c>
      <c r="C38" s="212">
        <f ca="1">ROUND(C34*F38,0)</f>
        <v>1793</v>
      </c>
      <c r="D38" s="212"/>
      <c r="E38" s="212"/>
      <c r="F38" s="251">
        <f>'数据-取费表'!B36</f>
        <v>0.02</v>
      </c>
      <c r="G38" s="211" t="s">
        <v>1528</v>
      </c>
    </row>
    <row r="39" spans="1:7" s="206" customFormat="1" ht="13.5" customHeight="1">
      <c r="A39" s="247" t="s">
        <v>1534</v>
      </c>
      <c r="B39" s="202" t="s">
        <v>1535</v>
      </c>
      <c r="C39" s="224">
        <f ca="1">ROUND(C33*F20,0)</f>
        <v>1983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3034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2975</v>
      </c>
      <c r="D42" s="230"/>
      <c r="E42" s="230"/>
      <c r="F42" s="231"/>
      <c r="G42" s="3373" t="s">
        <v>1544</v>
      </c>
    </row>
    <row r="43" spans="1:7" ht="13.5" customHeight="1">
      <c r="A43" s="734" t="s">
        <v>347</v>
      </c>
      <c r="B43" s="207" t="s">
        <v>1545</v>
      </c>
      <c r="C43" s="230">
        <f ca="1">ROUND(IF('数据-取费表'!B22&lt;=1,C39*F22*'数据-取费表'!B21/2,C39*(POWER((1+F22),'数据-取费表'!B21/2)-1)),0)</f>
        <v>59</v>
      </c>
      <c r="D43" s="230"/>
      <c r="E43" s="230"/>
      <c r="F43" s="231"/>
      <c r="G43" s="3374"/>
    </row>
    <row r="44" spans="1:7" ht="13.5" customHeight="1">
      <c r="A44" s="734" t="s">
        <v>348</v>
      </c>
      <c r="B44" s="207" t="s">
        <v>1546</v>
      </c>
      <c r="C44" s="230">
        <f ca="1">ROUND(IF('数据-取费表'!B22&lt;=1,C40*F22*'数据-取费表'!B21/2,C40*(POWER((1+F22),'数据-取费表'!B21/2)-1)),4)</f>
        <v>5.9999999999999995E-4</v>
      </c>
      <c r="D44" s="230"/>
      <c r="E44" s="230"/>
      <c r="F44" s="231"/>
      <c r="G44" s="3375"/>
    </row>
    <row r="45" spans="1:7" s="206" customFormat="1" ht="13.5" customHeight="1">
      <c r="A45" s="247" t="s">
        <v>1547</v>
      </c>
      <c r="B45" s="236" t="s">
        <v>1513</v>
      </c>
      <c r="C45" s="237">
        <f ca="1">C46</f>
        <v>20231</v>
      </c>
      <c r="D45" s="227">
        <f ca="1">C47</f>
        <v>4.0000000000000001E-3</v>
      </c>
      <c r="E45" s="228" t="s">
        <v>1539</v>
      </c>
      <c r="F45" s="238">
        <f ca="1">F27</f>
        <v>0.2</v>
      </c>
      <c r="G45" s="239" t="s">
        <v>1548</v>
      </c>
    </row>
    <row r="46" spans="1:7" s="206" customFormat="1" ht="13.5" customHeight="1">
      <c r="A46" s="734" t="s">
        <v>346</v>
      </c>
      <c r="B46" s="240" t="s">
        <v>1549</v>
      </c>
      <c r="C46" s="241">
        <f ca="1">ROUND((C33+C39)*F27,0)</f>
        <v>20231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134802</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f ca="1">ROUND(C49*F50,0)</f>
        <v>132106</v>
      </c>
      <c r="D51" s="224"/>
      <c r="E51" s="224"/>
      <c r="F51" s="256"/>
      <c r="G51" s="226" t="s">
        <v>1560</v>
      </c>
    </row>
    <row r="52" spans="1:7" s="200" customFormat="1" ht="16.5" thickBot="1">
      <c r="A52" s="257" t="s">
        <v>1561</v>
      </c>
      <c r="B52" s="258"/>
      <c r="C52" s="259">
        <f ca="1">C31+C51</f>
        <v>222966</v>
      </c>
      <c r="D52" s="258"/>
      <c r="E52" s="258"/>
      <c r="F52" s="258"/>
      <c r="G52" s="260"/>
    </row>
    <row r="55" spans="1:7" ht="15">
      <c r="B55" s="262" t="s">
        <v>1562</v>
      </c>
      <c r="C55" s="263"/>
    </row>
    <row r="56" spans="1:7">
      <c r="B56" s="265" t="s">
        <v>802</v>
      </c>
      <c r="C56" s="267">
        <f ca="1">1-C57</f>
        <v>0.40800000000000003</v>
      </c>
    </row>
    <row r="57" spans="1:7">
      <c r="B57" s="265" t="s">
        <v>803</v>
      </c>
      <c r="C57" s="266">
        <f ca="1">ROUND(C51/C52,3)</f>
        <v>0.59199999999999997</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141186.74969999999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8663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32596134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32596134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32596134</v>
      </c>
      <c r="D10" s="795">
        <f ca="1">IF(B1="",'数据-汇总表'!E6,IF(INDIRECT("'数据-取费表'!c"&amp;$G$1)="住宅",INDIRECT("'数据-取费表'!s"&amp;$G$1),INDIRECT("'数据-取费表'!k"&amp;$G$1)+INDIRECT("'数据-取费表'!s"&amp;$G$1)))</f>
        <v>162980.66999999998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32596134</v>
      </c>
      <c r="D19" s="204">
        <f ca="1">D9+D10</f>
        <v>162980.66999999998</v>
      </c>
      <c r="E19" s="203">
        <f>'数据-取费表'!B31</f>
        <v>200</v>
      </c>
      <c r="F19" s="223"/>
      <c r="G19" s="1714"/>
    </row>
    <row r="20" spans="1:7" s="206" customFormat="1" ht="13.5" customHeight="1">
      <c r="A20" s="247" t="s">
        <v>1574</v>
      </c>
      <c r="B20" s="202" t="s">
        <v>1575</v>
      </c>
      <c r="C20" s="224">
        <f ca="1">ROUND((C5+C19)*F20,0)</f>
        <v>1303845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4009325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1985105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1985105</v>
      </c>
      <c r="D24" s="230"/>
      <c r="E24" s="230"/>
      <c r="F24" s="231"/>
      <c r="G24" s="232" t="s">
        <v>1586</v>
      </c>
    </row>
    <row r="25" spans="1:7" s="206" customFormat="1" ht="24">
      <c r="A25" s="734" t="s">
        <v>1476</v>
      </c>
      <c r="B25" s="207" t="s">
        <v>1587</v>
      </c>
      <c r="C25" s="230">
        <f ca="1">ROUND(IF('数据-取费表'!B22&lt;=1,C20*F22*'数据-取费表'!B22/2,C20*(POWER((1+F22),'数据-取费表'!B22/2)-1)),0)</f>
        <v>39115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13299223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13299223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90795949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991737377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896393685</v>
      </c>
      <c r="D34" s="209"/>
      <c r="E34" s="212"/>
      <c r="F34" s="249"/>
      <c r="G34" s="211"/>
    </row>
    <row r="35" spans="1:7" ht="13.5" customHeight="1">
      <c r="A35" s="734" t="s">
        <v>351</v>
      </c>
      <c r="B35" s="207" t="s">
        <v>1527</v>
      </c>
      <c r="C35" s="212">
        <f ca="1">ROUND(C34*F35,0)</f>
        <v>44819684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32596134</v>
      </c>
      <c r="D37" s="209">
        <f ca="1">D19</f>
        <v>162980.66999999998</v>
      </c>
      <c r="E37" s="241">
        <f>'数据-取费表'!B35</f>
        <v>200</v>
      </c>
      <c r="F37" s="251"/>
      <c r="G37" s="253"/>
    </row>
    <row r="38" spans="1:7" ht="13.5" customHeight="1">
      <c r="A38" s="734" t="s">
        <v>354</v>
      </c>
      <c r="B38" s="207" t="s">
        <v>1533</v>
      </c>
      <c r="C38" s="212">
        <f ca="1">ROUND(C34*F38,0)</f>
        <v>17927874</v>
      </c>
      <c r="D38" s="212"/>
      <c r="E38" s="212"/>
      <c r="F38" s="251">
        <f>'数据-取费表'!B36</f>
        <v>0.02</v>
      </c>
      <c r="G38" s="211" t="s">
        <v>1528</v>
      </c>
    </row>
    <row r="39" spans="1:7" s="206" customFormat="1" ht="13.5" customHeight="1">
      <c r="A39" s="247" t="s">
        <v>1534</v>
      </c>
      <c r="B39" s="202" t="s">
        <v>1535</v>
      </c>
      <c r="C39" s="224">
        <f ca="1">ROUND(C33*F20,0)</f>
        <v>19834748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30347163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29752121</v>
      </c>
      <c r="D42" s="230"/>
      <c r="E42" s="230"/>
      <c r="F42" s="231"/>
      <c r="G42" s="3373" t="s">
        <v>1591</v>
      </c>
    </row>
    <row r="43" spans="1:7" ht="13.5" customHeight="1">
      <c r="A43" s="734" t="s">
        <v>347</v>
      </c>
      <c r="B43" s="207" t="s">
        <v>1545</v>
      </c>
      <c r="C43" s="230">
        <f ca="1">ROUND(IF('数据-取费表'!B22&lt;=1,C39*F22*'数据-取费表'!B20/2,C39*(POWER((1+F22),'数据-取费表'!B20/2)-1)),0)</f>
        <v>595042</v>
      </c>
      <c r="D43" s="230"/>
      <c r="E43" s="230"/>
      <c r="F43" s="231"/>
      <c r="G43" s="3374"/>
    </row>
    <row r="44" spans="1:7" ht="13.5" customHeight="1">
      <c r="A44" s="734" t="s">
        <v>348</v>
      </c>
      <c r="B44" s="207" t="s">
        <v>1546</v>
      </c>
      <c r="C44" s="230">
        <f ca="1">ROUND(IF('数据-取费表'!B22&lt;=1,C40*F22*'数据-取费表'!B20/2,C40*(POWER((1+F22),'数据-取费表'!B20/2)-1)),4)</f>
        <v>5.9999999999999995E-4</v>
      </c>
      <c r="D44" s="230"/>
      <c r="E44" s="230"/>
      <c r="F44" s="231"/>
      <c r="G44" s="3375"/>
    </row>
    <row r="45" spans="1:7" s="206" customFormat="1" ht="13.5" customHeight="1">
      <c r="A45" s="247" t="s">
        <v>1547</v>
      </c>
      <c r="B45" s="236" t="s">
        <v>1513</v>
      </c>
      <c r="C45" s="237">
        <f ca="1">C46</f>
        <v>202314425</v>
      </c>
      <c r="D45" s="227">
        <f ca="1">C47</f>
        <v>4.0000000000000001E-3</v>
      </c>
      <c r="E45" s="228" t="s">
        <v>1539</v>
      </c>
      <c r="F45" s="238">
        <f ca="1">F27</f>
        <v>0.2</v>
      </c>
      <c r="G45" s="239" t="s">
        <v>1548</v>
      </c>
    </row>
    <row r="46" spans="1:7" s="206" customFormat="1" ht="13.5" customHeight="1">
      <c r="A46" s="734" t="s">
        <v>346</v>
      </c>
      <c r="B46" s="240" t="s">
        <v>1549</v>
      </c>
      <c r="C46" s="241">
        <f ca="1">ROUND((C33+C39)*F27,0)</f>
        <v>202314425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1348032192</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1321071548</v>
      </c>
      <c r="D51" s="224"/>
      <c r="E51" s="224"/>
      <c r="F51" s="256"/>
      <c r="G51" s="226" t="s">
        <v>1560</v>
      </c>
    </row>
    <row r="52" spans="1:7" s="200" customFormat="1" ht="16.5" thickBot="1">
      <c r="A52" s="257" t="s">
        <v>1561</v>
      </c>
      <c r="B52" s="258"/>
      <c r="C52" s="259">
        <f ca="1">C31+C51</f>
        <v>1411867497</v>
      </c>
      <c r="D52" s="258"/>
      <c r="E52" s="258"/>
      <c r="F52" s="258"/>
      <c r="G52" s="260"/>
    </row>
    <row r="55" spans="1:7" ht="15">
      <c r="B55" s="262" t="s">
        <v>1562</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M41" sqref="M41"/>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-3878</v>
      </c>
      <c r="C2" s="268" t="s">
        <v>1595</v>
      </c>
      <c r="D2" s="268"/>
      <c r="E2" s="2568"/>
      <c r="F2" s="2568"/>
      <c r="G2" s="2568"/>
      <c r="H2" s="2568"/>
      <c r="I2" s="2568"/>
      <c r="J2" s="2568"/>
      <c r="K2" s="2568"/>
    </row>
    <row r="3" spans="1:33" ht="18" customHeight="1" thickBot="1">
      <c r="A3" s="195" t="s">
        <v>1464</v>
      </c>
      <c r="B3" s="196">
        <f ca="1">ROUND(B2*10000/IF(C1="",'数据-汇总表'!E3,INDIRECT("'数据-取费表'!K"&amp;$K$1)),0)</f>
        <v>-238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162980.66999999998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162980.66999999998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3260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3260</v>
      </c>
      <c r="D20" s="796">
        <f ca="1">IF(C1="",'数据-汇总表'!E6,IF(INDIRECT("'数据-取费表'!c"&amp;$K$1)="住宅",INDIRECT("'数据-取费表'!s"&amp;$K$1),INDIRECT("'数据-取费表'!k"&amp;$K$1)+INDIRECT("'数据-取费表'!s"&amp;$K$1)))</f>
        <v>162980.66999999998</v>
      </c>
      <c r="E20" s="21">
        <f>'数据-取费表'!B28</f>
        <v>200</v>
      </c>
      <c r="F20" s="756"/>
      <c r="G20" s="12"/>
      <c r="H20" s="761"/>
      <c r="I20" s="761"/>
      <c r="J20" s="761"/>
      <c r="K20" s="762"/>
    </row>
    <row r="21" spans="1:33" s="755" customFormat="1" ht="13.5" customHeight="1">
      <c r="A21" s="744" t="s">
        <v>357</v>
      </c>
      <c r="B21" s="765" t="s">
        <v>1628</v>
      </c>
      <c r="C21" s="766">
        <f ca="1">C16+C17+C18</f>
        <v>3260</v>
      </c>
      <c r="D21" s="767"/>
      <c r="E21" s="273"/>
      <c r="F21" s="273"/>
      <c r="G21" s="123" t="s">
        <v>1629</v>
      </c>
      <c r="H21" s="759"/>
      <c r="I21" s="759"/>
      <c r="J21" s="759"/>
      <c r="K21" s="760"/>
    </row>
    <row r="22" spans="1:33" s="755" customFormat="1" ht="13.5" customHeight="1">
      <c r="A22" s="744" t="s">
        <v>1601</v>
      </c>
      <c r="B22" s="765" t="s">
        <v>1630</v>
      </c>
      <c r="C22" s="766">
        <f ca="1">ROUND(C21*F22,0)</f>
        <v>65</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665</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665</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-3878</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37.450000000000003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119497</v>
      </c>
      <c r="C2" s="1289" t="s">
        <v>805</v>
      </c>
      <c r="D2" s="1289"/>
      <c r="E2" s="1295"/>
      <c r="F2" s="1296"/>
      <c r="G2" s="2479"/>
      <c r="H2" s="2469"/>
      <c r="I2" s="2469"/>
      <c r="J2" s="2469"/>
      <c r="K2" s="2470"/>
      <c r="L2" s="2469"/>
      <c r="M2" s="2469"/>
    </row>
    <row r="3" spans="1:37" ht="18" customHeight="1" thickBot="1">
      <c r="A3" s="1297" t="s">
        <v>806</v>
      </c>
      <c r="B3" s="1298">
        <f ca="1">IF(ISERROR(B2*10000/F43),0,ROUND(B2*10000/F43,0))</f>
        <v>9060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9303</v>
      </c>
      <c r="D5" s="1273" t="s">
        <v>693</v>
      </c>
      <c r="E5" s="1008"/>
      <c r="F5" s="1009"/>
      <c r="G5" s="1292"/>
      <c r="H5" s="291">
        <v>1</v>
      </c>
      <c r="I5" s="292" t="s">
        <v>692</v>
      </c>
      <c r="J5" s="1007">
        <f ca="1">J6+J10+J12</f>
        <v>11828</v>
      </c>
      <c r="K5" s="1273" t="s">
        <v>693</v>
      </c>
      <c r="L5" s="1008"/>
      <c r="M5" s="1009"/>
    </row>
    <row r="6" spans="1:37" ht="18" customHeight="1">
      <c r="A6" s="1006" t="s">
        <v>398</v>
      </c>
      <c r="B6" s="3378" t="s">
        <v>694</v>
      </c>
      <c r="C6" s="1011">
        <f ca="1">ROUND(F6*F8*F7*(1-F9)/10000,0)</f>
        <v>9291</v>
      </c>
      <c r="D6" s="147" t="s">
        <v>2109</v>
      </c>
      <c r="E6" s="294" t="s">
        <v>696</v>
      </c>
      <c r="F6" s="295">
        <f ca="1">INDIRECT("'数据-取费表'!u"&amp;$G$1)</f>
        <v>1.93</v>
      </c>
      <c r="G6" s="1292"/>
      <c r="H6" s="1006" t="s">
        <v>398</v>
      </c>
      <c r="I6" s="3378" t="s">
        <v>694</v>
      </c>
      <c r="J6" s="293">
        <f ca="1">ROUND(M6*M8*M7*(1-M9)/10000,0)</f>
        <v>11828</v>
      </c>
      <c r="K6" s="147" t="s">
        <v>2108</v>
      </c>
      <c r="L6" s="294" t="s">
        <v>696</v>
      </c>
      <c r="M6" s="295">
        <f ca="1">INDIRECT("'数据-取费表'!z"&amp;$G$1)</f>
        <v>2.73</v>
      </c>
    </row>
    <row r="7" spans="1:37" ht="18" customHeight="1">
      <c r="A7" s="1010"/>
      <c r="B7" s="3379"/>
      <c r="C7" s="1012"/>
      <c r="D7" s="299"/>
      <c r="E7" s="1013" t="s">
        <v>697</v>
      </c>
      <c r="F7" s="295">
        <f ca="1">IF(INDIRECT("'数据-取费表'!ah"&amp;$G$1)="",INDIRECT("'数据-取费表'!k"&amp;$G$1),INDIRECT("'数据-取费表'!ah"&amp;$G$1))</f>
        <v>131891.15</v>
      </c>
      <c r="G7" s="1292"/>
      <c r="H7" s="296"/>
      <c r="I7" s="3379"/>
      <c r="J7" s="298"/>
      <c r="K7" s="299"/>
      <c r="L7" s="294" t="s">
        <v>697</v>
      </c>
      <c r="M7" s="295">
        <f ca="1">F7</f>
        <v>131891.15</v>
      </c>
    </row>
    <row r="8" spans="1:37" ht="18" customHeight="1">
      <c r="A8" s="296"/>
      <c r="B8" s="3379"/>
      <c r="C8" s="298"/>
      <c r="D8" s="299"/>
      <c r="E8" s="294" t="s">
        <v>698</v>
      </c>
      <c r="F8" s="295">
        <f ca="1">INDIRECT("'数据-取费表'!ai"&amp;$G$1)</f>
        <v>365</v>
      </c>
      <c r="G8" s="1292"/>
      <c r="H8" s="296"/>
      <c r="I8" s="3379"/>
      <c r="J8" s="298"/>
      <c r="K8" s="299"/>
      <c r="L8" s="294" t="s">
        <v>698</v>
      </c>
      <c r="M8" s="295">
        <f ca="1">INDIRECT("'数据-取费表'!ai"&amp;$G$1)</f>
        <v>365</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0.1</v>
      </c>
    </row>
    <row r="10" spans="1:37" ht="18" customHeight="1">
      <c r="A10" s="1006" t="s">
        <v>402</v>
      </c>
      <c r="B10" s="1274" t="s">
        <v>700</v>
      </c>
      <c r="C10" s="308">
        <f ca="1">ROUND(IF(F10="押一",C6/12*F11,IF(F10="押二",C6/12*2*F11,IF(F10="押三",C6/12*3*F11,C11*F11))),0)</f>
        <v>12</v>
      </c>
      <c r="D10" s="150" t="s">
        <v>2117</v>
      </c>
      <c r="E10" s="305" t="s">
        <v>701</v>
      </c>
      <c r="F10" s="1053" t="s">
        <v>3460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132106</v>
      </c>
      <c r="D13" s="1018" t="s">
        <v>705</v>
      </c>
      <c r="E13" s="1018" t="s">
        <v>706</v>
      </c>
      <c r="F13" s="1019">
        <f ca="1">INDIRECT("'数据-取费表'!y"&amp;$G$1)</f>
        <v>0.98</v>
      </c>
      <c r="G13" s="1292"/>
      <c r="H13" s="1016">
        <v>2</v>
      </c>
      <c r="I13" s="1017" t="s">
        <v>704</v>
      </c>
      <c r="J13" s="1005">
        <f ca="1">ROUND(J14*J15,0)</f>
        <v>87621</v>
      </c>
      <c r="K13" s="1024" t="s">
        <v>705</v>
      </c>
      <c r="L13" s="1299"/>
      <c r="M13" s="1300"/>
    </row>
    <row r="14" spans="1:37" ht="18" customHeight="1">
      <c r="A14" s="928" t="s">
        <v>397</v>
      </c>
      <c r="B14" s="294" t="s">
        <v>707</v>
      </c>
      <c r="C14" s="310">
        <f ca="1">INDIRECT("'数据-取费表'!m"&amp;$G$1)+INDIRECT("'数据-取费表'!t"&amp;$G$1)</f>
        <v>89639</v>
      </c>
      <c r="D14" s="1257" t="s">
        <v>708</v>
      </c>
      <c r="E14" s="1255"/>
      <c r="F14" s="311"/>
      <c r="G14" s="1292"/>
      <c r="H14" s="928" t="s">
        <v>398</v>
      </c>
      <c r="I14" s="294" t="s">
        <v>709</v>
      </c>
      <c r="J14" s="21">
        <f ca="1">C29</f>
        <v>134802</v>
      </c>
      <c r="K14" s="12"/>
      <c r="L14" s="759"/>
      <c r="M14" s="760"/>
    </row>
    <row r="15" spans="1:37" s="1304" customFormat="1" ht="18" customHeight="1" thickBot="1">
      <c r="A15" s="928" t="s">
        <v>399</v>
      </c>
      <c r="B15" s="294" t="s">
        <v>710</v>
      </c>
      <c r="C15" s="21">
        <f ca="1">ROUND(C14*F15,0)</f>
        <v>4482</v>
      </c>
      <c r="D15" s="312" t="s">
        <v>711</v>
      </c>
      <c r="E15" s="312" t="s">
        <v>712</v>
      </c>
      <c r="F15" s="313">
        <f>'数据-取费表'!B33</f>
        <v>0.05</v>
      </c>
      <c r="G15" s="1303"/>
      <c r="H15" s="1026" t="s">
        <v>402</v>
      </c>
      <c r="I15" s="1027" t="s">
        <v>706</v>
      </c>
      <c r="J15" s="1036">
        <f ca="1">INDIRECT("'数据-取费表'!ad"&amp;$G$1)</f>
        <v>0.65</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2616</v>
      </c>
      <c r="K16" s="1024" t="s">
        <v>715</v>
      </c>
      <c r="L16" s="1025"/>
      <c r="M16" s="1009"/>
    </row>
    <row r="17" spans="1:37" s="1304" customFormat="1" ht="18" customHeight="1">
      <c r="A17" s="928" t="s">
        <v>681</v>
      </c>
      <c r="B17" s="294" t="s">
        <v>716</v>
      </c>
      <c r="C17" s="21">
        <f ca="1">ROUND(F17*(F43+INDIRECT("'数据-取费表'!S"&amp;$G$1))/10000,0)</f>
        <v>3260</v>
      </c>
      <c r="D17" s="294" t="s">
        <v>717</v>
      </c>
      <c r="E17" s="294" t="s">
        <v>718</v>
      </c>
      <c r="F17" s="23">
        <f>'数据-取费表'!B35</f>
        <v>200</v>
      </c>
      <c r="G17" s="1303"/>
      <c r="H17" s="928" t="s">
        <v>398</v>
      </c>
      <c r="I17" s="294" t="s">
        <v>719</v>
      </c>
      <c r="J17" s="2140">
        <f ca="1">ROUND(IF(AND(项目基本情况!B11="自然人",项目基本情况!B10="北京市"),J6*M17/(1+'数据-取费表'!C42),J18+J19+J20),2)</f>
        <v>1978.33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1793</v>
      </c>
      <c r="D18" s="294" t="s">
        <v>711</v>
      </c>
      <c r="E18" s="294" t="s">
        <v>712</v>
      </c>
      <c r="F18" s="314">
        <f>'数据-取费表'!B36</f>
        <v>0.02</v>
      </c>
      <c r="G18" s="1303"/>
      <c r="H18" s="928" t="s">
        <v>397</v>
      </c>
      <c r="I18" s="294" t="s">
        <v>723</v>
      </c>
      <c r="J18" s="21">
        <f ca="1">ROUND(J6*M18/(1+'数据-取费表'!C42),2)</f>
        <v>619.55999999999995</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99174</v>
      </c>
      <c r="D19" s="123" t="s">
        <v>726</v>
      </c>
      <c r="E19" s="1269"/>
      <c r="F19" s="23"/>
      <c r="G19" s="1292"/>
      <c r="H19" s="928" t="s">
        <v>399</v>
      </c>
      <c r="I19" s="294" t="s">
        <v>727</v>
      </c>
      <c r="J19" s="21">
        <f ca="1">IF(K19="按租金收入计税",ROUND(J6*M19/(1+'数据-取费表'!C42),2),ROUND(C29*M19*0.7,2))</f>
        <v>1351.77</v>
      </c>
      <c r="K19" s="1278" t="s">
        <v>3335</v>
      </c>
      <c r="L19" s="294" t="s">
        <v>712</v>
      </c>
      <c r="M19" s="314">
        <f>IF(K19="按租金收入计税",'数据-取费表'!B51,'数据-取费表'!B50)</f>
        <v>0.12</v>
      </c>
    </row>
    <row r="20" spans="1:37" s="1304" customFormat="1" ht="18" customHeight="1">
      <c r="A20" s="928" t="s">
        <v>402</v>
      </c>
      <c r="B20" s="294" t="s">
        <v>728</v>
      </c>
      <c r="C20" s="21">
        <f ca="1">ROUND(C19*F20,0)</f>
        <v>1983</v>
      </c>
      <c r="D20" s="315" t="s">
        <v>729</v>
      </c>
      <c r="E20" s="294" t="s">
        <v>712</v>
      </c>
      <c r="F20" s="314">
        <f>'数据-取费表'!B37</f>
        <v>0.02</v>
      </c>
      <c r="G20" s="1303"/>
      <c r="H20" s="928" t="s">
        <v>680</v>
      </c>
      <c r="I20" s="147" t="s">
        <v>730</v>
      </c>
      <c r="J20" s="22">
        <f ca="1">ROUND(M20*M21/10000,2)</f>
        <v>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46654.62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269.60000000000002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3034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131.43</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236.56</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9212</v>
      </c>
      <c r="K25" s="1032" t="s">
        <v>753</v>
      </c>
      <c r="L25" s="1033"/>
      <c r="M25" s="1034"/>
    </row>
    <row r="26" spans="1:37">
      <c r="A26" s="928" t="s">
        <v>397</v>
      </c>
      <c r="B26" s="294" t="s">
        <v>754</v>
      </c>
      <c r="C26" s="21">
        <f ca="1">ROUND((C19+C20)*F26,0)</f>
        <v>20231</v>
      </c>
      <c r="D26" s="315" t="s">
        <v>755</v>
      </c>
      <c r="E26" s="305" t="s">
        <v>756</v>
      </c>
      <c r="F26" s="304">
        <f ca="1">INDIRECT("'数据-取费表'!q"&amp;$G$1)</f>
        <v>0.2</v>
      </c>
      <c r="G26" s="1292"/>
      <c r="H26" s="291" t="s">
        <v>395</v>
      </c>
      <c r="I26" s="292" t="s">
        <v>757</v>
      </c>
      <c r="J26" s="293">
        <f ca="1">IF(J5&lt;&gt;0,ROUND(J25*(1-((1+M28)/(1+M26))^M27)/(M26-M28),0),0)</f>
        <v>112599</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17.450000000000003</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134802</v>
      </c>
      <c r="D29" s="1029"/>
      <c r="E29" s="1027"/>
      <c r="F29" s="1030"/>
      <c r="G29" s="1303"/>
      <c r="H29" s="325" t="s">
        <v>396</v>
      </c>
      <c r="I29" s="326" t="s">
        <v>768</v>
      </c>
      <c r="J29" s="327">
        <f ca="1">ROUND(J26/(1+F40)^F41,0)</f>
        <v>35109</v>
      </c>
      <c r="K29" s="328" t="s">
        <v>769</v>
      </c>
      <c r="L29" s="329"/>
      <c r="M29" s="330">
        <f ca="1">INDIRECT("'数据-取费表'!k"&amp;$G$1)</f>
        <v>131891.15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2209</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1555.5</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486.67</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1061.83</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46654.62</v>
      </c>
      <c r="G35" s="1292"/>
      <c r="H35" s="2471"/>
      <c r="I35" s="1305"/>
      <c r="J35" s="1306"/>
      <c r="K35" s="2475"/>
      <c r="L35" s="2474"/>
      <c r="M35" s="2474"/>
    </row>
    <row r="36" spans="1:18" ht="18" customHeight="1">
      <c r="A36" s="1039" t="s">
        <v>402</v>
      </c>
      <c r="B36" s="294" t="s">
        <v>738</v>
      </c>
      <c r="C36" s="21">
        <f ca="1">ROUND(C29*F36,2)</f>
        <v>269.60000000000002</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198.16</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ROUND(C5*F38,2)</f>
        <v>186.06</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7094</v>
      </c>
      <c r="D39" s="1032" t="s">
        <v>773</v>
      </c>
      <c r="E39" s="1033"/>
      <c r="F39" s="1034"/>
      <c r="G39" s="1292"/>
      <c r="H39" s="2474"/>
      <c r="I39" s="1305"/>
      <c r="J39" s="1306"/>
      <c r="K39" s="2472"/>
      <c r="L39" s="2474"/>
      <c r="M39" s="2474"/>
    </row>
    <row r="40" spans="1:18" ht="18" customHeight="1">
      <c r="A40" s="291" t="s">
        <v>395</v>
      </c>
      <c r="B40" s="292" t="s">
        <v>774</v>
      </c>
      <c r="C40" s="293">
        <f ca="1">ROUND(C39*(1-((1+F42)/(1+F40))^F41)/(F40-F42),0)</f>
        <v>81368</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6169</v>
      </c>
      <c r="D43" s="328" t="s">
        <v>777</v>
      </c>
      <c r="E43" s="329" t="s">
        <v>778</v>
      </c>
      <c r="F43" s="330">
        <f ca="1">INDIRECT("'数据-取费表'!k"&amp;$G$1)</f>
        <v>131891.15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-86816</v>
      </c>
      <c r="D46" s="1313" t="str">
        <f>C2</f>
        <v>万元</v>
      </c>
      <c r="E46" s="1307"/>
      <c r="F46" s="1307"/>
      <c r="I46" s="1314" t="s">
        <v>810</v>
      </c>
      <c r="J46" s="1315"/>
      <c r="K46" s="1316"/>
      <c r="L46" s="1317">
        <f ca="1">IF(M47="住宅",0,IF(L48&gt;J51,L60,J60))</f>
        <v>3020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3461</v>
      </c>
      <c r="K47" s="1323" t="s">
        <v>816</v>
      </c>
      <c r="L47" s="1324">
        <f ca="1">INDIRECT("'数据-取费表'!d"&amp;$G$1)</f>
        <v>40</v>
      </c>
      <c r="M47" s="1288" t="str">
        <f>IF(ISNUMBER(FIND("住宅",C1)),"住宅","非住宅")</f>
        <v>非住宅</v>
      </c>
      <c r="O47" s="1325" t="s">
        <v>403</v>
      </c>
      <c r="P47" s="1326" t="s">
        <v>817</v>
      </c>
      <c r="Q47" s="1327">
        <f ca="1">C40+J29</f>
        <v>116477</v>
      </c>
      <c r="R47" s="1327" t="s">
        <v>818</v>
      </c>
    </row>
    <row r="48" spans="1:18" s="1292" customFormat="1" ht="28.5" thickBot="1">
      <c r="A48" s="1047" t="s">
        <v>438</v>
      </c>
      <c r="B48" s="292" t="s">
        <v>692</v>
      </c>
      <c r="C48" s="1268">
        <f ca="1">C49+C53+C55</f>
        <v>0</v>
      </c>
      <c r="D48" s="1049"/>
      <c r="E48" s="1050"/>
      <c r="F48" s="908"/>
      <c r="G48" s="681"/>
      <c r="H48" s="682"/>
      <c r="I48" s="1328" t="s">
        <v>819</v>
      </c>
      <c r="J48" s="1329" t="s">
        <v>3462</v>
      </c>
      <c r="K48" s="1330" t="s">
        <v>820</v>
      </c>
      <c r="L48" s="1331">
        <f ca="1">INDIRECT("'数据-取费表'!f"&amp;$G$1)</f>
        <v>37.450000000000003</v>
      </c>
      <c r="O48" s="1325" t="s">
        <v>404</v>
      </c>
      <c r="P48" s="1326" t="s">
        <v>821</v>
      </c>
      <c r="Q48" s="1327">
        <f ca="1">J60</f>
        <v>3020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2024</v>
      </c>
      <c r="K49" s="1330" t="s">
        <v>824</v>
      </c>
      <c r="L49" s="1333"/>
      <c r="O49" s="1334" t="s">
        <v>405</v>
      </c>
      <c r="P49" s="1326" t="s">
        <v>825</v>
      </c>
      <c r="Q49" s="1327">
        <f ca="1">C29</f>
        <v>134802</v>
      </c>
      <c r="R49" s="1327" t="s">
        <v>818</v>
      </c>
    </row>
    <row r="50" spans="1:18" s="1292" customFormat="1" ht="13.5" thickBot="1">
      <c r="A50" s="922"/>
      <c r="B50" s="925"/>
      <c r="C50" s="1055"/>
      <c r="D50" s="899"/>
      <c r="E50" s="993" t="s">
        <v>697</v>
      </c>
      <c r="F50" s="994">
        <f ca="1">F7</f>
        <v>131891.15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-40647</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37.450000000000003</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t="s">
        <v>3460</v>
      </c>
      <c r="I53" s="1344" t="s">
        <v>836</v>
      </c>
      <c r="J53" s="2006">
        <f ca="1">IF(M47="住宅",IF(D1="——",MAX(J51,L48),MAX(J51,L48-'数据-取费表'!B24)),IF(D1="——",MIN(J51,L48),MIN(J51,L48-'数据-取费表'!B24)))</f>
        <v>37.450000000000003</v>
      </c>
      <c r="K53" s="3376" t="s">
        <v>837</v>
      </c>
      <c r="L53" s="3377"/>
      <c r="O53" s="1325" t="s">
        <v>409</v>
      </c>
      <c r="P53" s="1326" t="s">
        <v>838</v>
      </c>
      <c r="Q53" s="1327">
        <f ca="1">Q47+Q48</f>
        <v>119497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0.35899999999999999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132106</v>
      </c>
      <c r="D56" s="1352"/>
      <c r="E56" s="1353"/>
      <c r="F56" s="1345"/>
      <c r="I56" s="1354" t="s">
        <v>842</v>
      </c>
      <c r="J56" s="1355" t="s">
        <v>3463</v>
      </c>
      <c r="K56" s="1328" t="s">
        <v>843</v>
      </c>
      <c r="L56" s="1331" t="str">
        <f ca="1">IF(L48&lt;J51,"——",L48-J53)</f>
        <v>——</v>
      </c>
      <c r="O56" s="1325" t="s">
        <v>403</v>
      </c>
      <c r="P56" s="1326" t="s">
        <v>817</v>
      </c>
      <c r="Q56" s="1327">
        <f ca="1">C40+J29</f>
        <v>116477</v>
      </c>
      <c r="R56" s="1327" t="s">
        <v>818</v>
      </c>
    </row>
    <row r="57" spans="1:18" s="1292" customFormat="1" ht="24.75" thickBot="1">
      <c r="A57" s="1356"/>
      <c r="B57" s="896" t="s">
        <v>767</v>
      </c>
      <c r="C57" s="230">
        <f ca="1">C29</f>
        <v>134802</v>
      </c>
      <c r="D57" s="1357"/>
      <c r="E57" s="1358"/>
      <c r="F57" s="1359"/>
      <c r="I57" s="1360" t="s">
        <v>844</v>
      </c>
      <c r="J57" s="1361">
        <f ca="1">IF(OR(M47="住宅",J51&lt;L48,J56="是"),"——",J51-L48)</f>
        <v>21.549999999999997</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475</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7</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53921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3020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7</v>
      </c>
      <c r="D62" s="911" t="s">
        <v>786</v>
      </c>
      <c r="E62" s="896" t="s">
        <v>787</v>
      </c>
      <c r="F62" s="317">
        <f t="shared" si="0"/>
        <v>1.5</v>
      </c>
      <c r="I62" s="1367" t="s">
        <v>858</v>
      </c>
      <c r="J62" s="610" t="s">
        <v>859</v>
      </c>
      <c r="K62" s="610" t="s">
        <v>860</v>
      </c>
      <c r="L62" s="610" t="s">
        <v>861</v>
      </c>
      <c r="M62" s="1368" t="s">
        <v>862</v>
      </c>
      <c r="O62" s="1325" t="s">
        <v>409</v>
      </c>
      <c r="P62" s="1326" t="s">
        <v>863</v>
      </c>
      <c r="Q62" s="1327">
        <f ca="1">Q56+Q57</f>
        <v>116477</v>
      </c>
      <c r="R62" s="1327" t="s">
        <v>410</v>
      </c>
    </row>
    <row r="63" spans="1:18" s="1292" customFormat="1" ht="13.5" thickBot="1">
      <c r="A63" s="318"/>
      <c r="B63" s="902"/>
      <c r="C63" s="26"/>
      <c r="D63" s="912"/>
      <c r="E63" s="896" t="s">
        <v>788</v>
      </c>
      <c r="F63" s="295">
        <f t="shared" ca="1" si="0"/>
        <v>46654.62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269.60000000000002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198.16</v>
      </c>
      <c r="D65" s="910" t="s">
        <v>743</v>
      </c>
      <c r="E65" s="896" t="s">
        <v>744</v>
      </c>
      <c r="F65" s="321">
        <f t="shared" ca="1" si="0"/>
        <v>1.5E-3</v>
      </c>
      <c r="I65" s="1367" t="s">
        <v>867</v>
      </c>
      <c r="J65" s="610">
        <v>40</v>
      </c>
      <c r="K65" s="610">
        <v>30</v>
      </c>
      <c r="L65" s="610">
        <v>50</v>
      </c>
      <c r="M65" s="1369">
        <v>0.02</v>
      </c>
      <c r="O65" s="1325" t="s">
        <v>403</v>
      </c>
      <c r="P65" s="1326" t="s">
        <v>868</v>
      </c>
      <c r="Q65" s="1327">
        <f ca="1">C40+J29</f>
        <v>116477</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-475</v>
      </c>
      <c r="D67" s="909" t="s">
        <v>753</v>
      </c>
      <c r="E67" s="914"/>
      <c r="F67" s="915"/>
      <c r="O67" s="1334" t="s">
        <v>405</v>
      </c>
      <c r="P67" s="1326" t="s">
        <v>850</v>
      </c>
      <c r="Q67" s="1370">
        <f ca="1">L51</f>
        <v>-40647</v>
      </c>
      <c r="R67" s="1327" t="s">
        <v>870</v>
      </c>
    </row>
    <row r="68" spans="1:18" s="1292" customFormat="1" ht="16.5" thickBot="1">
      <c r="A68" s="893" t="s">
        <v>395</v>
      </c>
      <c r="B68" s="894" t="s">
        <v>774</v>
      </c>
      <c r="C68" s="293">
        <f ca="1">ROUND(C67*(1-((1+F70)/(1+F68))^F69)/(F68-F70),0)</f>
        <v>-5448</v>
      </c>
      <c r="D68" s="911" t="s">
        <v>758</v>
      </c>
      <c r="E68" s="896" t="s">
        <v>759</v>
      </c>
      <c r="F68" s="304">
        <f ca="1">F40</f>
        <v>0.06</v>
      </c>
      <c r="O68" s="1334" t="s">
        <v>406</v>
      </c>
      <c r="P68" s="1371" t="s">
        <v>871</v>
      </c>
      <c r="Q68" s="1327">
        <f ca="1">ROUND(Q69-Q70*Q71,0)</f>
        <v>-2153</v>
      </c>
      <c r="R68" s="1327" t="s">
        <v>414</v>
      </c>
    </row>
    <row r="69" spans="1:18" s="1292" customFormat="1" ht="13.5" thickBot="1">
      <c r="A69" s="897"/>
      <c r="B69" s="898"/>
      <c r="C69" s="298"/>
      <c r="D69" s="916" t="s">
        <v>762</v>
      </c>
      <c r="E69" s="896" t="s">
        <v>763</v>
      </c>
      <c r="F69" s="324">
        <f ca="1">F41</f>
        <v>20</v>
      </c>
      <c r="O69" s="1334" t="s">
        <v>411</v>
      </c>
      <c r="P69" s="1371" t="s">
        <v>872</v>
      </c>
      <c r="Q69" s="1327">
        <f ca="1">C39</f>
        <v>7094</v>
      </c>
      <c r="R69" s="1327" t="s">
        <v>818</v>
      </c>
    </row>
    <row r="70" spans="1:18" s="1292" customFormat="1" ht="13.5" thickBot="1">
      <c r="A70" s="900"/>
      <c r="B70" s="901"/>
      <c r="C70" s="302"/>
      <c r="D70" s="912"/>
      <c r="E70" s="896" t="s">
        <v>766</v>
      </c>
      <c r="F70" s="991"/>
      <c r="O70" s="1334" t="s">
        <v>412</v>
      </c>
      <c r="P70" s="1371" t="s">
        <v>873</v>
      </c>
      <c r="Q70" s="1327">
        <f ca="1">C13</f>
        <v>132106</v>
      </c>
      <c r="R70" s="1327" t="s">
        <v>818</v>
      </c>
    </row>
    <row r="71" spans="1:18" s="1292" customFormat="1" ht="13.5" thickBot="1">
      <c r="A71" s="917" t="s">
        <v>396</v>
      </c>
      <c r="B71" s="918" t="s">
        <v>776</v>
      </c>
      <c r="C71" s="327">
        <f ca="1">ROUND(C68*10000/F71,0)</f>
        <v>-413</v>
      </c>
      <c r="D71" s="919" t="s">
        <v>777</v>
      </c>
      <c r="E71" s="920" t="s">
        <v>778</v>
      </c>
      <c r="F71" s="330">
        <f ca="1">F43</f>
        <v>131891.15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9247</v>
      </c>
      <c r="D75" s="1292"/>
      <c r="E75" s="1292"/>
      <c r="F75" s="1292"/>
      <c r="K75" s="1309"/>
      <c r="L75" s="1292"/>
      <c r="O75" s="1325" t="s">
        <v>409</v>
      </c>
      <c r="P75" s="1326" t="s">
        <v>838</v>
      </c>
      <c r="Q75" s="1327">
        <f ca="1">Q65+Q66</f>
        <v>116477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-0.30299999999999994</v>
      </c>
    </row>
    <row r="80" spans="1:18">
      <c r="B80" s="331" t="s">
        <v>800</v>
      </c>
      <c r="C80" s="266">
        <f ca="1">ROUND(C75/C39,3)</f>
        <v>1.3029999999999999</v>
      </c>
    </row>
    <row r="81" spans="2:3">
      <c r="B81" s="262" t="s">
        <v>801</v>
      </c>
      <c r="C81" s="230"/>
    </row>
    <row r="82" spans="2:3">
      <c r="B82" s="265" t="s">
        <v>802</v>
      </c>
      <c r="C82" s="267">
        <f ca="1">1-C83</f>
        <v>-0.62400000000000011</v>
      </c>
    </row>
    <row r="83" spans="2:3">
      <c r="B83" s="265" t="s">
        <v>803</v>
      </c>
      <c r="C83" s="266">
        <f ca="1">ROUND(C13/C40,3)</f>
        <v>1.6240000000000001</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0</v>
      </c>
      <c r="D6" s="147" t="s">
        <v>2106</v>
      </c>
      <c r="E6" s="294" t="s">
        <v>696</v>
      </c>
      <c r="F6" s="295">
        <f ca="1">INDIRECT("'数据-取费表'!u"&amp;$G$1)</f>
        <v>0</v>
      </c>
      <c r="G6" s="1292"/>
      <c r="H6" s="1006" t="s">
        <v>398</v>
      </c>
      <c r="I6" s="3378" t="s">
        <v>694</v>
      </c>
      <c r="J6" s="293">
        <f ca="1">ROUND(M6*M8*M7*(1-M9),0)</f>
        <v>0</v>
      </c>
      <c r="K6" s="1284"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3358</v>
      </c>
      <c r="E2" s="3140"/>
      <c r="F2" s="2598"/>
      <c r="G2" s="2599"/>
      <c r="H2" s="2600"/>
      <c r="I2" s="2601"/>
      <c r="J2" s="3387" t="s">
        <v>2317</v>
      </c>
      <c r="K2" s="3388"/>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89" t="s">
        <v>2327</v>
      </c>
      <c r="K3" s="3390"/>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89" t="s">
        <v>2329</v>
      </c>
      <c r="K4" s="3390"/>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95" t="s">
        <v>2333</v>
      </c>
      <c r="B6" s="3396"/>
      <c r="C6" s="3397"/>
      <c r="D6" s="2622"/>
      <c r="E6" s="2623"/>
      <c r="F6" s="2624"/>
      <c r="G6" s="2625"/>
      <c r="H6" s="2600"/>
      <c r="I6" s="2601"/>
      <c r="J6" s="3381">
        <v>1</v>
      </c>
      <c r="K6" s="3382"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81"/>
      <c r="K7" s="3383"/>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98" t="s">
        <v>2347</v>
      </c>
      <c r="C8" s="3399"/>
      <c r="D8" s="2641" t="s">
        <v>2348</v>
      </c>
      <c r="E8" s="2642" t="s">
        <v>2349</v>
      </c>
      <c r="F8" s="2643" t="s">
        <v>2350</v>
      </c>
      <c r="G8" s="2644"/>
      <c r="H8" s="2600"/>
      <c r="I8" s="2601"/>
      <c r="J8" s="3381"/>
      <c r="K8" s="3383"/>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98" t="s">
        <v>2353</v>
      </c>
      <c r="C9" s="3399"/>
      <c r="D9" s="2641">
        <f>ROUND(D6*E9,0)</f>
        <v>0</v>
      </c>
      <c r="E9" s="2645"/>
      <c r="F9" s="2646" t="s">
        <v>2354</v>
      </c>
      <c r="G9" s="2625"/>
      <c r="H9" s="2600"/>
      <c r="I9" s="2601"/>
      <c r="J9" s="3381"/>
      <c r="K9" s="3383"/>
      <c r="L9" s="2635" t="s">
        <v>2355</v>
      </c>
      <c r="M9" s="2636"/>
      <c r="N9" s="2612"/>
      <c r="O9" s="2637"/>
      <c r="P9" s="2637"/>
      <c r="Q9" s="2638">
        <v>365</v>
      </c>
      <c r="R9" s="2639">
        <f t="shared" si="0"/>
        <v>0</v>
      </c>
      <c r="S9" s="2593"/>
      <c r="T9" s="2593"/>
      <c r="U9" s="2593"/>
      <c r="V9" s="2601"/>
    </row>
    <row r="10" spans="1:22" s="2605" customFormat="1" ht="13.15" customHeight="1">
      <c r="A10" s="2640">
        <v>2</v>
      </c>
      <c r="B10" s="3398" t="s">
        <v>2356</v>
      </c>
      <c r="C10" s="3399"/>
      <c r="D10" s="2641">
        <f>ROUND(D6*E10,0)</f>
        <v>0</v>
      </c>
      <c r="E10" s="2645"/>
      <c r="F10" s="2646" t="s">
        <v>2357</v>
      </c>
      <c r="G10" s="2625"/>
      <c r="H10" s="2600"/>
      <c r="I10" s="2601"/>
      <c r="J10" s="3381"/>
      <c r="K10" s="3383"/>
      <c r="L10" s="2635" t="s">
        <v>2358</v>
      </c>
      <c r="M10" s="2636"/>
      <c r="N10" s="2612"/>
      <c r="O10" s="2637"/>
      <c r="P10" s="2637"/>
      <c r="Q10" s="2638">
        <v>365</v>
      </c>
      <c r="R10" s="2639">
        <f t="shared" si="0"/>
        <v>0</v>
      </c>
      <c r="S10" s="2593"/>
      <c r="T10" s="2593"/>
      <c r="U10" s="2593"/>
      <c r="V10" s="2601"/>
    </row>
    <row r="11" spans="1:22" s="2605" customFormat="1" ht="13.15" customHeight="1">
      <c r="A11" s="2640">
        <v>3</v>
      </c>
      <c r="B11" s="3398" t="s">
        <v>2359</v>
      </c>
      <c r="C11" s="3399"/>
      <c r="D11" s="2641">
        <f>D12+D14+D15+D16</f>
        <v>0</v>
      </c>
      <c r="E11" s="2647" t="e">
        <f>D11/D6</f>
        <v>#DIV/0!</v>
      </c>
      <c r="F11" s="2643"/>
      <c r="G11" s="2644"/>
      <c r="H11" s="2600"/>
      <c r="I11" s="2601"/>
      <c r="J11" s="3381"/>
      <c r="K11" s="3383"/>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91" t="s">
        <v>2362</v>
      </c>
      <c r="C12" s="3392"/>
      <c r="D12" s="2649">
        <f>ROUND(D13*1.2%*(1-30%),0)</f>
        <v>0</v>
      </c>
      <c r="E12" s="2650">
        <v>1.2E-2</v>
      </c>
      <c r="F12" s="2643" t="s">
        <v>2363</v>
      </c>
      <c r="G12" s="2644"/>
      <c r="H12" s="2600"/>
      <c r="I12" s="2601"/>
      <c r="J12" s="3381"/>
      <c r="K12" s="3383"/>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81"/>
      <c r="K13" s="3383"/>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91" t="s">
        <v>2368</v>
      </c>
      <c r="C14" s="3392"/>
      <c r="D14" s="2649">
        <f>ROUND(E14*B5/10000,0)</f>
        <v>0</v>
      </c>
      <c r="E14" s="2638"/>
      <c r="F14" s="2643" t="s">
        <v>2369</v>
      </c>
      <c r="G14" s="2644"/>
      <c r="H14" s="2600"/>
      <c r="I14" s="2601"/>
      <c r="J14" s="3381"/>
      <c r="K14" s="3384"/>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91" t="s">
        <v>2372</v>
      </c>
      <c r="C15" s="3392"/>
      <c r="D15" s="2649">
        <f>ROUND(D6*E15,0)</f>
        <v>0</v>
      </c>
      <c r="E15" s="2650">
        <v>5.5E-2</v>
      </c>
      <c r="F15" s="2643" t="s">
        <v>2373</v>
      </c>
      <c r="G15" s="2625"/>
      <c r="H15" s="2600"/>
      <c r="I15" s="2601"/>
      <c r="J15" s="3381">
        <v>2</v>
      </c>
      <c r="K15" s="3382"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91" t="s">
        <v>2381</v>
      </c>
      <c r="C16" s="3392"/>
      <c r="D16" s="2660">
        <f>D6*E16</f>
        <v>0</v>
      </c>
      <c r="E16" s="2661"/>
      <c r="F16" s="2646" t="s">
        <v>2382</v>
      </c>
      <c r="G16" s="2625"/>
      <c r="H16" s="2600"/>
      <c r="I16" s="2601"/>
      <c r="J16" s="3381"/>
      <c r="K16" s="3383"/>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93" t="s">
        <v>2384</v>
      </c>
      <c r="C17" s="3394"/>
      <c r="D17" s="2663">
        <f>ROUND(D6*E17,0)</f>
        <v>0</v>
      </c>
      <c r="E17" s="2664"/>
      <c r="F17" s="2665" t="s">
        <v>2385</v>
      </c>
      <c r="G17" s="2625"/>
      <c r="H17" s="2600"/>
      <c r="I17" s="2601"/>
      <c r="J17" s="3381"/>
      <c r="K17" s="3383"/>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81"/>
      <c r="K18" s="3383"/>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81"/>
      <c r="K19" s="3384"/>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1">
        <v>3</v>
      </c>
      <c r="K20" s="3382"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81"/>
      <c r="K21" s="3383"/>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81"/>
      <c r="K22" s="3383"/>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81"/>
      <c r="K23" s="3383"/>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81"/>
      <c r="K24" s="3384"/>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85">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8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87" t="s">
        <v>2317</v>
      </c>
      <c r="K32" s="3388"/>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89" t="s">
        <v>2327</v>
      </c>
      <c r="K33" s="3390"/>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89" t="s">
        <v>2329</v>
      </c>
      <c r="K34" s="339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81">
        <v>1</v>
      </c>
      <c r="K36" s="3382"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81"/>
      <c r="K37" s="3383"/>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1"/>
      <c r="K38" s="3383"/>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81"/>
      <c r="K39" s="3383"/>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81"/>
      <c r="K40" s="3384"/>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5">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8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E820A-8E91-4C72-93D6-8F41BF1DB507}">
  <sheetPr>
    <tabColor rgb="FF92D050"/>
  </sheetPr>
  <dimension ref="A1:AK83"/>
  <sheetViews>
    <sheetView view="pageBreakPreview" topLeftCell="A4"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3332</v>
      </c>
      <c r="D1" s="1271" t="s">
        <v>43</v>
      </c>
      <c r="E1" s="1272" t="s">
        <v>678</v>
      </c>
      <c r="F1" s="999" t="e">
        <f ca="1">J53</f>
        <v>#N/A</v>
      </c>
      <c r="G1" s="1286" t="e">
        <f>MATCH(C1,'数据-取费表'!A6:A16,0)+5</f>
        <v>#N/A</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78" t="s">
        <v>694</v>
      </c>
      <c r="C6" s="1011" t="e">
        <f ca="1">ROUND(F6*F8*F7*(1-F9)/10000,0)</f>
        <v>#N/A</v>
      </c>
      <c r="D6" s="147" t="s">
        <v>2109</v>
      </c>
      <c r="E6" s="294" t="s">
        <v>696</v>
      </c>
      <c r="F6" s="295" t="e">
        <f ca="1">INDIRECT("'数据-取费表'!u"&amp;$G$1)</f>
        <v>#N/A</v>
      </c>
      <c r="G6" s="1292"/>
      <c r="H6" s="1006" t="s">
        <v>398</v>
      </c>
      <c r="I6" s="3378" t="s">
        <v>694</v>
      </c>
      <c r="J6" s="293" t="e">
        <f ca="1">ROUND(M6*M8*M7*(1-M9)/10000,0)</f>
        <v>#N/A</v>
      </c>
      <c r="K6" s="147" t="s">
        <v>2108</v>
      </c>
      <c r="L6" s="294" t="s">
        <v>696</v>
      </c>
      <c r="M6" s="295" t="e">
        <f ca="1">INDIRECT("'数据-取费表'!z"&amp;$G$1)</f>
        <v>#N/A</v>
      </c>
    </row>
    <row r="7" spans="1:37" ht="18" customHeight="1">
      <c r="A7" s="1010"/>
      <c r="B7" s="3379"/>
      <c r="C7" s="1012"/>
      <c r="D7" s="299"/>
      <c r="E7" s="1013" t="s">
        <v>697</v>
      </c>
      <c r="F7" s="295" t="e">
        <f ca="1">IF(INDIRECT("'数据-取费表'!ah"&amp;$G$1)="",INDIRECT("'数据-取费表'!k"&amp;$G$1),INDIRECT("'数据-取费表'!ah"&amp;$G$1))</f>
        <v>#N/A</v>
      </c>
      <c r="G7" s="1292"/>
      <c r="H7" s="296"/>
      <c r="I7" s="3379"/>
      <c r="J7" s="298"/>
      <c r="K7" s="299"/>
      <c r="L7" s="294" t="s">
        <v>697</v>
      </c>
      <c r="M7" s="295" t="e">
        <f ca="1">F7</f>
        <v>#N/A</v>
      </c>
    </row>
    <row r="8" spans="1:37" ht="18" customHeight="1">
      <c r="A8" s="296"/>
      <c r="B8" s="3379"/>
      <c r="C8" s="298"/>
      <c r="D8" s="299"/>
      <c r="E8" s="294" t="s">
        <v>698</v>
      </c>
      <c r="F8" s="295" t="e">
        <f ca="1">INDIRECT("'数据-取费表'!ai"&amp;$G$1)</f>
        <v>#N/A</v>
      </c>
      <c r="G8" s="1292"/>
      <c r="H8" s="296"/>
      <c r="I8" s="3379"/>
      <c r="J8" s="298"/>
      <c r="K8" s="299"/>
      <c r="L8" s="294" t="s">
        <v>698</v>
      </c>
      <c r="M8" s="295" t="e">
        <f ca="1">INDIRECT("'数据-取费表'!ai"&amp;$G$1)</f>
        <v>#N/A</v>
      </c>
    </row>
    <row r="9" spans="1:37" ht="18" customHeight="1">
      <c r="A9" s="296"/>
      <c r="B9" s="3380"/>
      <c r="C9" s="298"/>
      <c r="D9" s="299"/>
      <c r="E9" s="294" t="s">
        <v>699</v>
      </c>
      <c r="F9" s="304" t="e">
        <f ca="1">INDIRECT("'数据-取费表'!w"&amp;$G$1)</f>
        <v>#N/A</v>
      </c>
      <c r="G9" s="1292"/>
      <c r="H9" s="296"/>
      <c r="I9" s="3380"/>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3460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40" t="e">
        <f ca="1">ROUND(IF(AND(项目基本情况!B11="自然人",项目基本情况!B10="北京市"),J6*M17/(1+'数据-取费表'!C42),J18+J19+J20),2)</f>
        <v>#N/A</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3335</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#N/A</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e">
        <f ca="1">IF(项目基本情况!B11="自然人","——",ROUND(F34*F35/10000,2))</f>
        <v>#N/A</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t="e">
        <f ca="1">INDIRECT("'数据-取费表'!r"&amp;$G$1)</f>
        <v>#N/A</v>
      </c>
      <c r="G35" s="1292"/>
      <c r="H35" s="2471"/>
      <c r="I35" s="1305"/>
      <c r="J35" s="1306"/>
      <c r="K35" s="2475"/>
      <c r="L35" s="2474"/>
      <c r="M35" s="2474"/>
    </row>
    <row r="36" spans="1:18" ht="18" customHeight="1">
      <c r="A36" s="1039" t="s">
        <v>402</v>
      </c>
      <c r="B36" s="294" t="s">
        <v>738</v>
      </c>
      <c r="C36" s="21" t="e">
        <f ca="1">ROUND(C29*F36,2)</f>
        <v>#N/A</v>
      </c>
      <c r="D36" s="1256" t="s">
        <v>771</v>
      </c>
      <c r="E36" s="294" t="s">
        <v>712</v>
      </c>
      <c r="F36" s="320" t="e">
        <f ca="1">INDIRECT("'数据-取费表'!Ak"&amp;$G$1)</f>
        <v>#N/A</v>
      </c>
      <c r="G36" s="1292"/>
      <c r="H36" s="2474"/>
      <c r="I36" s="1305"/>
      <c r="J36" s="1306"/>
      <c r="K36" s="2331"/>
      <c r="L36" s="2474"/>
      <c r="M36" s="2474"/>
    </row>
    <row r="37" spans="1:18" ht="18" customHeight="1">
      <c r="A37" s="928" t="s">
        <v>437</v>
      </c>
      <c r="B37" s="294" t="s">
        <v>742</v>
      </c>
      <c r="C37" s="21" t="e">
        <f ca="1">ROUND(C13*F37,2)</f>
        <v>#N/A</v>
      </c>
      <c r="D37" s="1256" t="s">
        <v>743</v>
      </c>
      <c r="E37" s="294" t="s">
        <v>712</v>
      </c>
      <c r="F37" s="321" t="e">
        <f ca="1">INDIRECT("'数据-取费表'!Al"&amp;$G$1)</f>
        <v>#N/A</v>
      </c>
      <c r="G37" s="1292"/>
      <c r="H37" s="2474"/>
      <c r="I37" s="1305"/>
      <c r="J37" s="1306"/>
      <c r="K37" s="2331"/>
      <c r="L37" s="2474"/>
      <c r="M37" s="2474"/>
    </row>
    <row r="38" spans="1:18" ht="18" customHeight="1" thickBot="1">
      <c r="A38" s="1026" t="s">
        <v>683</v>
      </c>
      <c r="B38" s="1027" t="s">
        <v>728</v>
      </c>
      <c r="C38" s="1028" t="e">
        <f ca="1">ROUND(C5*F38,2)</f>
        <v>#N/A</v>
      </c>
      <c r="D38" s="1029" t="s">
        <v>748</v>
      </c>
      <c r="E38" s="1027" t="s">
        <v>712</v>
      </c>
      <c r="F38" s="1023" t="e">
        <f ca="1">INDIRECT("'数据-取费表'!Am"&amp;$G$1)</f>
        <v>#N/A</v>
      </c>
      <c r="G38" s="1292"/>
      <c r="H38" s="2474"/>
      <c r="I38" s="1305"/>
      <c r="J38" s="1306"/>
      <c r="K38" s="2472"/>
      <c r="L38" s="2474"/>
      <c r="M38" s="2474"/>
    </row>
    <row r="39" spans="1:18" ht="24.6" customHeight="1" thickTop="1">
      <c r="A39" s="1016" t="s">
        <v>394</v>
      </c>
      <c r="B39" s="1031" t="s">
        <v>752</v>
      </c>
      <c r="C39" s="302" t="e">
        <f ca="1">C5-C30</f>
        <v>#N/A</v>
      </c>
      <c r="D39" s="1032" t="s">
        <v>753</v>
      </c>
      <c r="E39" s="1033"/>
      <c r="F39" s="1034"/>
      <c r="G39" s="1292"/>
      <c r="H39" s="2474"/>
      <c r="I39" s="1305"/>
      <c r="J39" s="1306"/>
      <c r="K39" s="2472"/>
      <c r="L39" s="2474"/>
      <c r="M39" s="2474"/>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2"/>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1"/>
      <c r="L41" s="121"/>
      <c r="M41" s="121"/>
    </row>
    <row r="42" spans="1:18" ht="18" customHeight="1">
      <c r="A42" s="300"/>
      <c r="B42" s="301"/>
      <c r="C42" s="302"/>
      <c r="D42" s="319"/>
      <c r="E42" s="294" t="s">
        <v>766</v>
      </c>
      <c r="F42" s="304" t="e">
        <f ca="1">INDIRECT("'数据-取费表'!v"&amp;$G$1)</f>
        <v>#N/A</v>
      </c>
      <c r="G42" s="1292"/>
      <c r="H42" s="121"/>
      <c r="I42" s="1305"/>
      <c r="J42" s="1306"/>
      <c r="K42" s="2331"/>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3461</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3462</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2024</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59</v>
      </c>
      <c r="K51" s="1339" t="s">
        <v>830</v>
      </c>
      <c r="L51" s="1340" t="e">
        <f ca="1">ROUND(-PV(INDIRECT("'数据-取费表'!h"&amp;$G$1),J51,(C39-C13*C76),0),0)</f>
        <v>#N/A</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t="e">
        <f ca="1">IF(M47="住宅",IF(D1="——",MAX(J51,L48),MAX(J51,L48-'数据-取费表'!B24)),IF(D1="——",MIN(J51,L48),MIN(J51,L48-'数据-取费表'!B24)))</f>
        <v>#N/A</v>
      </c>
      <c r="K53" s="3376" t="s">
        <v>837</v>
      </c>
      <c r="L53" s="3377"/>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3463</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#N/A</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3335</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disablePrompts="1" count="9">
    <dataValidation type="list" allowBlank="1" showInputMessage="1" showErrorMessage="1" sqref="D1" xr:uid="{A219B6BE-335C-4B03-AC01-C0DCB1DA7CF6}">
      <formula1>"在建（套用方法）,土地（套用方法）,——"</formula1>
    </dataValidation>
    <dataValidation type="list" allowBlank="1" showInputMessage="1" showErrorMessage="1" sqref="M10 F10 F53" xr:uid="{7E830382-79AA-440C-8105-3B8258A2BCAF}">
      <formula1>"押一,押二,押三,自定义"</formula1>
    </dataValidation>
    <dataValidation type="list" allowBlank="1" showInputMessage="1" showErrorMessage="1" sqref="L55" xr:uid="{1D0D4D79-5182-4341-9C08-5FC728427253}">
      <formula1>"比较法,基准地价,收益还原"</formula1>
    </dataValidation>
    <dataValidation type="list" allowBlank="1" showInputMessage="1" showErrorMessage="1" sqref="J56" xr:uid="{0FF365D4-232C-4339-AC13-3E41AC51B027}">
      <formula1>估价范围判定</formula1>
    </dataValidation>
    <dataValidation type="list" allowBlank="1" showInputMessage="1" showErrorMessage="1" sqref="J48" xr:uid="{A14BF933-FD54-445E-A473-BD529C0B2EC1}">
      <formula1>"非生产用房,生产用房,受腐蚀的生产用房"</formula1>
    </dataValidation>
    <dataValidation type="list" allowBlank="1" showInputMessage="1" showErrorMessage="1" sqref="J47" xr:uid="{8B44E52D-7D19-4B24-8AC7-4036D080B918}">
      <formula1>"钢,钢混,砖混"</formula1>
    </dataValidation>
    <dataValidation type="list" allowBlank="1" showInputMessage="1" showErrorMessage="1" sqref="C1" xr:uid="{F8F46291-F2E1-4CF1-9195-1B267E8A964B}">
      <formula1>项目类型</formula1>
    </dataValidation>
    <dataValidation type="list" allowBlank="1" showInputMessage="1" showErrorMessage="1" sqref="D33 D61" xr:uid="{22AA83E0-4DA5-4702-84C3-F14E920B6B95}">
      <formula1>"按租金收入计税,按房产原值计税,按票据"</formula1>
    </dataValidation>
    <dataValidation type="list" allowBlank="1" showInputMessage="1" showErrorMessage="1" sqref="K19" xr:uid="{85A7A1E6-14EE-4B46-88D9-3047C27FB7F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119497</v>
      </c>
      <c r="C2" s="1729" t="s">
        <v>1651</v>
      </c>
      <c r="D2" s="1730" t="s">
        <v>1652</v>
      </c>
      <c r="E2" s="2393">
        <f>SUM(E6:E13)</f>
        <v>162980.66999999998</v>
      </c>
      <c r="F2" s="2480"/>
      <c r="G2" s="459"/>
      <c r="H2" s="459"/>
      <c r="I2" s="459"/>
      <c r="J2" s="459"/>
      <c r="K2" s="459"/>
      <c r="L2" s="459"/>
      <c r="M2" s="459"/>
      <c r="N2" s="459"/>
      <c r="O2" s="459"/>
      <c r="P2" s="459"/>
      <c r="Q2" s="459"/>
      <c r="R2" s="459"/>
      <c r="S2" s="459"/>
    </row>
    <row r="3" spans="1:22" ht="15.75">
      <c r="A3" s="1728" t="s">
        <v>686</v>
      </c>
      <c r="B3" s="2387">
        <f ca="1">ROUND(B2*10000/E2,0)</f>
        <v>7332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0" t="s">
        <v>1654</v>
      </c>
      <c r="C5" s="3401"/>
      <c r="D5" s="2481"/>
      <c r="E5" s="1731" t="s">
        <v>1655</v>
      </c>
      <c r="F5" s="129" t="s">
        <v>1656</v>
      </c>
      <c r="G5" s="459"/>
      <c r="H5" s="459"/>
      <c r="I5" s="459"/>
      <c r="J5" s="459"/>
      <c r="K5" s="459"/>
      <c r="L5" s="459"/>
      <c r="M5" s="459"/>
      <c r="N5" s="459"/>
      <c r="O5" s="459"/>
      <c r="P5" s="459"/>
      <c r="Q5" s="459"/>
      <c r="R5" s="459"/>
      <c r="S5" s="459"/>
    </row>
    <row r="6" spans="1:22">
      <c r="A6" s="2390" t="str">
        <f>'数据-取费表'!AN6</f>
        <v>商业收益法</v>
      </c>
      <c r="B6" s="2388">
        <f ca="1">IF(F6="是",'数据-取费表'!AO6,0)</f>
        <v>119497</v>
      </c>
      <c r="C6" s="1729" t="s">
        <v>1651</v>
      </c>
      <c r="D6" s="2480"/>
      <c r="E6" s="2392">
        <f>IF(OR(A6=0,F6="否"),0,'数据-取费表'!K6+'数据-取费表'!S6)</f>
        <v>162980.66999999998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162980.66999999998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0" t="s">
        <v>1667</v>
      </c>
      <c r="D4" s="3421"/>
      <c r="E4" s="3422" t="s">
        <v>1668</v>
      </c>
      <c r="F4" s="3423"/>
      <c r="G4" s="3420" t="s">
        <v>1669</v>
      </c>
      <c r="H4" s="3421"/>
      <c r="I4" s="3420" t="s">
        <v>1670</v>
      </c>
      <c r="J4" s="3421"/>
      <c r="K4" s="1744" t="s">
        <v>1671</v>
      </c>
      <c r="L4" s="2487"/>
      <c r="M4" s="2488"/>
      <c r="N4" s="2488"/>
      <c r="O4" s="2488"/>
      <c r="P4" s="3424" t="s">
        <v>1672</v>
      </c>
      <c r="Q4" s="3425"/>
      <c r="R4" s="3430" t="s">
        <v>1668</v>
      </c>
      <c r="S4" s="3431"/>
      <c r="T4" s="3430" t="s">
        <v>1669</v>
      </c>
      <c r="U4" s="3431"/>
      <c r="V4" s="3406" t="s">
        <v>1670</v>
      </c>
      <c r="W4" s="3406"/>
      <c r="X4" s="1265"/>
      <c r="Y4" s="3430" t="s">
        <v>1672</v>
      </c>
      <c r="Z4" s="3431"/>
      <c r="AA4" s="3417" t="s">
        <v>1668</v>
      </c>
      <c r="AB4" s="3417" t="s">
        <v>1669</v>
      </c>
      <c r="AC4" s="3417" t="s">
        <v>1670</v>
      </c>
    </row>
    <row r="5" spans="1:29" ht="15">
      <c r="A5" s="348"/>
      <c r="B5" s="349"/>
      <c r="C5" s="3438" t="s">
        <v>1673</v>
      </c>
      <c r="D5" s="3439"/>
      <c r="E5" s="3445" t="s">
        <v>1674</v>
      </c>
      <c r="F5" s="3446"/>
      <c r="G5" s="3438" t="s">
        <v>1675</v>
      </c>
      <c r="H5" s="3439"/>
      <c r="I5" s="3438" t="s">
        <v>1676</v>
      </c>
      <c r="J5" s="3439"/>
      <c r="K5" s="1745"/>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1745"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45876</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40" t="s">
        <v>1680</v>
      </c>
      <c r="Q7" s="3442"/>
      <c r="R7" s="664" t="s">
        <v>20</v>
      </c>
      <c r="S7" s="665">
        <f t="shared" ref="S7:S15" si="0">F7</f>
        <v>0</v>
      </c>
      <c r="T7" s="664" t="s">
        <v>20</v>
      </c>
      <c r="U7" s="665">
        <f t="shared" ref="U7:U15" si="1">H7</f>
        <v>0</v>
      </c>
      <c r="V7" s="664" t="s">
        <v>20</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40" t="s">
        <v>1683</v>
      </c>
      <c r="Q8" s="3441"/>
      <c r="R8" s="664" t="s">
        <v>20</v>
      </c>
      <c r="S8" s="665">
        <f t="shared" si="0"/>
        <v>100</v>
      </c>
      <c r="T8" s="664" t="s">
        <v>20</v>
      </c>
      <c r="U8" s="665">
        <f t="shared" si="1"/>
        <v>100</v>
      </c>
      <c r="V8" s="664" t="s">
        <v>20</v>
      </c>
      <c r="W8" s="665">
        <f t="shared" si="2"/>
        <v>100</v>
      </c>
      <c r="X8" s="666"/>
      <c r="Y8" s="3440" t="s">
        <v>1683</v>
      </c>
      <c r="Z8" s="344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6"/>
      <c r="Q11" s="530" t="str">
        <f t="shared" si="6"/>
        <v>容积率</v>
      </c>
      <c r="R11" s="664" t="s">
        <v>18</v>
      </c>
      <c r="S11" s="665" t="e">
        <f t="shared" si="0"/>
        <v>#N/A</v>
      </c>
      <c r="T11" s="664" t="s">
        <v>18</v>
      </c>
      <c r="U11" s="665" t="e">
        <f t="shared" si="1"/>
        <v>#N/A</v>
      </c>
      <c r="V11" s="664" t="s">
        <v>18</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6"/>
      <c r="Q12" s="530">
        <f t="shared" si="6"/>
        <v>111</v>
      </c>
      <c r="R12" s="664" t="s">
        <v>18</v>
      </c>
      <c r="S12" s="665">
        <f t="shared" si="0"/>
        <v>100</v>
      </c>
      <c r="T12" s="664" t="s">
        <v>18</v>
      </c>
      <c r="U12" s="665">
        <f t="shared" si="1"/>
        <v>100</v>
      </c>
      <c r="V12" s="664" t="s">
        <v>18</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6"/>
      <c r="Q13" s="530">
        <f t="shared" si="6"/>
        <v>111</v>
      </c>
      <c r="R13" s="664" t="s">
        <v>18</v>
      </c>
      <c r="S13" s="665">
        <f t="shared" si="0"/>
        <v>100</v>
      </c>
      <c r="T13" s="664" t="s">
        <v>18</v>
      </c>
      <c r="U13" s="665">
        <f t="shared" si="1"/>
        <v>100</v>
      </c>
      <c r="V13" s="664" t="s">
        <v>18</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6"/>
      <c r="Q14" s="530">
        <f t="shared" si="6"/>
        <v>111</v>
      </c>
      <c r="R14" s="664" t="s">
        <v>18</v>
      </c>
      <c r="S14" s="665">
        <f t="shared" si="0"/>
        <v>100</v>
      </c>
      <c r="T14" s="664" t="s">
        <v>18</v>
      </c>
      <c r="U14" s="665">
        <f t="shared" si="1"/>
        <v>100</v>
      </c>
      <c r="V14" s="664" t="s">
        <v>18</v>
      </c>
      <c r="W14" s="665">
        <f t="shared" si="2"/>
        <v>100</v>
      </c>
      <c r="X14" s="666"/>
      <c r="Y14" s="328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5"/>
      <c r="Q16" s="1263"/>
      <c r="R16" s="667"/>
      <c r="S16" s="668"/>
      <c r="T16" s="667"/>
      <c r="U16" s="668"/>
      <c r="V16" s="667"/>
      <c r="W16" s="668"/>
      <c r="X16" s="1265"/>
      <c r="Y16" s="340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5"/>
      <c r="Q18" s="1263"/>
      <c r="R18" s="667"/>
      <c r="S18" s="668"/>
      <c r="T18" s="667"/>
      <c r="U18" s="668"/>
      <c r="V18" s="667"/>
      <c r="W18" s="668"/>
      <c r="X18" s="1265"/>
      <c r="Y18" s="340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5"/>
      <c r="Q20" s="1263"/>
      <c r="R20" s="667"/>
      <c r="S20" s="668"/>
      <c r="T20" s="667"/>
      <c r="U20" s="668"/>
      <c r="V20" s="667"/>
      <c r="W20" s="668"/>
      <c r="X20" s="1265"/>
      <c r="Y20" s="340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5"/>
      <c r="Q22" s="1263"/>
      <c r="R22" s="667"/>
      <c r="S22" s="668"/>
      <c r="T22" s="667"/>
      <c r="U22" s="668"/>
      <c r="V22" s="667"/>
      <c r="W22" s="668"/>
      <c r="X22" s="1265"/>
      <c r="Y22" s="340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5"/>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162980.66999999998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06"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06"/>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06"/>
      <c r="AC6" s="3419"/>
    </row>
    <row r="7" spans="1:29" s="102" customFormat="1" ht="15.75" thickBot="1">
      <c r="A7" s="352" t="s">
        <v>1679</v>
      </c>
      <c r="B7" s="353"/>
      <c r="C7" s="354">
        <f>'数据-取费表'!B2</f>
        <v>45876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6"/>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6"/>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5"/>
      <c r="Q16" s="1263"/>
      <c r="R16" s="667"/>
      <c r="S16" s="668"/>
      <c r="T16" s="667"/>
      <c r="U16" s="668"/>
      <c r="V16" s="667"/>
      <c r="W16" s="668"/>
      <c r="X16" s="1265"/>
      <c r="Y16" s="340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5"/>
      <c r="Q18" s="1263"/>
      <c r="R18" s="667"/>
      <c r="S18" s="668"/>
      <c r="T18" s="667"/>
      <c r="U18" s="668"/>
      <c r="V18" s="667"/>
      <c r="W18" s="668"/>
      <c r="X18" s="1265"/>
      <c r="Y18" s="340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5"/>
      <c r="Q20" s="1263"/>
      <c r="R20" s="667"/>
      <c r="S20" s="668"/>
      <c r="T20" s="667"/>
      <c r="U20" s="668"/>
      <c r="V20" s="667"/>
      <c r="W20" s="668"/>
      <c r="X20" s="1265"/>
      <c r="Y20" s="340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5"/>
      <c r="Q22" s="1263"/>
      <c r="R22" s="667"/>
      <c r="S22" s="668"/>
      <c r="T22" s="667"/>
      <c r="U22" s="668"/>
      <c r="V22" s="667"/>
      <c r="W22" s="668"/>
      <c r="X22" s="1265"/>
      <c r="Y22" s="340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5"/>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估价对象为北京市房地产，为所有。根据《国有土地使用证》[]，估价对象（分摊）出让国有建设用地使用权面积为46654.62平方米，建筑面积为162980.67平方米。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估价对象为北京市房地产,属开发建设的，该项目尚在开发建设中。根据《国有土地使用证》[]，估价对象（分摊）出让国有建设用地使用权面积为46654.62平方米，规划建筑面积为162980.67平方米。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2025年8月7日（评估专业人员实地查勘之日）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162980.66999999998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53" t="s">
        <v>1775</v>
      </c>
      <c r="Q4" s="3454"/>
      <c r="R4" s="3457" t="s">
        <v>1771</v>
      </c>
      <c r="S4" s="3458"/>
      <c r="T4" s="3457" t="s">
        <v>1772</v>
      </c>
      <c r="U4" s="3458"/>
      <c r="V4" s="3459" t="s">
        <v>1773</v>
      </c>
      <c r="W4" s="3459"/>
      <c r="X4" s="1809"/>
      <c r="Y4" s="3457" t="s">
        <v>1775</v>
      </c>
      <c r="Z4" s="3458"/>
      <c r="AA4" s="3461" t="s">
        <v>1771</v>
      </c>
      <c r="AB4" s="3461" t="s">
        <v>1772</v>
      </c>
      <c r="AC4" s="3450" t="s">
        <v>1773</v>
      </c>
    </row>
    <row r="5" spans="1:29" ht="15">
      <c r="A5" s="348"/>
      <c r="B5" s="349"/>
      <c r="C5" s="3438" t="s">
        <v>1673</v>
      </c>
      <c r="D5" s="3439"/>
      <c r="E5" s="3445" t="s">
        <v>1674</v>
      </c>
      <c r="F5" s="3446"/>
      <c r="G5" s="3438" t="s">
        <v>1675</v>
      </c>
      <c r="H5" s="3439"/>
      <c r="I5" s="3438" t="s">
        <v>1676</v>
      </c>
      <c r="J5" s="3439"/>
      <c r="K5" s="537"/>
      <c r="L5" s="2487"/>
      <c r="M5" s="2488"/>
      <c r="N5" s="2488"/>
      <c r="O5" s="2488"/>
      <c r="P5" s="3455"/>
      <c r="Q5" s="3427"/>
      <c r="R5" s="3432"/>
      <c r="S5" s="3433"/>
      <c r="T5" s="3432"/>
      <c r="U5" s="3433"/>
      <c r="V5" s="3406"/>
      <c r="W5" s="3406"/>
      <c r="X5" s="1265"/>
      <c r="Y5" s="3432"/>
      <c r="Z5" s="3433"/>
      <c r="AA5" s="3418"/>
      <c r="AB5" s="3418"/>
      <c r="AC5" s="3451"/>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56"/>
      <c r="Q6" s="3429"/>
      <c r="R6" s="3432"/>
      <c r="S6" s="3433"/>
      <c r="T6" s="3434"/>
      <c r="U6" s="3435"/>
      <c r="V6" s="3406"/>
      <c r="W6" s="3406"/>
      <c r="X6" s="1265"/>
      <c r="Y6" s="3434"/>
      <c r="Z6" s="3435"/>
      <c r="AA6" s="3419"/>
      <c r="AB6" s="3419"/>
      <c r="AC6" s="3452"/>
    </row>
    <row r="7" spans="1:29" s="102" customFormat="1" ht="15.75" thickBot="1">
      <c r="A7" s="352" t="s">
        <v>1679</v>
      </c>
      <c r="B7" s="353"/>
      <c r="C7" s="354">
        <f>'数据-取费表'!B2</f>
        <v>45876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0" t="s">
        <v>1683</v>
      </c>
      <c r="Q8" s="3441"/>
      <c r="R8" s="664" t="s">
        <v>14</v>
      </c>
      <c r="S8" s="665">
        <f t="shared" si="0"/>
        <v>100</v>
      </c>
      <c r="T8" s="664" t="s">
        <v>14</v>
      </c>
      <c r="U8" s="665">
        <f t="shared" si="1"/>
        <v>100</v>
      </c>
      <c r="V8" s="664" t="s">
        <v>14</v>
      </c>
      <c r="W8" s="665">
        <f t="shared" si="2"/>
        <v>100</v>
      </c>
      <c r="X8" s="666"/>
      <c r="Y8" s="3440" t="s">
        <v>1683</v>
      </c>
      <c r="Z8" s="344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16"/>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6"/>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16"/>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6"/>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6"/>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4"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5"/>
      <c r="Q16" s="1263"/>
      <c r="R16" s="667"/>
      <c r="S16" s="668"/>
      <c r="T16" s="667"/>
      <c r="U16" s="668"/>
      <c r="V16" s="667"/>
      <c r="W16" s="668"/>
      <c r="X16" s="1265"/>
      <c r="Y16" s="340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5"/>
      <c r="Q18" s="1263"/>
      <c r="R18" s="667"/>
      <c r="S18" s="668"/>
      <c r="T18" s="667"/>
      <c r="U18" s="668"/>
      <c r="V18" s="667"/>
      <c r="W18" s="668"/>
      <c r="X18" s="1265"/>
      <c r="Y18" s="340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5"/>
      <c r="Q20" s="1263"/>
      <c r="R20" s="667"/>
      <c r="S20" s="668"/>
      <c r="T20" s="667"/>
      <c r="U20" s="668"/>
      <c r="V20" s="667"/>
      <c r="W20" s="668"/>
      <c r="X20" s="1265"/>
      <c r="Y20" s="340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5"/>
      <c r="Q22" s="1263"/>
      <c r="R22" s="667"/>
      <c r="S22" s="668"/>
      <c r="T22" s="667"/>
      <c r="U22" s="668"/>
      <c r="V22" s="667"/>
      <c r="W22" s="668"/>
      <c r="X22" s="1265"/>
      <c r="Y22" s="340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5"/>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5"/>
      <c r="Q24" s="1263"/>
      <c r="R24" s="667"/>
      <c r="S24" s="668"/>
      <c r="T24" s="667"/>
      <c r="U24" s="668"/>
      <c r="V24" s="667"/>
      <c r="W24" s="668"/>
      <c r="X24" s="1265"/>
      <c r="Y24" s="340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5"/>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5"/>
      <c r="Q26" s="1263"/>
      <c r="R26" s="667"/>
      <c r="S26" s="668"/>
      <c r="T26" s="667"/>
      <c r="U26" s="668"/>
      <c r="V26" s="667"/>
      <c r="W26" s="668"/>
      <c r="X26" s="1265"/>
      <c r="Y26" s="340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5"/>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5"/>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5"/>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5"/>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0"/>
      <c r="Q34" s="531" t="str">
        <f t="shared" si="11"/>
        <v>项目建筑规模</v>
      </c>
      <c r="R34" s="669" t="s">
        <v>14</v>
      </c>
      <c r="S34" s="670" t="e">
        <f t="shared" si="12"/>
        <v>#N/A</v>
      </c>
      <c r="T34" s="669" t="s">
        <v>14</v>
      </c>
      <c r="U34" s="670" t="e">
        <f t="shared" si="13"/>
        <v>#N/A</v>
      </c>
      <c r="V34" s="669" t="s">
        <v>14</v>
      </c>
      <c r="W34" s="670" t="e">
        <f t="shared" si="14"/>
        <v>#N/A</v>
      </c>
      <c r="X34" s="671"/>
      <c r="Y34" s="341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0"/>
      <c r="Q37" s="1263" t="str">
        <f t="shared" si="11"/>
        <v>成新度</v>
      </c>
      <c r="R37" s="667" t="s">
        <v>14</v>
      </c>
      <c r="S37" s="668" t="e">
        <f t="shared" si="12"/>
        <v>#N/A</v>
      </c>
      <c r="T37" s="667" t="s">
        <v>14</v>
      </c>
      <c r="U37" s="668" t="e">
        <f t="shared" si="13"/>
        <v>#N/A</v>
      </c>
      <c r="V37" s="667" t="s">
        <v>14</v>
      </c>
      <c r="W37" s="668" t="e">
        <f t="shared" si="14"/>
        <v>#N/A</v>
      </c>
      <c r="X37" s="1265"/>
      <c r="Y37" s="341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16" t="str">
        <f>A48</f>
        <v>成交单价（元/平方米）</v>
      </c>
      <c r="Q48" s="3405"/>
      <c r="R48" s="3406">
        <f>E48</f>
        <v>0</v>
      </c>
      <c r="S48" s="3406"/>
      <c r="T48" s="3406">
        <f>G48</f>
        <v>0</v>
      </c>
      <c r="U48" s="3406"/>
      <c r="V48" s="3406">
        <f>I48</f>
        <v>0</v>
      </c>
      <c r="W48" s="340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162980.66999999998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860"/>
      <c r="M5" s="861"/>
      <c r="N5" s="861"/>
      <c r="O5" s="861"/>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860"/>
      <c r="M6" s="861"/>
      <c r="N6" s="861"/>
      <c r="O6" s="861"/>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45876</v>
      </c>
      <c r="D7" s="355">
        <v>100</v>
      </c>
      <c r="E7" s="356"/>
      <c r="F7" s="357">
        <f>SUMIF(52:52,YEAR(E7)&amp;"-"&amp;MONTH(E7),53:53)</f>
        <v>0</v>
      </c>
      <c r="G7" s="356"/>
      <c r="H7" s="355">
        <f>SUMIF(52:52,YEAR(G7)&amp;"-"&amp;MONTH(G7),53:53)</f>
        <v>0</v>
      </c>
      <c r="I7" s="356"/>
      <c r="J7" s="355">
        <f>SUMIF(52:52,YEAR(I7)&amp;"-"&amp;MONTH(I7),53:53)</f>
        <v>0</v>
      </c>
      <c r="K7" s="38"/>
      <c r="L7" s="862"/>
      <c r="M7" s="863"/>
      <c r="N7" s="863"/>
      <c r="O7" s="863"/>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0" t="s">
        <v>1683</v>
      </c>
      <c r="Q8" s="3441"/>
      <c r="R8" s="664" t="s">
        <v>14</v>
      </c>
      <c r="S8" s="665">
        <f t="shared" si="0"/>
        <v>100</v>
      </c>
      <c r="T8" s="664" t="s">
        <v>14</v>
      </c>
      <c r="U8" s="665">
        <f t="shared" si="1"/>
        <v>100</v>
      </c>
      <c r="V8" s="664" t="s">
        <v>14</v>
      </c>
      <c r="W8" s="665">
        <f t="shared" si="2"/>
        <v>100</v>
      </c>
      <c r="X8" s="666"/>
      <c r="Y8" s="3440" t="s">
        <v>1683</v>
      </c>
      <c r="Z8" s="344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2"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6">
        <f>E41</f>
        <v>0</v>
      </c>
      <c r="S41" s="3406"/>
      <c r="T41" s="3406">
        <f>G41</f>
        <v>0</v>
      </c>
      <c r="U41" s="3406"/>
      <c r="V41" s="3406">
        <f>I41</f>
        <v>0</v>
      </c>
      <c r="W41" s="340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45876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5" t="s">
        <v>1686</v>
      </c>
      <c r="Q9" s="530" t="str">
        <f t="shared" ref="Q9:Q14" si="6">B9</f>
        <v>用途</v>
      </c>
      <c r="R9" s="664" t="s">
        <v>14</v>
      </c>
      <c r="S9" s="665">
        <f t="shared" si="0"/>
        <v>100</v>
      </c>
      <c r="T9" s="664" t="s">
        <v>14</v>
      </c>
      <c r="U9" s="665">
        <f t="shared" si="1"/>
        <v>100</v>
      </c>
      <c r="V9" s="664" t="s">
        <v>14</v>
      </c>
      <c r="W9" s="665">
        <f t="shared" si="2"/>
        <v>100</v>
      </c>
      <c r="X9" s="666"/>
      <c r="Y9" s="328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5"/>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8"/>
      <c r="Q15" s="1263"/>
      <c r="R15" s="667"/>
      <c r="S15" s="668"/>
      <c r="T15" s="667"/>
      <c r="U15" s="668"/>
      <c r="V15" s="667"/>
      <c r="W15" s="668"/>
      <c r="X15" s="1265"/>
      <c r="Y15" s="340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8"/>
      <c r="Q17" s="1263"/>
      <c r="R17" s="667"/>
      <c r="S17" s="668"/>
      <c r="T17" s="667"/>
      <c r="U17" s="668"/>
      <c r="V17" s="667"/>
      <c r="W17" s="668"/>
      <c r="X17" s="1265"/>
      <c r="Y17" s="340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8"/>
      <c r="Q19" s="1263"/>
      <c r="R19" s="667"/>
      <c r="S19" s="668"/>
      <c r="T19" s="667"/>
      <c r="U19" s="668"/>
      <c r="V19" s="667"/>
      <c r="W19" s="668"/>
      <c r="X19" s="1265"/>
      <c r="Y19" s="340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8"/>
      <c r="Q21" s="1263"/>
      <c r="R21" s="667"/>
      <c r="S21" s="668"/>
      <c r="T21" s="667"/>
      <c r="U21" s="668"/>
      <c r="V21" s="667"/>
      <c r="W21" s="668"/>
      <c r="X21" s="1265"/>
      <c r="Y21" s="340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05" t="str">
        <f>A37</f>
        <v>成交单价</v>
      </c>
      <c r="Q37" s="3405"/>
      <c r="R37" s="3406">
        <f>E37</f>
        <v>0</v>
      </c>
      <c r="S37" s="3406"/>
      <c r="T37" s="3406">
        <f>G37</f>
        <v>0</v>
      </c>
      <c r="U37" s="3406"/>
      <c r="V37" s="3406">
        <f>I37</f>
        <v>0</v>
      </c>
      <c r="W37" s="340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2" t="str">
        <f>A39</f>
        <v>估价对象XX用房的比较价值（楼面单价，元/平方米）</v>
      </c>
      <c r="Q39" s="3403"/>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45876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5" t="s">
        <v>1686</v>
      </c>
      <c r="Q9" s="530" t="str">
        <f t="shared" ref="Q9:Q14" si="6">B9</f>
        <v>用途</v>
      </c>
      <c r="R9" s="664" t="s">
        <v>14</v>
      </c>
      <c r="S9" s="665">
        <f t="shared" si="0"/>
        <v>100</v>
      </c>
      <c r="T9" s="664" t="s">
        <v>14</v>
      </c>
      <c r="U9" s="665">
        <f t="shared" si="1"/>
        <v>100</v>
      </c>
      <c r="V9" s="664" t="s">
        <v>14</v>
      </c>
      <c r="W9" s="665">
        <f t="shared" si="2"/>
        <v>100</v>
      </c>
      <c r="X9" s="666"/>
      <c r="Y9" s="328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5"/>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8"/>
      <c r="Q15" s="1263"/>
      <c r="R15" s="667"/>
      <c r="S15" s="668"/>
      <c r="T15" s="667"/>
      <c r="U15" s="668"/>
      <c r="V15" s="667"/>
      <c r="W15" s="668"/>
      <c r="X15" s="1265"/>
      <c r="Y15" s="340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8"/>
      <c r="Q17" s="1263"/>
      <c r="R17" s="667"/>
      <c r="S17" s="668"/>
      <c r="T17" s="667"/>
      <c r="U17" s="668"/>
      <c r="V17" s="667"/>
      <c r="W17" s="668"/>
      <c r="X17" s="1265"/>
      <c r="Y17" s="340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8"/>
      <c r="Q19" s="1263"/>
      <c r="R19" s="667"/>
      <c r="S19" s="668"/>
      <c r="T19" s="667"/>
      <c r="U19" s="668"/>
      <c r="V19" s="667"/>
      <c r="W19" s="668"/>
      <c r="X19" s="1265"/>
      <c r="Y19" s="340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8"/>
      <c r="Q21" s="1263"/>
      <c r="R21" s="667"/>
      <c r="S21" s="668"/>
      <c r="T21" s="667"/>
      <c r="U21" s="668"/>
      <c r="V21" s="667"/>
      <c r="W21" s="668"/>
      <c r="X21" s="1265"/>
      <c r="Y21" s="340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5" t="str">
        <f>A35</f>
        <v>成交单价（元/平方米）</v>
      </c>
      <c r="Q35" s="3405"/>
      <c r="R35" s="3406">
        <f>E35</f>
        <v>0</v>
      </c>
      <c r="S35" s="3406"/>
      <c r="T35" s="3406">
        <f>G35</f>
        <v>0</v>
      </c>
      <c r="U35" s="3406"/>
      <c r="V35" s="3406">
        <f>I35</f>
        <v>0</v>
      </c>
      <c r="W35" s="340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2" t="str">
        <f>A37</f>
        <v>估价对象XX用房的比较价值（楼面单价，元/平方米）</v>
      </c>
      <c r="Q37" s="3403"/>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36" t="s">
        <v>1677</v>
      </c>
      <c r="D6" s="3437"/>
      <c r="E6" s="3443" t="s">
        <v>1677</v>
      </c>
      <c r="F6" s="3444"/>
      <c r="G6" s="3436" t="s">
        <v>1677</v>
      </c>
      <c r="H6" s="3437"/>
      <c r="I6" s="3436" t="s">
        <v>1677</v>
      </c>
      <c r="J6" s="3437"/>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45876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102</v>
      </c>
      <c r="G10" s="402"/>
      <c r="H10" s="119">
        <f>ROUND(100/'数据-取费表'!G16,0)</f>
        <v>102</v>
      </c>
      <c r="I10" s="402"/>
      <c r="J10" s="119">
        <f>ROUND(100/'数据-取费表'!G16,0)</f>
        <v>102</v>
      </c>
      <c r="K10" s="592"/>
      <c r="L10" s="2490"/>
      <c r="M10" s="2491"/>
      <c r="N10" s="2491"/>
      <c r="O10" s="2542"/>
      <c r="P10" s="3405"/>
      <c r="Q10" s="530" t="str">
        <f t="shared" si="6"/>
        <v>土地使用年限（年）</v>
      </c>
      <c r="R10" s="664" t="s">
        <v>14</v>
      </c>
      <c r="S10" s="665">
        <f t="shared" si="0"/>
        <v>102</v>
      </c>
      <c r="T10" s="664" t="s">
        <v>14</v>
      </c>
      <c r="U10" s="665">
        <f t="shared" si="1"/>
        <v>102</v>
      </c>
      <c r="V10" s="664" t="s">
        <v>14</v>
      </c>
      <c r="W10" s="665">
        <f t="shared" si="2"/>
        <v>102</v>
      </c>
      <c r="X10" s="666"/>
      <c r="Y10" s="3280"/>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5"/>
      <c r="Q12" s="530" t="str">
        <f t="shared" si="6"/>
        <v>配建</v>
      </c>
      <c r="R12" s="664" t="s">
        <v>14</v>
      </c>
      <c r="S12" s="665">
        <f t="shared" si="0"/>
        <v>100</v>
      </c>
      <c r="T12" s="664" t="s">
        <v>14</v>
      </c>
      <c r="U12" s="665">
        <f t="shared" si="1"/>
        <v>100</v>
      </c>
      <c r="V12" s="664" t="s">
        <v>14</v>
      </c>
      <c r="W12" s="665">
        <f t="shared" si="2"/>
        <v>100</v>
      </c>
      <c r="X12" s="666"/>
      <c r="Y12" s="328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8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28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8"/>
      <c r="Q16" s="1263"/>
      <c r="R16" s="667"/>
      <c r="S16" s="668"/>
      <c r="T16" s="667"/>
      <c r="U16" s="668"/>
      <c r="V16" s="667"/>
      <c r="W16" s="668"/>
      <c r="X16" s="1265"/>
      <c r="Y16" s="340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8"/>
      <c r="Q18" s="1263"/>
      <c r="R18" s="667"/>
      <c r="S18" s="668"/>
      <c r="T18" s="667"/>
      <c r="U18" s="668"/>
      <c r="V18" s="667"/>
      <c r="W18" s="668"/>
      <c r="X18" s="1265"/>
      <c r="Y18" s="340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8"/>
      <c r="Q20" s="1263"/>
      <c r="R20" s="667"/>
      <c r="S20" s="668"/>
      <c r="T20" s="667"/>
      <c r="U20" s="668"/>
      <c r="V20" s="667"/>
      <c r="W20" s="668"/>
      <c r="X20" s="1265"/>
      <c r="Y20" s="340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8"/>
      <c r="Q22" s="1263"/>
      <c r="R22" s="667"/>
      <c r="S22" s="668"/>
      <c r="T22" s="667"/>
      <c r="U22" s="668"/>
      <c r="V22" s="667"/>
      <c r="W22" s="668"/>
      <c r="X22" s="1265"/>
      <c r="Y22" s="340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8"/>
      <c r="Q24" s="1263"/>
      <c r="R24" s="667"/>
      <c r="S24" s="668"/>
      <c r="T24" s="667"/>
      <c r="U24" s="668"/>
      <c r="V24" s="667"/>
      <c r="W24" s="668"/>
      <c r="X24" s="1265"/>
      <c r="Y24" s="340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8"/>
      <c r="Q26" s="1263"/>
      <c r="R26" s="667"/>
      <c r="S26" s="668"/>
      <c r="T26" s="667"/>
      <c r="U26" s="668"/>
      <c r="V26" s="667"/>
      <c r="W26" s="668"/>
      <c r="X26" s="1265"/>
      <c r="Y26" s="340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8"/>
      <c r="Q28" s="530"/>
      <c r="R28" s="664"/>
      <c r="S28" s="665"/>
      <c r="T28" s="664"/>
      <c r="U28" s="665"/>
      <c r="V28" s="664"/>
      <c r="W28" s="665"/>
      <c r="X28" s="666"/>
      <c r="Y28" s="340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8"/>
      <c r="Q33" s="1263"/>
      <c r="R33" s="667"/>
      <c r="S33" s="668"/>
      <c r="T33" s="667"/>
      <c r="U33" s="668"/>
      <c r="V33" s="667"/>
      <c r="W33" s="668"/>
      <c r="X33" s="1265"/>
      <c r="Y33" s="340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2"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5" t="str">
        <f>A46</f>
        <v>成交单价</v>
      </c>
      <c r="Q46" s="3405"/>
      <c r="R46" s="3406">
        <f>E46</f>
        <v>0</v>
      </c>
      <c r="S46" s="3406"/>
      <c r="T46" s="3406">
        <f>G46</f>
        <v>0</v>
      </c>
      <c r="U46" s="3406"/>
      <c r="V46" s="3406">
        <f>I46</f>
        <v>0</v>
      </c>
      <c r="W46" s="340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5" t="str">
        <f>A47</f>
        <v>比较价值（元/平方米）</v>
      </c>
      <c r="Q47" s="3405"/>
      <c r="R47" s="3464" t="e">
        <f>ROUND(PRODUCT(R46,AA7:AA45),0)</f>
        <v>#DIV/0!</v>
      </c>
      <c r="S47" s="3464"/>
      <c r="T47" s="3464" t="e">
        <f>ROUND(PRODUCT(T46,AB7:AB45),0)</f>
        <v>#DIV/0!</v>
      </c>
      <c r="U47" s="3464"/>
      <c r="V47" s="3464" t="e">
        <f>ROUND(PRODUCT(V46,AC7:AC45),0)</f>
        <v>#DIV/0!</v>
      </c>
      <c r="W47" s="346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2" t="str">
        <f>A48</f>
        <v>估价对象XX用房的比较价值（楼面单价，元/平方米）</v>
      </c>
      <c r="Q48" s="3403"/>
      <c r="R48" s="3465" t="e">
        <f>ROUND(IF(D47="简单平均",AVERAGE(R47:W47),R47*F47+T47*H47+V47*J47),0)</f>
        <v>#DIV/0!</v>
      </c>
      <c r="S48" s="3465"/>
      <c r="T48" s="3465"/>
      <c r="U48" s="3465"/>
      <c r="V48" s="3465"/>
      <c r="W48" s="346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0" t="s">
        <v>1887</v>
      </c>
      <c r="H55" s="346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88406.15</v>
      </c>
      <c r="F56" s="833" t="e">
        <f t="shared" ref="F56:F64" si="15">ROUND(B56*E56/10000,0)</f>
        <v>#DIV/0!</v>
      </c>
      <c r="G56" s="3416"/>
      <c r="H56" s="340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九级</v>
      </c>
      <c r="I57" s="838">
        <f>SUMIF(修正!A59:A70,H57,修正!B59:B70)</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九级</v>
      </c>
      <c r="I58" s="838">
        <f>SUMIF(修正!A59:A70,H58,修正!C59:C70)</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九级</v>
      </c>
      <c r="I59" s="838">
        <f>SUMIF(修正!A59:A70,H59,修正!D59:D70)</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23485</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九级</v>
      </c>
      <c r="I63" s="838">
        <f>SUMIF(修正!A59:A70,H63,修正!G59:G70)</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111891.15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0" t="s">
        <v>1770</v>
      </c>
      <c r="D4" s="3421"/>
      <c r="E4" s="3422" t="s">
        <v>1771</v>
      </c>
      <c r="F4" s="3423"/>
      <c r="G4" s="3420" t="s">
        <v>1772</v>
      </c>
      <c r="H4" s="3421"/>
      <c r="I4" s="3420" t="s">
        <v>1773</v>
      </c>
      <c r="J4" s="3421"/>
      <c r="K4" s="537" t="s">
        <v>1774</v>
      </c>
      <c r="L4" s="2487"/>
      <c r="M4" s="2488"/>
      <c r="N4" s="2488"/>
      <c r="O4" s="2488"/>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ht="15">
      <c r="A5" s="348"/>
      <c r="B5" s="349"/>
      <c r="C5" s="3438" t="s">
        <v>1673</v>
      </c>
      <c r="D5" s="3439"/>
      <c r="E5" s="3445" t="s">
        <v>1674</v>
      </c>
      <c r="F5" s="3446"/>
      <c r="G5" s="3438" t="s">
        <v>1675</v>
      </c>
      <c r="H5" s="3439"/>
      <c r="I5" s="3438" t="s">
        <v>1676</v>
      </c>
      <c r="J5" s="3439"/>
      <c r="K5" s="537"/>
      <c r="L5" s="2487"/>
      <c r="M5" s="2488"/>
      <c r="N5" s="2488"/>
      <c r="O5" s="2488"/>
      <c r="P5" s="3426"/>
      <c r="Q5" s="3427"/>
      <c r="R5" s="3432"/>
      <c r="S5" s="3433"/>
      <c r="T5" s="3432"/>
      <c r="U5" s="3433"/>
      <c r="V5" s="3406"/>
      <c r="W5" s="3406"/>
      <c r="X5" s="1265"/>
      <c r="Y5" s="3432"/>
      <c r="Z5" s="3433"/>
      <c r="AA5" s="3418"/>
      <c r="AB5" s="3418"/>
      <c r="AC5" s="3418"/>
    </row>
    <row r="6" spans="1:29" ht="15.75" thickBot="1">
      <c r="A6" s="350"/>
      <c r="B6" s="351"/>
      <c r="C6" s="3467" t="s">
        <v>1919</v>
      </c>
      <c r="D6" s="3468"/>
      <c r="E6" s="3469" t="s">
        <v>1919</v>
      </c>
      <c r="F6" s="3470"/>
      <c r="G6" s="3467" t="s">
        <v>1919</v>
      </c>
      <c r="H6" s="3468"/>
      <c r="I6" s="3467" t="s">
        <v>1919</v>
      </c>
      <c r="J6" s="3468"/>
      <c r="K6" s="537" t="s">
        <v>1678</v>
      </c>
      <c r="L6" s="2487"/>
      <c r="M6" s="2488"/>
      <c r="N6" s="2488"/>
      <c r="O6" s="2488"/>
      <c r="P6" s="3428"/>
      <c r="Q6" s="3429"/>
      <c r="R6" s="3432"/>
      <c r="S6" s="3433"/>
      <c r="T6" s="3434"/>
      <c r="U6" s="3435"/>
      <c r="V6" s="3406"/>
      <c r="W6" s="3406"/>
      <c r="X6" s="1265"/>
      <c r="Y6" s="3434"/>
      <c r="Z6" s="3435"/>
      <c r="AA6" s="3419"/>
      <c r="AB6" s="3419"/>
      <c r="AC6" s="3419"/>
    </row>
    <row r="7" spans="1:29" s="102" customFormat="1" ht="15.75" thickBot="1">
      <c r="A7" s="352" t="s">
        <v>1679</v>
      </c>
      <c r="B7" s="353"/>
      <c r="C7" s="354">
        <f>'数据-取费表'!B2</f>
        <v>45876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102</v>
      </c>
      <c r="G10" s="371"/>
      <c r="H10" s="119">
        <f>ROUND(100/'数据-取费表'!G16,0)</f>
        <v>102</v>
      </c>
      <c r="I10" s="371"/>
      <c r="J10" s="119">
        <f>ROUND(100/'数据-取费表'!G16,0)</f>
        <v>102</v>
      </c>
      <c r="K10" s="592"/>
      <c r="L10" s="2490"/>
      <c r="M10" s="2491"/>
      <c r="N10" s="2491"/>
      <c r="O10" s="2542"/>
      <c r="P10" s="3405"/>
      <c r="Q10" s="530" t="str">
        <f t="shared" si="6"/>
        <v>土地使用年限（年）</v>
      </c>
      <c r="R10" s="664" t="s">
        <v>14</v>
      </c>
      <c r="S10" s="665">
        <f t="shared" si="0"/>
        <v>102</v>
      </c>
      <c r="T10" s="664" t="s">
        <v>14</v>
      </c>
      <c r="U10" s="665">
        <f t="shared" si="1"/>
        <v>102</v>
      </c>
      <c r="V10" s="664" t="s">
        <v>14</v>
      </c>
      <c r="W10" s="665">
        <f t="shared" si="2"/>
        <v>102</v>
      </c>
      <c r="X10" s="666"/>
      <c r="Y10" s="3280"/>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8"/>
      <c r="Q16" s="1263"/>
      <c r="R16" s="667"/>
      <c r="S16" s="668"/>
      <c r="T16" s="667"/>
      <c r="U16" s="668"/>
      <c r="V16" s="667"/>
      <c r="W16" s="668"/>
      <c r="X16" s="1265"/>
      <c r="Y16" s="340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8"/>
      <c r="Q18" s="1263"/>
      <c r="R18" s="667"/>
      <c r="S18" s="668"/>
      <c r="T18" s="667"/>
      <c r="U18" s="668"/>
      <c r="V18" s="667"/>
      <c r="W18" s="668"/>
      <c r="X18" s="1265"/>
      <c r="Y18" s="340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8"/>
      <c r="Q20" s="1263"/>
      <c r="R20" s="667"/>
      <c r="S20" s="668"/>
      <c r="T20" s="667"/>
      <c r="U20" s="668"/>
      <c r="V20" s="667"/>
      <c r="W20" s="668"/>
      <c r="X20" s="1265"/>
      <c r="Y20" s="340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8"/>
      <c r="Q22" s="1263"/>
      <c r="R22" s="667"/>
      <c r="S22" s="668"/>
      <c r="T22" s="667"/>
      <c r="U22" s="668"/>
      <c r="V22" s="667"/>
      <c r="W22" s="668"/>
      <c r="X22" s="1265"/>
      <c r="Y22" s="340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8"/>
      <c r="Q24" s="530"/>
      <c r="R24" s="664"/>
      <c r="S24" s="665"/>
      <c r="T24" s="664"/>
      <c r="U24" s="665"/>
      <c r="V24" s="664"/>
      <c r="W24" s="665"/>
      <c r="X24" s="666"/>
      <c r="Y24" s="340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8"/>
      <c r="Q29" s="1263"/>
      <c r="R29" s="667"/>
      <c r="S29" s="668"/>
      <c r="T29" s="667"/>
      <c r="U29" s="668"/>
      <c r="V29" s="667"/>
      <c r="W29" s="668"/>
      <c r="X29" s="1265"/>
      <c r="Y29" s="340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2"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5" t="str">
        <f>A41</f>
        <v>成交单价</v>
      </c>
      <c r="Q41" s="3405"/>
      <c r="R41" s="3406">
        <f>E41</f>
        <v>0</v>
      </c>
      <c r="S41" s="3406"/>
      <c r="T41" s="3406">
        <f>G41</f>
        <v>0</v>
      </c>
      <c r="U41" s="3406"/>
      <c r="V41" s="3406">
        <f>I41</f>
        <v>0</v>
      </c>
      <c r="W41" s="340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5" t="str">
        <f>A42</f>
        <v>比较价值（元/平方米）</v>
      </c>
      <c r="Q42" s="3405"/>
      <c r="R42" s="3464" t="e">
        <f>ROUND(PRODUCT(R41,AA7:AA40),0)</f>
        <v>#DIV/0!</v>
      </c>
      <c r="S42" s="3464"/>
      <c r="T42" s="3464" t="e">
        <f>ROUND(PRODUCT(T41,AB7:AB40),0)</f>
        <v>#DIV/0!</v>
      </c>
      <c r="U42" s="3464"/>
      <c r="V42" s="3464" t="e">
        <f>ROUND(PRODUCT(V41,AC7:AC40),0)</f>
        <v>#DIV/0!</v>
      </c>
      <c r="W42" s="346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2" t="str">
        <f>A43</f>
        <v>估价对象XX用房的比较价值（楼面单价，元/平方米）</v>
      </c>
      <c r="Q43" s="3403"/>
      <c r="R43" s="3465" t="e">
        <f>ROUND(IF(D42="简单平均",AVERAGE(R42:W42),R42*F42+T42*H42+V42*J42),0)</f>
        <v>#DIV/0!</v>
      </c>
      <c r="S43" s="3465"/>
      <c r="T43" s="3465"/>
      <c r="U43" s="3465"/>
      <c r="V43" s="3465"/>
      <c r="W43" s="346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0" t="s">
        <v>1887</v>
      </c>
      <c r="H50" s="346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88406.15</v>
      </c>
      <c r="F51" s="611" t="e">
        <f t="shared" ref="F51:F60" si="15">ROUND(B51*E51/10000,0)</f>
        <v>#DIV/0!</v>
      </c>
      <c r="G51" s="3416"/>
      <c r="H51" s="340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九级</v>
      </c>
      <c r="I52" s="727">
        <f>SUMIF(修正!A59:A70,H52,修正!B59:B70)</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九级</v>
      </c>
      <c r="I53" s="727">
        <f>SUMIF(修正!A59:A70,H53,修正!C59:C70)</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九级</v>
      </c>
      <c r="I54" s="727">
        <f>SUMIF(修正!A59:A70,H54,修正!D59:D70)</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23485</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九级</v>
      </c>
      <c r="I59" s="727">
        <f>SUMIF(修正!A59:A70,H59,修正!G59:G70)</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46654.62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4" t="s">
        <v>2084</v>
      </c>
      <c r="D1" s="3475"/>
      <c r="E1" s="3475"/>
      <c r="F1" s="3475"/>
      <c r="G1" s="3475"/>
      <c r="H1" s="3475"/>
      <c r="I1" s="3475"/>
      <c r="J1" s="3475"/>
      <c r="K1" s="3475"/>
      <c r="L1" s="3475"/>
      <c r="M1" s="3475"/>
      <c r="N1" s="3475"/>
      <c r="O1" s="3475"/>
      <c r="P1" s="3475"/>
      <c r="Q1" s="3475"/>
      <c r="R1" s="3475"/>
      <c r="S1" s="347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1" t="s">
        <v>27</v>
      </c>
      <c r="D22" s="3472"/>
      <c r="E22" s="3472"/>
      <c r="F22" s="3472"/>
      <c r="G22" s="3472"/>
      <c r="H22" s="3472"/>
      <c r="I22" s="3472"/>
      <c r="J22" s="3472"/>
      <c r="K22" s="3472"/>
      <c r="L22" s="3472"/>
      <c r="M22" s="3472"/>
      <c r="N22" s="3472"/>
      <c r="O22" s="3472"/>
      <c r="P22" s="3472"/>
      <c r="Q22" s="34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63307</v>
      </c>
      <c r="C2" s="1984" t="s">
        <v>2074</v>
      </c>
      <c r="D2" s="1984" t="s">
        <v>2075</v>
      </c>
      <c r="E2" s="2398">
        <f ca="1">SUMIF(E6:E13,"&lt;&gt;#ref!",E6:E13)</f>
        <v>131891.15</v>
      </c>
      <c r="F2" s="2545"/>
      <c r="G2" s="2545"/>
      <c r="H2" s="2545"/>
      <c r="I2" s="2545"/>
      <c r="J2" s="2545"/>
      <c r="K2" s="2545"/>
      <c r="L2" s="2545"/>
      <c r="M2" s="2545"/>
      <c r="N2" s="2545"/>
      <c r="O2" s="2545"/>
      <c r="P2" s="2545"/>
    </row>
    <row r="3" spans="1:16" ht="15.75">
      <c r="A3" s="1984" t="s">
        <v>2076</v>
      </c>
      <c r="B3" s="2388">
        <f ca="1">ROUND(B2*10000/E2,0)</f>
        <v>4800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63307</v>
      </c>
      <c r="C6" s="1984" t="s">
        <v>2074</v>
      </c>
      <c r="D6" s="2545"/>
      <c r="E6" s="2398">
        <f ca="1">SUMIF(INDIRECT("'"&amp;A6&amp;"'"&amp;"!C:C"),"建筑面积",INDIRECT("'"&amp;A6&amp;"'"&amp;"!D:D"))</f>
        <v>131891.15</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B2" sqref="B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131891.15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63307</v>
      </c>
      <c r="C2" s="1846" t="s">
        <v>1935</v>
      </c>
      <c r="D2" s="162" t="s">
        <v>1936</v>
      </c>
      <c r="E2" s="3121" t="s">
        <v>673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8744</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4800</v>
      </c>
      <c r="C3" s="1846" t="s">
        <v>1941</v>
      </c>
      <c r="D3" s="162" t="s">
        <v>1942</v>
      </c>
      <c r="E3" s="3119" t="s">
        <v>2439</v>
      </c>
      <c r="F3" s="1848" t="s">
        <v>3446</v>
      </c>
      <c r="G3" s="708">
        <f>IF(F3="宗地容积率",'数据-汇总表'!I4,IF(F3="估价对象容积率",'数据-汇总表'!I6,'数据-汇总表'!I7))</f>
        <v>1.86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6740</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84"/>
      <c r="B4" s="3485"/>
      <c r="C4" s="3485"/>
      <c r="D4" s="3486"/>
      <c r="E4" s="3486"/>
      <c r="F4" s="3486"/>
      <c r="G4" s="3486"/>
      <c r="H4" s="3486"/>
      <c r="I4" s="3486"/>
      <c r="J4" s="348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5498</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5575</v>
      </c>
      <c r="D5" s="1252">
        <f>ROUND(C6*C17+C20,0)</f>
        <v>5575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4667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5560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4252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1.86</v>
      </c>
      <c r="AA7" s="1133"/>
      <c r="AB7" s="1133"/>
      <c r="AC7" s="1134"/>
      <c r="AD7" s="1135"/>
      <c r="AE7" s="1135"/>
      <c r="AF7" s="1135"/>
      <c r="AG7" s="1135"/>
      <c r="AH7" s="1135"/>
      <c r="AI7" s="1135"/>
      <c r="AJ7" s="1136"/>
    </row>
    <row r="8" spans="1:36" ht="25.5">
      <c r="A8" s="3010"/>
      <c r="B8" s="162" t="s">
        <v>1957</v>
      </c>
      <c r="C8" s="1870" t="s">
        <v>3447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81" t="s">
        <v>1960</v>
      </c>
      <c r="X8" s="348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5560</v>
      </c>
      <c r="N9" s="813">
        <f>SUMPRODUCT((因素修正幅度!B277:B326=I2)*(因素修正幅度!C3:G3=E2)*(因素修正幅度!C277:G326))</f>
        <v>0.15</v>
      </c>
      <c r="O9" s="1056"/>
      <c r="P9" s="1056"/>
      <c r="Q9" s="1056"/>
      <c r="R9" s="1129">
        <v>8</v>
      </c>
      <c r="S9" s="1130"/>
      <c r="T9" s="3064">
        <f t="shared" si="0"/>
        <v>0</v>
      </c>
      <c r="U9" s="1130"/>
      <c r="V9" s="3064">
        <f t="shared" si="1"/>
        <v>0</v>
      </c>
      <c r="W9" s="3483"/>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8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v>1</v>
      </c>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88" t="s">
        <v>3254</v>
      </c>
      <c r="B20" s="159" t="s">
        <v>1994</v>
      </c>
      <c r="C20" s="3032">
        <f>ROUND(IF(F21="与级别开发程度一致",0,(G21-E21)/C21),0)</f>
        <v>15</v>
      </c>
      <c r="D20" s="3047" t="s">
        <v>1998</v>
      </c>
      <c r="E20" s="3048"/>
      <c r="F20" s="3494" t="s">
        <v>1995</v>
      </c>
      <c r="G20" s="3495"/>
      <c r="H20" s="3033" t="s">
        <v>3453</v>
      </c>
      <c r="I20" s="3033" t="s">
        <v>3454</v>
      </c>
      <c r="J20" s="3034" t="s">
        <v>3455</v>
      </c>
      <c r="K20" s="1889" t="s">
        <v>3456</v>
      </c>
      <c r="L20" s="1889" t="s">
        <v>3457</v>
      </c>
      <c r="M20" s="1889" t="s">
        <v>3458</v>
      </c>
      <c r="N20" s="1889" t="s">
        <v>3459</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8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3452</v>
      </c>
      <c r="G21" s="1995">
        <f>SUM(H21:O21)</f>
        <v>215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30</v>
      </c>
      <c r="N21" s="2003">
        <f>SUMPRODUCT((七通一平=N20)*(修正!B1:M1=G2)*(修正!B8:M16))</f>
        <v>10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45876</v>
      </c>
      <c r="H23" s="3049" t="s">
        <v>3255</v>
      </c>
      <c r="I23" s="3050" t="str">
        <f>IF(H23="季度增幅（自定义）",SUMIF(N25:N28,E2,O25:O28),"")</f>
        <v/>
      </c>
      <c r="J23" s="3142" t="s">
        <v>3448</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0.98050000000000004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37.450000000000003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1.0166999999999999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1.0166999999999999</v>
      </c>
      <c r="E26" s="708">
        <f>ROUNDDOWN(G3,1)</f>
        <v>1.8</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1.0241</v>
      </c>
      <c r="G26" s="708">
        <f>ROUNDUP(G3,1)</f>
        <v>1.9000000000000001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1.0117</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1.0254000000000001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63307</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3083</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5766</v>
      </c>
      <c r="D33" s="1940">
        <f>'数据-汇总表'!F19</f>
        <v>88406.15</v>
      </c>
      <c r="E33" s="727">
        <f>ROUND(C33*D33/10000,0)</f>
        <v>50975</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1442</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92"/>
      <c r="B37" s="1955" t="s">
        <v>2036</v>
      </c>
      <c r="C37" s="167">
        <f>ROUND(D5*C22*C23*C24*C28*F37,0)</f>
        <v>2836</v>
      </c>
      <c r="D37" s="1940">
        <f>'数据-汇总表'!G19</f>
        <v>43485</v>
      </c>
      <c r="E37" s="163">
        <f>ROUND(C37*D37/10000,0)</f>
        <v>12332</v>
      </c>
      <c r="F37" s="163">
        <f>SUMIF(修正!A59:A70,G2,修正!B59:B70)</f>
        <v>0.5</v>
      </c>
      <c r="G37" s="163">
        <f>ROUND(IF(E2="工业",C37*$M$42,C37*$M$41),0)</f>
        <v>709</v>
      </c>
      <c r="H37" s="163">
        <f>D37</f>
        <v>43485</v>
      </c>
      <c r="I37" s="163">
        <f>ROUND(G37*H37/10000,0)</f>
        <v>3083</v>
      </c>
      <c r="J37" s="2755"/>
      <c r="K37" s="3062" t="s">
        <v>3265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93"/>
      <c r="B38" s="1884" t="s">
        <v>2037</v>
      </c>
      <c r="C38" s="167">
        <f>ROUND(D5*C22*C23*C24*C28*F38,0)</f>
        <v>1134</v>
      </c>
      <c r="D38" s="1940"/>
      <c r="E38" s="163">
        <f t="shared" ref="E38:E42" si="4">ROUND(C38*D38/10000,0)</f>
        <v>0</v>
      </c>
      <c r="F38" s="163">
        <f>SUMIF(修正!A59:A70,G2,修正!C59:C70)</f>
        <v>0.2</v>
      </c>
      <c r="G38" s="163">
        <f>ROUND(IF(E2="工业",C38*$M$42,C38*$M$41),0)</f>
        <v>284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3"/>
      <c r="B39" s="1884" t="s">
        <v>3258</v>
      </c>
      <c r="C39" s="167">
        <f>ROUND(D5*C22*C23*C24*C28*F39,0)</f>
        <v>1134</v>
      </c>
      <c r="D39" s="1940"/>
      <c r="E39" s="163">
        <f t="shared" si="4"/>
        <v>0</v>
      </c>
      <c r="F39" s="163">
        <f>SUMIF(修正!A59:A70,G2,修正!D59:D70)</f>
        <v>0.2</v>
      </c>
      <c r="G39" s="163">
        <f>ROUND(IF(E2="工业",C39*$M$42,C39*$M$41),0)</f>
        <v>284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1134</v>
      </c>
      <c r="D40" s="1940"/>
      <c r="E40" s="163">
        <f t="shared" si="4"/>
        <v>0</v>
      </c>
      <c r="F40" s="167">
        <f>SUMIF(修正!A59:A70,G2,修正!E59:E70)</f>
        <v>0.2</v>
      </c>
      <c r="G40" s="163">
        <f>ROUND(IF(E2="工业",C40*$M$42,C40*$M$41),0)</f>
        <v>284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1075</v>
      </c>
      <c r="D41" s="1940"/>
      <c r="E41" s="163">
        <f t="shared" si="4"/>
        <v>0</v>
      </c>
      <c r="F41" s="167">
        <f>SUMIF(修正!A59:A70,G2,修正!F59:F70)</f>
        <v>0.2</v>
      </c>
      <c r="G41" s="163">
        <f>ROUND(IF(E2="工业",C41*$M$42,C41*$M$41),0)</f>
        <v>269</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538</v>
      </c>
      <c r="D42" s="1945">
        <f>'数据-汇总表'!G20</f>
        <v>0</v>
      </c>
      <c r="E42" s="179">
        <f t="shared" si="4"/>
        <v>0</v>
      </c>
      <c r="F42" s="723">
        <f>SUMIF(修正!A59:A70,G2,修正!G59:G70)</f>
        <v>0.1</v>
      </c>
      <c r="G42" s="179">
        <f>ROUND(IF(E2="工业",C42*$M$42,C42*$M$41),0)</f>
        <v>135</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0.92930000000000001</v>
      </c>
      <c r="D44" s="163" t="s">
        <v>1999</v>
      </c>
      <c r="E44" s="1991">
        <f>G24</f>
        <v>5.5E-2</v>
      </c>
      <c r="F44" s="163" t="s">
        <v>2008</v>
      </c>
      <c r="G44" s="175">
        <f>项目基本情况!D15</f>
        <v>37.450000000000003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1.0254000000000001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3449</v>
      </c>
      <c r="D50" s="1002">
        <f t="shared" ref="D50:D58" si="7">SUMIF($J$49:$N$49,C50,J50:N50)</f>
        <v>0</v>
      </c>
      <c r="E50" s="702">
        <f>ROUND(SUM(D50:D58),4)</f>
        <v>2.5399999999999999E-2</v>
      </c>
      <c r="F50" s="1675">
        <f>IF(E2="商业",SUMIF(L1:L12,G2,N1:N12),"——")</f>
        <v>0.15</v>
      </c>
      <c r="G50" s="1000">
        <f>H50</f>
        <v>2.2499999999999999E-2</v>
      </c>
      <c r="H50" s="1003">
        <f t="shared" ref="H50:H58" si="8">IFERROR(ROUNDDOWN($F$50*I50/2,4),"——")</f>
        <v>2.2499999999999999E-2</v>
      </c>
      <c r="I50" s="3069">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3449</v>
      </c>
      <c r="D51" s="1002">
        <f t="shared" si="7"/>
        <v>0</v>
      </c>
      <c r="E51" s="703"/>
      <c r="F51" s="1675"/>
      <c r="G51" s="1000">
        <f t="shared" ref="G51:G58" si="12">H51</f>
        <v>1.6500000000000001E-2</v>
      </c>
      <c r="H51" s="1003">
        <f t="shared" si="8"/>
        <v>1.6500000000000001E-2</v>
      </c>
      <c r="I51" s="3069">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t="s">
        <v>3449</v>
      </c>
      <c r="D52" s="1002">
        <f t="shared" si="7"/>
        <v>0</v>
      </c>
      <c r="E52" s="703"/>
      <c r="F52" s="1675"/>
      <c r="G52" s="1000">
        <f t="shared" si="12"/>
        <v>8.9999999999999993E-3</v>
      </c>
      <c r="H52" s="1003">
        <f t="shared" si="8"/>
        <v>8.9999999999999993E-3</v>
      </c>
      <c r="I52" s="3069">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3450</v>
      </c>
      <c r="D53" s="1002">
        <f t="shared" si="7"/>
        <v>3.7000000000000002E-3</v>
      </c>
      <c r="E53" s="703"/>
      <c r="F53" s="1675"/>
      <c r="G53" s="1000">
        <f t="shared" si="12"/>
        <v>3.7000000000000002E-3</v>
      </c>
      <c r="H53" s="1003">
        <f t="shared" si="8"/>
        <v>3.7000000000000002E-3</v>
      </c>
      <c r="I53" s="3069">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3450</v>
      </c>
      <c r="D54" s="1002">
        <f t="shared" si="7"/>
        <v>6.0000000000000001E-3</v>
      </c>
      <c r="E54" s="703"/>
      <c r="F54" s="1675"/>
      <c r="G54" s="1000">
        <f t="shared" si="12"/>
        <v>6.0000000000000001E-3</v>
      </c>
      <c r="H54" s="1003">
        <f t="shared" si="8"/>
        <v>6.0000000000000001E-3</v>
      </c>
      <c r="I54" s="3069">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3450</v>
      </c>
      <c r="D55" s="1002">
        <f t="shared" si="7"/>
        <v>3.7000000000000002E-3</v>
      </c>
      <c r="E55" s="703"/>
      <c r="F55" s="1675"/>
      <c r="G55" s="1000">
        <f t="shared" si="12"/>
        <v>3.7000000000000002E-3</v>
      </c>
      <c r="H55" s="1003">
        <f t="shared" si="8"/>
        <v>3.7000000000000002E-3</v>
      </c>
      <c r="I55" s="3069">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3449</v>
      </c>
      <c r="D56" s="1002">
        <f t="shared" si="7"/>
        <v>0</v>
      </c>
      <c r="E56" s="703"/>
      <c r="F56" s="1675"/>
      <c r="G56" s="1000">
        <f t="shared" si="12"/>
        <v>3.7000000000000002E-3</v>
      </c>
      <c r="H56" s="1003">
        <f t="shared" si="8"/>
        <v>3.7000000000000002E-3</v>
      </c>
      <c r="I56" s="3069">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3451</v>
      </c>
      <c r="D57" s="1002">
        <f t="shared" si="7"/>
        <v>1.2E-2</v>
      </c>
      <c r="E57" s="703"/>
      <c r="F57" s="1675"/>
      <c r="G57" s="1000">
        <f t="shared" si="12"/>
        <v>6.0000000000000001E-3</v>
      </c>
      <c r="H57" s="1003">
        <f t="shared" si="8"/>
        <v>6.0000000000000001E-3</v>
      </c>
      <c r="I57" s="3069">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3449</v>
      </c>
      <c r="D58" s="1002">
        <f t="shared" si="7"/>
        <v>0</v>
      </c>
      <c r="E58" s="704"/>
      <c r="F58" s="1675"/>
      <c r="G58" s="1000">
        <f t="shared" si="12"/>
        <v>3.7000000000000002E-3</v>
      </c>
      <c r="H58" s="1003">
        <f t="shared" si="8"/>
        <v>3.7000000000000002E-3</v>
      </c>
      <c r="I58" s="3070">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90" t="s">
        <v>3293</v>
      </c>
      <c r="B103" s="3490"/>
      <c r="C103" s="3490"/>
      <c r="D103" s="3490"/>
      <c r="E103" s="3490"/>
      <c r="F103" s="3490"/>
      <c r="G103" s="3490"/>
      <c r="H103" s="3490"/>
      <c r="I103" s="3490"/>
      <c r="J103" s="3490"/>
      <c r="K103" s="1667"/>
      <c r="L103" s="1667"/>
      <c r="M103" s="1667"/>
      <c r="N103" s="1667"/>
    </row>
    <row r="104" spans="1:14">
      <c r="A104" s="3491" t="s">
        <v>3294</v>
      </c>
      <c r="B104" s="3491" t="s">
        <v>3295</v>
      </c>
      <c r="C104" s="3091" t="s">
        <v>3296</v>
      </c>
      <c r="D104" s="3092"/>
      <c r="E104" s="3092"/>
      <c r="F104" s="3092"/>
      <c r="G104" s="3092"/>
      <c r="H104" s="3092"/>
      <c r="I104" s="3092"/>
      <c r="J104" s="3093"/>
      <c r="K104" s="3094"/>
      <c r="L104" s="3094"/>
      <c r="M104" s="3094"/>
      <c r="N104" s="3094"/>
    </row>
    <row r="105" spans="1:14">
      <c r="A105" s="3491"/>
      <c r="B105" s="3491"/>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77"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7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7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7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7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78"/>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79"/>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80" t="s">
        <v>3310</v>
      </c>
      <c r="B113" s="3480"/>
      <c r="C113" s="3480"/>
      <c r="D113" s="3480"/>
      <c r="E113" s="3480"/>
      <c r="F113" s="3480"/>
      <c r="G113" s="3480"/>
      <c r="H113" s="3480"/>
      <c r="I113" s="3480"/>
      <c r="J113" s="348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1.86</v>
      </c>
      <c r="C116" s="3100" t="s">
        <v>3312</v>
      </c>
      <c r="D116" s="3101">
        <f>SUMPRODUCT((A118:A122=F116)*(B117:M117=H116)*B118:M122)</f>
        <v>0.81510000000000005</v>
      </c>
      <c r="E116" s="162" t="s">
        <v>3313</v>
      </c>
      <c r="F116" s="3102" t="str">
        <f>E2</f>
        <v>商业</v>
      </c>
      <c r="G116" s="162" t="s">
        <v>3314</v>
      </c>
      <c r="H116" s="3102" t="str">
        <f>G2</f>
        <v>九级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0.97629999999999995</v>
      </c>
      <c r="C118" s="3090">
        <f>B118</f>
        <v>0.97629999999999995</v>
      </c>
      <c r="D118" s="3090">
        <f>ROUND(0.949-0.014*B116,4)</f>
        <v>0.92300000000000004</v>
      </c>
      <c r="E118" s="3090">
        <f>D118</f>
        <v>0.92300000000000004</v>
      </c>
      <c r="F118" s="3090">
        <f>E118</f>
        <v>0.92300000000000004</v>
      </c>
      <c r="G118" s="3090">
        <f>F118</f>
        <v>0.92300000000000004</v>
      </c>
      <c r="H118" s="3090">
        <f>G118</f>
        <v>0.92300000000000004</v>
      </c>
      <c r="I118" s="3090">
        <f>ROUND(0.8486-0.018*B116,4)</f>
        <v>0.81510000000000005</v>
      </c>
      <c r="J118" s="3090">
        <f t="shared" ref="J118:M122" si="36">I118</f>
        <v>0.81510000000000005</v>
      </c>
      <c r="K118" s="3090">
        <f t="shared" si="36"/>
        <v>0.81510000000000005</v>
      </c>
      <c r="L118" s="3090">
        <f t="shared" si="36"/>
        <v>0.81510000000000005</v>
      </c>
      <c r="M118" s="3110">
        <f t="shared" si="36"/>
        <v>0.81510000000000005</v>
      </c>
      <c r="N118" s="3098"/>
    </row>
    <row r="119" spans="1:14">
      <c r="A119" s="3058" t="s">
        <v>3328</v>
      </c>
      <c r="B119" s="3090">
        <f>ROUND(0.993-0.0112*B116,4)</f>
        <v>0.97219999999999995</v>
      </c>
      <c r="C119" s="3090">
        <f>B119</f>
        <v>0.97219999999999995</v>
      </c>
      <c r="D119" s="3090">
        <f>ROUND(0.9415-0.0142*B116,4)</f>
        <v>0.91510000000000002</v>
      </c>
      <c r="E119" s="3090">
        <f t="shared" ref="E119:H120" si="37">D119</f>
        <v>0.91510000000000002</v>
      </c>
      <c r="F119" s="3090">
        <f t="shared" si="37"/>
        <v>0.91510000000000002</v>
      </c>
      <c r="G119" s="3090">
        <f t="shared" si="37"/>
        <v>0.91510000000000002</v>
      </c>
      <c r="H119" s="3090">
        <f t="shared" si="37"/>
        <v>0.91510000000000002</v>
      </c>
      <c r="I119" s="3090">
        <f>ROUND(0.838-0.0182*B116,4)</f>
        <v>0.80410000000000004</v>
      </c>
      <c r="J119" s="3090">
        <f t="shared" si="36"/>
        <v>0.80410000000000004</v>
      </c>
      <c r="K119" s="3090">
        <f t="shared" si="36"/>
        <v>0.80410000000000004</v>
      </c>
      <c r="L119" s="3090">
        <f t="shared" si="36"/>
        <v>0.80410000000000004</v>
      </c>
      <c r="M119" s="3110">
        <f t="shared" si="36"/>
        <v>0.80410000000000004</v>
      </c>
      <c r="N119" s="3098"/>
    </row>
    <row r="120" spans="1:14">
      <c r="A120" s="3058" t="s">
        <v>3329</v>
      </c>
      <c r="B120" s="3090">
        <f>ROUND(0.9448-0.0115*B116,4)</f>
        <v>0.9234</v>
      </c>
      <c r="C120" s="3090">
        <f>B120</f>
        <v>0.9234</v>
      </c>
      <c r="D120" s="3090">
        <f>ROUND(0.937-0.0145*B116,4)</f>
        <v>0.91</v>
      </c>
      <c r="E120" s="3090">
        <f t="shared" si="37"/>
        <v>0.91</v>
      </c>
      <c r="F120" s="3090">
        <f t="shared" si="37"/>
        <v>0.91</v>
      </c>
      <c r="G120" s="3090">
        <f t="shared" si="37"/>
        <v>0.91</v>
      </c>
      <c r="H120" s="3090">
        <f t="shared" si="37"/>
        <v>0.91</v>
      </c>
      <c r="I120" s="3090">
        <f>ROUND(0.7965-0.0185*B116,4)</f>
        <v>0.7621</v>
      </c>
      <c r="J120" s="3090">
        <f t="shared" si="36"/>
        <v>0.7621</v>
      </c>
      <c r="K120" s="3090">
        <f t="shared" si="36"/>
        <v>0.7621</v>
      </c>
      <c r="L120" s="3090">
        <f t="shared" si="36"/>
        <v>0.7621</v>
      </c>
      <c r="M120" s="3110">
        <f t="shared" si="36"/>
        <v>0.7621</v>
      </c>
      <c r="N120" s="3098"/>
    </row>
    <row r="121" spans="1:14" ht="13.5" thickBot="1">
      <c r="A121" s="3111" t="s">
        <v>3330</v>
      </c>
      <c r="B121" s="3112">
        <f>ROUND(0.7836-0.012*B116,4)</f>
        <v>0.76129999999999998</v>
      </c>
      <c r="C121" s="3112">
        <f>B121</f>
        <v>0.76129999999999998</v>
      </c>
      <c r="D121" s="3112">
        <f>ROUND(0.753-0.015*B116,4)</f>
        <v>0.72509999999999997</v>
      </c>
      <c r="E121" s="3112">
        <f>D121</f>
        <v>0.72509999999999997</v>
      </c>
      <c r="F121" s="3112">
        <f>E121</f>
        <v>0.72509999999999997</v>
      </c>
      <c r="G121" s="3112">
        <f>ROUND(0.6612-0.018*B116,4)</f>
        <v>0.62770000000000004</v>
      </c>
      <c r="H121" s="3112">
        <f>G121</f>
        <v>0.62770000000000004</v>
      </c>
      <c r="I121" s="3112">
        <f>ROUND(0.5905-0.019*B116,4)</f>
        <v>0.55520000000000003</v>
      </c>
      <c r="J121" s="3112">
        <f t="shared" si="36"/>
        <v>0.55520000000000003</v>
      </c>
      <c r="K121" s="3112">
        <f t="shared" si="36"/>
        <v>0.55520000000000003</v>
      </c>
      <c r="L121" s="3112">
        <f t="shared" si="36"/>
        <v>0.55520000000000003</v>
      </c>
      <c r="M121" s="3113">
        <f t="shared" si="36"/>
        <v>0.55520000000000003</v>
      </c>
      <c r="N121" s="3098"/>
    </row>
    <row r="122" spans="1:14">
      <c r="A122" s="3114" t="s">
        <v>2612</v>
      </c>
      <c r="B122" s="3090">
        <f>ROUND(0.9404-0.0106*B116,4)</f>
        <v>0.92069999999999996</v>
      </c>
      <c r="C122" s="3090">
        <f>B122</f>
        <v>0.92069999999999996</v>
      </c>
      <c r="D122" s="3090">
        <f>ROUND(0.8955-0.0135*B116,4)</f>
        <v>0.87039999999999995</v>
      </c>
      <c r="E122" s="3090">
        <f t="shared" ref="E122:H122" si="38">D122</f>
        <v>0.87039999999999995</v>
      </c>
      <c r="F122" s="3090">
        <f t="shared" si="38"/>
        <v>0.87039999999999995</v>
      </c>
      <c r="G122" s="3090">
        <f t="shared" si="38"/>
        <v>0.87039999999999995</v>
      </c>
      <c r="H122" s="3090">
        <f t="shared" si="38"/>
        <v>0.87039999999999995</v>
      </c>
      <c r="I122" s="3090">
        <f>ROUND(0.7632-0.0166*B116,4)</f>
        <v>0.73229999999999995</v>
      </c>
      <c r="J122" s="3090">
        <f t="shared" si="36"/>
        <v>0.73229999999999995</v>
      </c>
      <c r="K122" s="3090">
        <f t="shared" si="36"/>
        <v>0.73229999999999995</v>
      </c>
      <c r="L122" s="3090">
        <f t="shared" si="36"/>
        <v>0.73229999999999995</v>
      </c>
      <c r="M122" s="3110">
        <f t="shared" si="36"/>
        <v>0.73229999999999995</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C6D99-8451-4729-BF25-A2FDE417FEED}">
  <sheetPr>
    <tabColor rgb="FFFFFF00"/>
  </sheetPr>
  <dimension ref="A1"/>
  <sheetViews>
    <sheetView topLeftCell="A25" workbookViewId="0">
      <selection activeCell="K31" sqref="K31"/>
    </sheetView>
  </sheetViews>
  <sheetFormatPr defaultRowHeight="13.5"/>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1"/>
      <c r="B4" s="3190" t="s">
        <v>917</v>
      </c>
      <c r="C4" s="3190"/>
      <c r="D4" s="3190"/>
      <c r="E4" s="1391"/>
    </row>
    <row r="5" spans="1:5" ht="16.5" thickTop="1">
      <c r="B5" s="3188" t="s">
        <v>909</v>
      </c>
      <c r="C5" s="1392" t="s">
        <v>910</v>
      </c>
      <c r="D5" s="797" t="e">
        <f ca="1">结果表!H101</f>
        <v>#REF!</v>
      </c>
    </row>
    <row r="6" spans="1:5" ht="15.75">
      <c r="B6" s="3188"/>
      <c r="C6" s="1392" t="s">
        <v>911</v>
      </c>
      <c r="D6" s="797" t="e">
        <f ca="1">NUMBERSTRING(INT(D5*10000),2)&amp;"元整"</f>
        <v>#REF!</v>
      </c>
    </row>
    <row r="7" spans="1:5" ht="15.75">
      <c r="B7" s="3193"/>
      <c r="C7" s="1393" t="s">
        <v>912</v>
      </c>
      <c r="D7" s="798" t="e">
        <f ca="1">结果表!H102</f>
        <v>#REF!</v>
      </c>
    </row>
    <row r="8" spans="1:5" ht="15.75">
      <c r="B8" s="3194" t="str">
        <f>结果表!E103</f>
        <v>2.估价师知悉的法定优先受偿款</v>
      </c>
      <c r="C8" s="1394" t="s">
        <v>913</v>
      </c>
      <c r="D8" s="798">
        <f>结果表!H103</f>
        <v>0</v>
      </c>
    </row>
    <row r="9" spans="1:5" ht="15.75">
      <c r="B9" s="31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7" t="str">
        <f>结果表!E107</f>
        <v>3.房地产抵押价值</v>
      </c>
      <c r="C13" s="1397" t="s">
        <v>910</v>
      </c>
      <c r="D13" s="800" t="e">
        <f ca="1">结果表!H107</f>
        <v>#REF!</v>
      </c>
    </row>
    <row r="14" spans="1:5" ht="15.75">
      <c r="B14" s="3188"/>
      <c r="C14" s="1392" t="s">
        <v>911</v>
      </c>
      <c r="D14" s="797" t="e">
        <f ca="1">NUMBERSTRING(INT(D13*10000),2)&amp;"元整"</f>
        <v>#REF!</v>
      </c>
    </row>
    <row r="15" spans="1:5" ht="15">
      <c r="B15" s="3193"/>
      <c r="C15" s="1393" t="s">
        <v>921</v>
      </c>
      <c r="D15" s="806" t="e">
        <f ca="1">结果表!H108</f>
        <v>#REF!</v>
      </c>
    </row>
    <row r="16" spans="1:5" ht="15">
      <c r="B16" s="3194" t="str">
        <f>结果表!E109</f>
        <v>——</v>
      </c>
      <c r="C16" s="1397" t="s">
        <v>922</v>
      </c>
      <c r="D16" s="1398" t="str">
        <f>结果表!H109</f>
        <v>——</v>
      </c>
    </row>
    <row r="17" spans="1:5" ht="15.75">
      <c r="B17" s="3195"/>
      <c r="C17" s="1392" t="s">
        <v>923</v>
      </c>
      <c r="D17" s="797" t="e">
        <f>NUMBERSTRING(INT(D16*10000),2)&amp;"元整"</f>
        <v>#VALUE!</v>
      </c>
    </row>
    <row r="18" spans="1:5" ht="15">
      <c r="B18" s="3196"/>
      <c r="C18" s="1393" t="s">
        <v>912</v>
      </c>
      <c r="D18" s="806" t="str">
        <f>结果表!H110</f>
        <v>——</v>
      </c>
    </row>
    <row r="19" spans="1:5" ht="15.75">
      <c r="B19" s="3187" t="str">
        <f>结果表!E111</f>
        <v>——</v>
      </c>
      <c r="C19" s="1397" t="s">
        <v>910</v>
      </c>
      <c r="D19" s="798" t="str">
        <f>结果表!H111</f>
        <v>——</v>
      </c>
    </row>
    <row r="20" spans="1:5" ht="15.75">
      <c r="B20" s="3188"/>
      <c r="C20" s="1392" t="s">
        <v>923</v>
      </c>
      <c r="D20" s="797" t="e">
        <f>NUMBERSTRING(INT(D19*10000),2)&amp;"元整"</f>
        <v>#VALUE!</v>
      </c>
    </row>
    <row r="21" spans="1:5" ht="15.75" thickBot="1">
      <c r="B21" s="318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07" t="s">
        <v>2607</v>
      </c>
      <c r="B20" s="3500" t="s">
        <v>2628</v>
      </c>
      <c r="C20" s="3169" t="s">
        <v>2439</v>
      </c>
      <c r="D20" s="3169"/>
      <c r="E20" s="2845">
        <v>1</v>
      </c>
      <c r="F20" s="2846" t="s">
        <v>2440</v>
      </c>
      <c r="G20" s="2846"/>
    </row>
    <row r="21" spans="1:13" ht="19.5" customHeight="1">
      <c r="A21" s="3508"/>
      <c r="B21" s="3496"/>
      <c r="C21" s="2858" t="s">
        <v>2441</v>
      </c>
      <c r="D21" s="2858"/>
      <c r="E21" s="2849">
        <v>1</v>
      </c>
      <c r="F21" s="2846" t="s">
        <v>2442</v>
      </c>
      <c r="G21" s="2846"/>
    </row>
    <row r="22" spans="1:13" ht="19.5" customHeight="1">
      <c r="A22" s="3508"/>
      <c r="B22" s="3496"/>
      <c r="C22" s="2858" t="s">
        <v>2443</v>
      </c>
      <c r="D22" s="2858"/>
      <c r="E22" s="2849">
        <v>0.9</v>
      </c>
      <c r="F22" s="2846" t="s">
        <v>2444</v>
      </c>
      <c r="G22" s="2846"/>
    </row>
    <row r="23" spans="1:13" ht="19.5" customHeight="1">
      <c r="A23" s="3508"/>
      <c r="B23" s="3496"/>
      <c r="C23" s="2858" t="s">
        <v>2445</v>
      </c>
      <c r="D23" s="2858"/>
      <c r="E23" s="2849">
        <v>0.9</v>
      </c>
      <c r="F23" s="2846" t="s">
        <v>2446</v>
      </c>
      <c r="G23" s="2846"/>
    </row>
    <row r="24" spans="1:13" ht="19.5" customHeight="1">
      <c r="A24" s="3508"/>
      <c r="B24" s="3496"/>
      <c r="C24" s="2858" t="s">
        <v>2447</v>
      </c>
      <c r="D24" s="2858"/>
      <c r="E24" s="2849">
        <v>0.8</v>
      </c>
      <c r="F24" s="2846" t="s">
        <v>2448</v>
      </c>
      <c r="G24" s="2846"/>
    </row>
    <row r="25" spans="1:13" ht="19.5" customHeight="1">
      <c r="A25" s="3508"/>
      <c r="B25" s="3496"/>
      <c r="C25" s="2858" t="s">
        <v>2449</v>
      </c>
      <c r="D25" s="2858"/>
      <c r="E25" s="2849">
        <v>0.8</v>
      </c>
      <c r="F25" s="2846"/>
      <c r="G25" s="2846"/>
    </row>
    <row r="26" spans="1:13" ht="19.5" customHeight="1">
      <c r="A26" s="3508"/>
      <c r="B26" s="3496"/>
      <c r="C26" s="2858" t="s">
        <v>3411</v>
      </c>
      <c r="D26" s="2858"/>
      <c r="E26" s="2849">
        <v>0.43</v>
      </c>
      <c r="F26" s="2846"/>
      <c r="G26" s="2846"/>
    </row>
    <row r="27" spans="1:13" ht="19.5" customHeight="1" thickBot="1">
      <c r="A27" s="3509"/>
      <c r="B27" s="3501"/>
      <c r="C27" s="3165" t="s">
        <v>3412</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02" t="s">
        <v>2631</v>
      </c>
      <c r="B29" s="3505" t="s">
        <v>2612</v>
      </c>
      <c r="C29" s="2843" t="s">
        <v>2452</v>
      </c>
      <c r="D29" s="2844"/>
      <c r="E29" s="2845">
        <v>1</v>
      </c>
      <c r="F29" s="2846" t="s">
        <v>2453</v>
      </c>
      <c r="G29" s="2846"/>
    </row>
    <row r="30" spans="1:13" ht="19.5" customHeight="1">
      <c r="A30" s="3503"/>
      <c r="B30" s="3499"/>
      <c r="C30" s="2847" t="s">
        <v>2454</v>
      </c>
      <c r="D30" s="2848"/>
      <c r="E30" s="2849">
        <v>1</v>
      </c>
      <c r="F30" s="2846" t="s">
        <v>2455</v>
      </c>
      <c r="G30" s="2846"/>
    </row>
    <row r="31" spans="1:13" ht="19.5" customHeight="1">
      <c r="A31" s="3503"/>
      <c r="B31" s="3499"/>
      <c r="C31" s="2847" t="s">
        <v>2456</v>
      </c>
      <c r="D31" s="2848"/>
      <c r="E31" s="2849">
        <v>0.8</v>
      </c>
      <c r="F31" s="2846" t="s">
        <v>2457</v>
      </c>
      <c r="G31" s="2846"/>
    </row>
    <row r="32" spans="1:13" ht="19.5" customHeight="1">
      <c r="A32" s="3503"/>
      <c r="B32" s="3499"/>
      <c r="C32" s="2847" t="s">
        <v>2458</v>
      </c>
      <c r="D32" s="2848"/>
      <c r="E32" s="2849">
        <v>0.8</v>
      </c>
      <c r="F32" s="2846" t="s">
        <v>2459</v>
      </c>
      <c r="G32" s="2846"/>
    </row>
    <row r="33" spans="1:7" ht="19.5" customHeight="1">
      <c r="A33" s="3503"/>
      <c r="B33" s="3499"/>
      <c r="C33" s="2847" t="s">
        <v>2460</v>
      </c>
      <c r="D33" s="2848"/>
      <c r="E33" s="2849">
        <v>0.8</v>
      </c>
      <c r="F33" s="2846" t="s">
        <v>2461</v>
      </c>
      <c r="G33" s="2846"/>
    </row>
    <row r="34" spans="1:7" ht="19.5" customHeight="1">
      <c r="A34" s="3503"/>
      <c r="B34" s="3499"/>
      <c r="C34" s="2847" t="s">
        <v>2462</v>
      </c>
      <c r="D34" s="2848"/>
      <c r="E34" s="2849">
        <v>0.7</v>
      </c>
      <c r="F34" s="2846" t="s">
        <v>2463</v>
      </c>
      <c r="G34" s="2846"/>
    </row>
    <row r="35" spans="1:7" ht="19.5" customHeight="1">
      <c r="A35" s="3503"/>
      <c r="B35" s="3499"/>
      <c r="C35" s="2847" t="s">
        <v>2464</v>
      </c>
      <c r="D35" s="2848"/>
      <c r="E35" s="2849">
        <v>0.8</v>
      </c>
      <c r="F35" s="2846" t="s">
        <v>2465</v>
      </c>
      <c r="G35" s="2846"/>
    </row>
    <row r="36" spans="1:7" ht="19.5" customHeight="1">
      <c r="A36" s="3503"/>
      <c r="B36" s="3499"/>
      <c r="C36" s="2847" t="s">
        <v>2466</v>
      </c>
      <c r="D36" s="2848"/>
      <c r="E36" s="2849">
        <v>0.6</v>
      </c>
      <c r="F36" s="2846" t="s">
        <v>2467</v>
      </c>
      <c r="G36" s="2846"/>
    </row>
    <row r="37" spans="1:7" ht="19.5" customHeight="1">
      <c r="A37" s="3503"/>
      <c r="B37" s="3499"/>
      <c r="C37" s="2847" t="s">
        <v>2468</v>
      </c>
      <c r="D37" s="2848"/>
      <c r="E37" s="2849">
        <v>0.2</v>
      </c>
      <c r="F37" s="2846" t="s">
        <v>2469</v>
      </c>
      <c r="G37" s="2846"/>
    </row>
    <row r="38" spans="1:7" ht="19.5" customHeight="1">
      <c r="A38" s="3503"/>
      <c r="B38" s="3499"/>
      <c r="C38" s="2847" t="s">
        <v>2470</v>
      </c>
      <c r="D38" s="2848"/>
      <c r="E38" s="2849">
        <v>0.2</v>
      </c>
      <c r="F38" s="2846" t="s">
        <v>2471</v>
      </c>
      <c r="G38" s="2846"/>
    </row>
    <row r="39" spans="1:7" ht="19.5" customHeight="1">
      <c r="A39" s="3503"/>
      <c r="B39" s="3497" t="s">
        <v>2632</v>
      </c>
      <c r="C39" s="2847" t="s">
        <v>2472</v>
      </c>
      <c r="D39" s="2848"/>
      <c r="E39" s="2849">
        <v>0.6</v>
      </c>
      <c r="F39" s="2846" t="s">
        <v>2473</v>
      </c>
      <c r="G39" s="2846"/>
    </row>
    <row r="40" spans="1:7" ht="19.5" customHeight="1">
      <c r="A40" s="3503"/>
      <c r="B40" s="3499"/>
      <c r="C40" s="2847" t="s">
        <v>2474</v>
      </c>
      <c r="D40" s="2848"/>
      <c r="E40" s="2849">
        <v>0.6</v>
      </c>
      <c r="F40" s="2846" t="s">
        <v>2475</v>
      </c>
      <c r="G40" s="2846"/>
    </row>
    <row r="41" spans="1:7" ht="19.5" customHeight="1" thickBot="1">
      <c r="A41" s="3504"/>
      <c r="B41" s="3506"/>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07" t="s">
        <v>2610</v>
      </c>
      <c r="B43" s="3505" t="s">
        <v>2634</v>
      </c>
      <c r="C43" s="2843" t="s">
        <v>2479</v>
      </c>
      <c r="D43" s="2844"/>
      <c r="E43" s="2845">
        <v>1</v>
      </c>
      <c r="F43" s="2846" t="s">
        <v>2480</v>
      </c>
      <c r="G43" s="2846"/>
    </row>
    <row r="44" spans="1:7" ht="19.5" customHeight="1">
      <c r="A44" s="3508"/>
      <c r="B44" s="3499"/>
      <c r="C44" s="2847" t="s">
        <v>2481</v>
      </c>
      <c r="D44" s="2848"/>
      <c r="E44" s="2849">
        <v>1</v>
      </c>
      <c r="F44" s="2846" t="s">
        <v>2482</v>
      </c>
      <c r="G44" s="2846"/>
    </row>
    <row r="45" spans="1:7" ht="19.5" customHeight="1">
      <c r="A45" s="3508"/>
      <c r="B45" s="3498"/>
      <c r="C45" s="2847" t="s">
        <v>2483</v>
      </c>
      <c r="D45" s="2848"/>
      <c r="E45" s="2849">
        <v>1.5</v>
      </c>
      <c r="F45" s="2846" t="s">
        <v>2484</v>
      </c>
      <c r="G45" s="2846"/>
    </row>
    <row r="46" spans="1:7" ht="19.5" customHeight="1">
      <c r="A46" s="3508"/>
      <c r="B46" s="2858" t="s">
        <v>2635</v>
      </c>
      <c r="C46" s="2847" t="s">
        <v>2636</v>
      </c>
      <c r="D46" s="2848"/>
      <c r="E46" s="2849">
        <v>2</v>
      </c>
      <c r="F46" s="2846" t="s">
        <v>2485</v>
      </c>
      <c r="G46" s="2846"/>
    </row>
    <row r="47" spans="1:7" ht="19.5" customHeight="1">
      <c r="A47" s="3508"/>
      <c r="B47" s="3497" t="s">
        <v>2637</v>
      </c>
      <c r="C47" s="2847" t="s">
        <v>2486</v>
      </c>
      <c r="D47" s="2848"/>
      <c r="E47" s="2849">
        <v>1</v>
      </c>
      <c r="F47" s="2846" t="s">
        <v>2487</v>
      </c>
      <c r="G47" s="2846"/>
    </row>
    <row r="48" spans="1:7" ht="19.5" customHeight="1">
      <c r="A48" s="3508"/>
      <c r="B48" s="3499"/>
      <c r="C48" s="2847" t="s">
        <v>2488</v>
      </c>
      <c r="D48" s="2848"/>
      <c r="E48" s="2849">
        <v>1</v>
      </c>
      <c r="F48" s="2846" t="s">
        <v>2489</v>
      </c>
      <c r="G48" s="2846"/>
    </row>
    <row r="49" spans="1:7" ht="19.5" customHeight="1">
      <c r="A49" s="3508"/>
      <c r="B49" s="3499"/>
      <c r="C49" s="2847" t="s">
        <v>2490</v>
      </c>
      <c r="D49" s="2848"/>
      <c r="E49" s="2849">
        <v>1</v>
      </c>
      <c r="F49" s="2846" t="s">
        <v>2491</v>
      </c>
      <c r="G49" s="2846"/>
    </row>
    <row r="50" spans="1:7" ht="19.5" customHeight="1">
      <c r="A50" s="3508"/>
      <c r="B50" s="3499"/>
      <c r="C50" s="2847" t="s">
        <v>2492</v>
      </c>
      <c r="D50" s="2848"/>
      <c r="E50" s="2849">
        <v>1</v>
      </c>
      <c r="F50" s="2846" t="s">
        <v>2493</v>
      </c>
      <c r="G50" s="2846"/>
    </row>
    <row r="51" spans="1:7" ht="19.5" customHeight="1">
      <c r="A51" s="3508"/>
      <c r="B51" s="3499"/>
      <c r="C51" s="2847" t="s">
        <v>2494</v>
      </c>
      <c r="D51" s="2848"/>
      <c r="E51" s="2849">
        <v>1</v>
      </c>
      <c r="F51" s="2846" t="s">
        <v>2495</v>
      </c>
      <c r="G51" s="2846"/>
    </row>
    <row r="52" spans="1:7" ht="19.5" customHeight="1">
      <c r="A52" s="3508"/>
      <c r="B52" s="3499"/>
      <c r="C52" s="2847" t="s">
        <v>2496</v>
      </c>
      <c r="D52" s="2848"/>
      <c r="E52" s="2849">
        <v>1</v>
      </c>
      <c r="F52" s="2846" t="s">
        <v>2497</v>
      </c>
      <c r="G52" s="2846"/>
    </row>
    <row r="53" spans="1:7" ht="19.5" customHeight="1" thickBot="1">
      <c r="A53" s="3509"/>
      <c r="B53" s="3506"/>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97" t="s">
        <v>2651</v>
      </c>
      <c r="C75" s="2832" t="s">
        <v>2652</v>
      </c>
      <c r="D75" s="2832" t="s">
        <v>2653</v>
      </c>
      <c r="E75" s="2858">
        <v>0.2</v>
      </c>
      <c r="F75" s="2858">
        <v>25</v>
      </c>
    </row>
    <row r="76" spans="1:7" ht="24">
      <c r="A76" s="2858">
        <v>2</v>
      </c>
      <c r="B76" s="3499"/>
      <c r="C76" s="2832" t="s">
        <v>2654</v>
      </c>
      <c r="D76" s="2832" t="s">
        <v>2655</v>
      </c>
      <c r="E76" s="2858">
        <v>0.2</v>
      </c>
      <c r="F76" s="2858">
        <v>25</v>
      </c>
    </row>
    <row r="77" spans="1:7" ht="24">
      <c r="A77" s="2858">
        <v>3</v>
      </c>
      <c r="B77" s="3499"/>
      <c r="C77" s="2832" t="s">
        <v>2656</v>
      </c>
      <c r="D77" s="2832" t="s">
        <v>2657</v>
      </c>
      <c r="E77" s="2858">
        <v>0.2</v>
      </c>
      <c r="F77" s="2858">
        <v>25</v>
      </c>
    </row>
    <row r="78" spans="1:7" ht="13.5">
      <c r="A78" s="2858">
        <v>4</v>
      </c>
      <c r="B78" s="3499"/>
      <c r="C78" s="2832" t="s">
        <v>2658</v>
      </c>
      <c r="D78" s="2832" t="s">
        <v>2659</v>
      </c>
      <c r="E78" s="2858">
        <v>0.15</v>
      </c>
      <c r="F78" s="2858">
        <v>20</v>
      </c>
    </row>
    <row r="79" spans="1:7" ht="24">
      <c r="A79" s="2858">
        <v>5</v>
      </c>
      <c r="B79" s="3499"/>
      <c r="C79" s="2832" t="s">
        <v>2660</v>
      </c>
      <c r="D79" s="2832" t="s">
        <v>2661</v>
      </c>
      <c r="E79" s="2858">
        <v>0.15</v>
      </c>
      <c r="F79" s="2858">
        <v>20</v>
      </c>
    </row>
    <row r="80" spans="1:7" ht="24">
      <c r="A80" s="2858">
        <v>6</v>
      </c>
      <c r="B80" s="3499"/>
      <c r="C80" s="2832" t="s">
        <v>2662</v>
      </c>
      <c r="D80" s="2832" t="s">
        <v>2663</v>
      </c>
      <c r="E80" s="2858">
        <v>0.15</v>
      </c>
      <c r="F80" s="2858">
        <v>20</v>
      </c>
    </row>
    <row r="81" spans="1:6" ht="24">
      <c r="A81" s="2858">
        <v>7</v>
      </c>
      <c r="B81" s="3499"/>
      <c r="C81" s="2832" t="s">
        <v>2664</v>
      </c>
      <c r="D81" s="2832" t="s">
        <v>2665</v>
      </c>
      <c r="E81" s="2858">
        <v>0.15</v>
      </c>
      <c r="F81" s="2858">
        <v>20</v>
      </c>
    </row>
    <row r="82" spans="1:6" ht="24">
      <c r="A82" s="2858">
        <v>8</v>
      </c>
      <c r="B82" s="3499"/>
      <c r="C82" s="2832" t="s">
        <v>2666</v>
      </c>
      <c r="D82" s="2832" t="s">
        <v>2667</v>
      </c>
      <c r="E82" s="2858">
        <v>0.1</v>
      </c>
      <c r="F82" s="2858">
        <v>15</v>
      </c>
    </row>
    <row r="83" spans="1:6" ht="24">
      <c r="A83" s="2858">
        <v>9</v>
      </c>
      <c r="B83" s="3499"/>
      <c r="C83" s="2832" t="s">
        <v>2668</v>
      </c>
      <c r="D83" s="2832" t="s">
        <v>2669</v>
      </c>
      <c r="E83" s="2858">
        <v>0.1</v>
      </c>
      <c r="F83" s="2858">
        <v>15</v>
      </c>
    </row>
    <row r="84" spans="1:6" ht="24">
      <c r="A84" s="2858">
        <v>10</v>
      </c>
      <c r="B84" s="3499"/>
      <c r="C84" s="2832" t="s">
        <v>2670</v>
      </c>
      <c r="D84" s="2832" t="s">
        <v>2671</v>
      </c>
      <c r="E84" s="2858">
        <v>0.1</v>
      </c>
      <c r="F84" s="2858">
        <v>15</v>
      </c>
    </row>
    <row r="85" spans="1:6" ht="24">
      <c r="A85" s="2858">
        <v>11</v>
      </c>
      <c r="B85" s="3499"/>
      <c r="C85" s="2832" t="s">
        <v>2672</v>
      </c>
      <c r="D85" s="2832" t="s">
        <v>2673</v>
      </c>
      <c r="E85" s="2858">
        <v>0.1</v>
      </c>
      <c r="F85" s="2858">
        <v>15</v>
      </c>
    </row>
    <row r="86" spans="1:6" ht="24">
      <c r="A86" s="2858">
        <v>12</v>
      </c>
      <c r="B86" s="3499"/>
      <c r="C86" s="2832" t="s">
        <v>2674</v>
      </c>
      <c r="D86" s="2832" t="s">
        <v>2675</v>
      </c>
      <c r="E86" s="2858">
        <v>0.1</v>
      </c>
      <c r="F86" s="2858">
        <v>15</v>
      </c>
    </row>
    <row r="87" spans="1:6" ht="13.5">
      <c r="A87" s="2858">
        <v>13</v>
      </c>
      <c r="B87" s="3499"/>
      <c r="C87" s="2832" t="s">
        <v>2676</v>
      </c>
      <c r="D87" s="2832" t="s">
        <v>2677</v>
      </c>
      <c r="E87" s="2858">
        <v>0.1</v>
      </c>
      <c r="F87" s="2858">
        <v>15</v>
      </c>
    </row>
    <row r="88" spans="1:6" ht="13.5">
      <c r="A88" s="2858">
        <v>14</v>
      </c>
      <c r="B88" s="3499"/>
      <c r="C88" s="2832" t="s">
        <v>2678</v>
      </c>
      <c r="D88" s="2832" t="s">
        <v>2679</v>
      </c>
      <c r="E88" s="2858">
        <v>0.1</v>
      </c>
      <c r="F88" s="2858">
        <v>15</v>
      </c>
    </row>
    <row r="89" spans="1:6" ht="13.5">
      <c r="A89" s="2858">
        <v>15</v>
      </c>
      <c r="B89" s="3499"/>
      <c r="C89" s="2832" t="s">
        <v>2680</v>
      </c>
      <c r="D89" s="2832" t="s">
        <v>2681</v>
      </c>
      <c r="E89" s="2858">
        <v>0.1</v>
      </c>
      <c r="F89" s="2858">
        <v>15</v>
      </c>
    </row>
    <row r="90" spans="1:6" ht="24">
      <c r="A90" s="2858">
        <v>16</v>
      </c>
      <c r="B90" s="3499"/>
      <c r="C90" s="2832" t="s">
        <v>2682</v>
      </c>
      <c r="D90" s="2832" t="s">
        <v>2683</v>
      </c>
      <c r="E90" s="2858">
        <v>0.1</v>
      </c>
      <c r="F90" s="2858">
        <v>15</v>
      </c>
    </row>
    <row r="91" spans="1:6" ht="24">
      <c r="A91" s="2858">
        <v>17</v>
      </c>
      <c r="B91" s="3498"/>
      <c r="C91" s="2832" t="s">
        <v>2684</v>
      </c>
      <c r="D91" s="2832" t="s">
        <v>2685</v>
      </c>
      <c r="E91" s="2858">
        <v>0.1</v>
      </c>
      <c r="F91" s="2858">
        <v>15</v>
      </c>
    </row>
    <row r="92" spans="1:6" ht="13.5">
      <c r="A92" s="2858">
        <v>18</v>
      </c>
      <c r="B92" s="3497" t="s">
        <v>2686</v>
      </c>
      <c r="C92" s="2832" t="s">
        <v>2687</v>
      </c>
      <c r="D92" s="2832" t="s">
        <v>2688</v>
      </c>
      <c r="E92" s="2858">
        <v>0.2</v>
      </c>
      <c r="F92" s="2858">
        <v>25</v>
      </c>
    </row>
    <row r="93" spans="1:6" ht="24">
      <c r="A93" s="2858">
        <v>19</v>
      </c>
      <c r="B93" s="3499"/>
      <c r="C93" s="2832" t="s">
        <v>2689</v>
      </c>
      <c r="D93" s="2832" t="s">
        <v>2690</v>
      </c>
      <c r="E93" s="2858">
        <v>0.2</v>
      </c>
      <c r="F93" s="2858">
        <v>25</v>
      </c>
    </row>
    <row r="94" spans="1:6" ht="13.5">
      <c r="A94" s="2858">
        <v>20</v>
      </c>
      <c r="B94" s="3499"/>
      <c r="C94" s="2832" t="s">
        <v>2691</v>
      </c>
      <c r="D94" s="2832" t="s">
        <v>2692</v>
      </c>
      <c r="E94" s="2858">
        <v>0.15</v>
      </c>
      <c r="F94" s="2858">
        <v>20</v>
      </c>
    </row>
    <row r="95" spans="1:6" ht="13.5">
      <c r="A95" s="2858">
        <v>21</v>
      </c>
      <c r="B95" s="3499"/>
      <c r="C95" s="2832" t="s">
        <v>2693</v>
      </c>
      <c r="D95" s="2832" t="s">
        <v>2694</v>
      </c>
      <c r="E95" s="2858">
        <v>0.15</v>
      </c>
      <c r="F95" s="2858">
        <v>20</v>
      </c>
    </row>
    <row r="96" spans="1:6" ht="13.5">
      <c r="A96" s="2858">
        <v>22</v>
      </c>
      <c r="B96" s="3499"/>
      <c r="C96" s="2832" t="s">
        <v>2695</v>
      </c>
      <c r="D96" s="2832" t="s">
        <v>2696</v>
      </c>
      <c r="E96" s="2858">
        <v>0.15</v>
      </c>
      <c r="F96" s="2858">
        <v>20</v>
      </c>
    </row>
    <row r="97" spans="1:6" ht="36">
      <c r="A97" s="2858">
        <v>23</v>
      </c>
      <c r="B97" s="3499"/>
      <c r="C97" s="2832" t="s">
        <v>2697</v>
      </c>
      <c r="D97" s="2832" t="s">
        <v>2698</v>
      </c>
      <c r="E97" s="2858">
        <v>0.15</v>
      </c>
      <c r="F97" s="2858">
        <v>20</v>
      </c>
    </row>
    <row r="98" spans="1:6" ht="13.5">
      <c r="A98" s="2858">
        <v>24</v>
      </c>
      <c r="B98" s="3499"/>
      <c r="C98" s="2832" t="s">
        <v>2699</v>
      </c>
      <c r="D98" s="2832" t="s">
        <v>2700</v>
      </c>
      <c r="E98" s="2858">
        <v>0.1</v>
      </c>
      <c r="F98" s="2858">
        <v>15</v>
      </c>
    </row>
    <row r="99" spans="1:6" ht="13.5">
      <c r="A99" s="2858">
        <v>25</v>
      </c>
      <c r="B99" s="3499"/>
      <c r="C99" s="2832" t="s">
        <v>2701</v>
      </c>
      <c r="D99" s="2832" t="s">
        <v>2702</v>
      </c>
      <c r="E99" s="2858">
        <v>0.1</v>
      </c>
      <c r="F99" s="2858">
        <v>15</v>
      </c>
    </row>
    <row r="100" spans="1:6" ht="24">
      <c r="A100" s="2858">
        <v>26</v>
      </c>
      <c r="B100" s="3499"/>
      <c r="C100" s="2832" t="s">
        <v>2703</v>
      </c>
      <c r="D100" s="2832" t="s">
        <v>2704</v>
      </c>
      <c r="E100" s="2858">
        <v>0.1</v>
      </c>
      <c r="F100" s="2858">
        <v>15</v>
      </c>
    </row>
    <row r="101" spans="1:6" ht="24">
      <c r="A101" s="2858">
        <v>27</v>
      </c>
      <c r="B101" s="3499"/>
      <c r="C101" s="2832" t="s">
        <v>2705</v>
      </c>
      <c r="D101" s="2832" t="s">
        <v>2706</v>
      </c>
      <c r="E101" s="2858">
        <v>0.1</v>
      </c>
      <c r="F101" s="2858">
        <v>15</v>
      </c>
    </row>
    <row r="102" spans="1:6" ht="13.5">
      <c r="A102" s="2858">
        <v>28</v>
      </c>
      <c r="B102" s="3499"/>
      <c r="C102" s="2832" t="s">
        <v>2707</v>
      </c>
      <c r="D102" s="2832" t="s">
        <v>2708</v>
      </c>
      <c r="E102" s="2858">
        <v>0.1</v>
      </c>
      <c r="F102" s="2858">
        <v>15</v>
      </c>
    </row>
    <row r="103" spans="1:6" ht="13.5">
      <c r="A103" s="2858">
        <v>29</v>
      </c>
      <c r="B103" s="3499"/>
      <c r="C103" s="2832" t="s">
        <v>2709</v>
      </c>
      <c r="D103" s="2832" t="s">
        <v>2710</v>
      </c>
      <c r="E103" s="2858">
        <v>0.1</v>
      </c>
      <c r="F103" s="2858">
        <v>15</v>
      </c>
    </row>
    <row r="104" spans="1:6" ht="13.5">
      <c r="A104" s="2858">
        <v>30</v>
      </c>
      <c r="B104" s="3499"/>
      <c r="C104" s="2832" t="s">
        <v>2711</v>
      </c>
      <c r="D104" s="2832" t="s">
        <v>2712</v>
      </c>
      <c r="E104" s="2858">
        <v>0.1</v>
      </c>
      <c r="F104" s="2858">
        <v>15</v>
      </c>
    </row>
    <row r="105" spans="1:6" ht="24">
      <c r="A105" s="2858">
        <v>31</v>
      </c>
      <c r="B105" s="3499"/>
      <c r="C105" s="2832" t="s">
        <v>2713</v>
      </c>
      <c r="D105" s="2832" t="s">
        <v>2714</v>
      </c>
      <c r="E105" s="2858">
        <v>0.1</v>
      </c>
      <c r="F105" s="2858">
        <v>15</v>
      </c>
    </row>
    <row r="106" spans="1:6" ht="24">
      <c r="A106" s="2858">
        <v>32</v>
      </c>
      <c r="B106" s="3499"/>
      <c r="C106" s="2832" t="s">
        <v>2715</v>
      </c>
      <c r="D106" s="2832" t="s">
        <v>2716</v>
      </c>
      <c r="E106" s="2858">
        <v>0.1</v>
      </c>
      <c r="F106" s="2858">
        <v>15</v>
      </c>
    </row>
    <row r="107" spans="1:6" ht="24">
      <c r="A107" s="2858">
        <v>33</v>
      </c>
      <c r="B107" s="3499"/>
      <c r="C107" s="2832" t="s">
        <v>2717</v>
      </c>
      <c r="D107" s="2832" t="s">
        <v>2718</v>
      </c>
      <c r="E107" s="2858">
        <v>0.1</v>
      </c>
      <c r="F107" s="2858">
        <v>15</v>
      </c>
    </row>
    <row r="108" spans="1:6" ht="24">
      <c r="A108" s="2858">
        <v>34</v>
      </c>
      <c r="B108" s="3498"/>
      <c r="C108" s="2832" t="s">
        <v>2719</v>
      </c>
      <c r="D108" s="2832" t="s">
        <v>2720</v>
      </c>
      <c r="E108" s="2858">
        <v>0.1</v>
      </c>
      <c r="F108" s="2858">
        <v>15</v>
      </c>
    </row>
    <row r="109" spans="1:6" ht="24">
      <c r="A109" s="2858">
        <v>35</v>
      </c>
      <c r="B109" s="3497" t="s">
        <v>2721</v>
      </c>
      <c r="C109" s="2858" t="s">
        <v>2722</v>
      </c>
      <c r="D109" s="2832" t="s">
        <v>2723</v>
      </c>
      <c r="E109" s="2858">
        <v>0.15</v>
      </c>
      <c r="F109" s="2858">
        <v>20</v>
      </c>
    </row>
    <row r="110" spans="1:6" ht="13.5">
      <c r="A110" s="2858">
        <v>36</v>
      </c>
      <c r="B110" s="3499"/>
      <c r="C110" s="2858" t="s">
        <v>2724</v>
      </c>
      <c r="D110" s="2832" t="s">
        <v>2725</v>
      </c>
      <c r="E110" s="2858">
        <v>0.15</v>
      </c>
      <c r="F110" s="2858">
        <v>20</v>
      </c>
    </row>
    <row r="111" spans="1:6" ht="13.5">
      <c r="A111" s="2858">
        <v>37</v>
      </c>
      <c r="B111" s="3499"/>
      <c r="C111" s="2858" t="s">
        <v>2726</v>
      </c>
      <c r="D111" s="2832" t="s">
        <v>2727</v>
      </c>
      <c r="E111" s="2858">
        <v>0.15</v>
      </c>
      <c r="F111" s="2858">
        <v>20</v>
      </c>
    </row>
    <row r="112" spans="1:6" ht="13.5">
      <c r="A112" s="2858">
        <v>38</v>
      </c>
      <c r="B112" s="3499"/>
      <c r="C112" s="2858" t="s">
        <v>2728</v>
      </c>
      <c r="D112" s="2832" t="s">
        <v>2729</v>
      </c>
      <c r="E112" s="2858">
        <v>0.1</v>
      </c>
      <c r="F112" s="2858">
        <v>15</v>
      </c>
    </row>
    <row r="113" spans="1:6" ht="24">
      <c r="A113" s="2858">
        <v>39</v>
      </c>
      <c r="B113" s="3499"/>
      <c r="C113" s="2858" t="s">
        <v>2730</v>
      </c>
      <c r="D113" s="2832" t="s">
        <v>2731</v>
      </c>
      <c r="E113" s="2858">
        <v>0.1</v>
      </c>
      <c r="F113" s="2858">
        <v>15</v>
      </c>
    </row>
    <row r="114" spans="1:6" ht="24">
      <c r="A114" s="2858">
        <v>40</v>
      </c>
      <c r="B114" s="3498"/>
      <c r="C114" s="2858" t="s">
        <v>2732</v>
      </c>
      <c r="D114" s="2832" t="s">
        <v>2733</v>
      </c>
      <c r="E114" s="2858">
        <v>0.1</v>
      </c>
      <c r="F114" s="2858">
        <v>15</v>
      </c>
    </row>
    <row r="115" spans="1:6" ht="13.5">
      <c r="A115" s="2858">
        <v>41</v>
      </c>
      <c r="B115" s="3496" t="s">
        <v>2734</v>
      </c>
      <c r="C115" s="2858" t="s">
        <v>2735</v>
      </c>
      <c r="D115" s="2832" t="s">
        <v>2736</v>
      </c>
      <c r="E115" s="2858">
        <v>0.1</v>
      </c>
      <c r="F115" s="2858">
        <v>15</v>
      </c>
    </row>
    <row r="116" spans="1:6" ht="13.5">
      <c r="A116" s="2858">
        <v>42</v>
      </c>
      <c r="B116" s="3496"/>
      <c r="C116" s="2858" t="s">
        <v>2737</v>
      </c>
      <c r="D116" s="2832" t="s">
        <v>2738</v>
      </c>
      <c r="E116" s="2858">
        <v>0.1</v>
      </c>
      <c r="F116" s="2858">
        <v>15</v>
      </c>
    </row>
    <row r="117" spans="1:6" ht="24">
      <c r="A117" s="2858">
        <v>43</v>
      </c>
      <c r="B117" s="3496"/>
      <c r="C117" s="2858" t="s">
        <v>2739</v>
      </c>
      <c r="D117" s="2832" t="s">
        <v>2740</v>
      </c>
      <c r="E117" s="2858">
        <v>0.1</v>
      </c>
      <c r="F117" s="2858">
        <v>15</v>
      </c>
    </row>
    <row r="118" spans="1:6" ht="13.5">
      <c r="A118" s="2858">
        <v>44</v>
      </c>
      <c r="B118" s="3497" t="s">
        <v>2741</v>
      </c>
      <c r="C118" s="2858" t="s">
        <v>2742</v>
      </c>
      <c r="D118" s="2832" t="s">
        <v>2743</v>
      </c>
      <c r="E118" s="2858">
        <v>0.1</v>
      </c>
      <c r="F118" s="2858">
        <v>15</v>
      </c>
    </row>
    <row r="119" spans="1:6" ht="24">
      <c r="A119" s="2858">
        <v>45</v>
      </c>
      <c r="B119" s="3498"/>
      <c r="C119" s="2832" t="s">
        <v>2744</v>
      </c>
      <c r="D119" s="2832" t="s">
        <v>2745</v>
      </c>
      <c r="E119" s="2858">
        <v>0.1</v>
      </c>
      <c r="F119" s="2858">
        <v>15</v>
      </c>
    </row>
    <row r="120" spans="1:6" ht="24">
      <c r="A120" s="2858">
        <v>46</v>
      </c>
      <c r="B120" s="3497" t="s">
        <v>2746</v>
      </c>
      <c r="C120" s="2858" t="s">
        <v>2747</v>
      </c>
      <c r="D120" s="2832" t="s">
        <v>2748</v>
      </c>
      <c r="E120" s="2858">
        <v>0.1</v>
      </c>
      <c r="F120" s="2858">
        <v>15</v>
      </c>
    </row>
    <row r="121" spans="1:6" ht="24">
      <c r="A121" s="2858">
        <v>47</v>
      </c>
      <c r="B121" s="3498"/>
      <c r="C121" s="2858" t="s">
        <v>2749</v>
      </c>
      <c r="D121" s="2832" t="s">
        <v>2750</v>
      </c>
      <c r="E121" s="2858">
        <v>0.1</v>
      </c>
      <c r="F121" s="2858">
        <v>15</v>
      </c>
    </row>
    <row r="122" spans="1:6" ht="13.5">
      <c r="A122" s="2858">
        <v>48</v>
      </c>
      <c r="B122" s="3497" t="s">
        <v>2751</v>
      </c>
      <c r="C122" s="2858" t="s">
        <v>2752</v>
      </c>
      <c r="D122" s="2832" t="s">
        <v>2753</v>
      </c>
      <c r="E122" s="2858">
        <v>0.1</v>
      </c>
      <c r="F122" s="2858">
        <v>15</v>
      </c>
    </row>
    <row r="123" spans="1:6" ht="13.5">
      <c r="A123" s="2858">
        <v>49</v>
      </c>
      <c r="B123" s="3498"/>
      <c r="C123" s="2858" t="s">
        <v>2754</v>
      </c>
      <c r="D123" s="2832" t="s">
        <v>2755</v>
      </c>
      <c r="E123" s="2858">
        <v>0.1</v>
      </c>
      <c r="F123" s="2858">
        <v>15</v>
      </c>
    </row>
    <row r="124" spans="1:6" ht="24">
      <c r="A124" s="2858">
        <v>50</v>
      </c>
      <c r="B124" s="3496" t="s">
        <v>2756</v>
      </c>
      <c r="C124" s="2858" t="s">
        <v>2757</v>
      </c>
      <c r="D124" s="2832" t="s">
        <v>2758</v>
      </c>
      <c r="E124" s="2858">
        <v>0.1</v>
      </c>
      <c r="F124" s="2858">
        <v>15</v>
      </c>
    </row>
    <row r="125" spans="1:6" ht="24">
      <c r="A125" s="2858">
        <v>51</v>
      </c>
      <c r="B125" s="3496"/>
      <c r="C125" s="2858" t="s">
        <v>2759</v>
      </c>
      <c r="D125" s="2832" t="s">
        <v>2760</v>
      </c>
      <c r="E125" s="2858">
        <v>0.1</v>
      </c>
      <c r="F125" s="2858">
        <v>15</v>
      </c>
    </row>
    <row r="126" spans="1:6" ht="24">
      <c r="A126" s="2858">
        <v>52</v>
      </c>
      <c r="B126" s="3496" t="s">
        <v>2761</v>
      </c>
      <c r="C126" s="2858" t="s">
        <v>2762</v>
      </c>
      <c r="D126" s="2832" t="s">
        <v>2763</v>
      </c>
      <c r="E126" s="2858">
        <v>0.1</v>
      </c>
      <c r="F126" s="2858">
        <v>15</v>
      </c>
    </row>
    <row r="127" spans="1:6" ht="24">
      <c r="A127" s="2858">
        <v>53</v>
      </c>
      <c r="B127" s="3496"/>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96" t="s">
        <v>2769</v>
      </c>
      <c r="C129" s="2858" t="s">
        <v>2770</v>
      </c>
      <c r="D129" s="2832" t="s">
        <v>2771</v>
      </c>
      <c r="E129" s="2858">
        <v>0.1</v>
      </c>
      <c r="F129" s="2858">
        <v>15</v>
      </c>
    </row>
    <row r="130" spans="1:6" ht="13.5">
      <c r="A130" s="2858">
        <v>56</v>
      </c>
      <c r="B130" s="3496"/>
      <c r="C130" s="2858" t="s">
        <v>2772</v>
      </c>
      <c r="D130" s="2832" t="s">
        <v>2773</v>
      </c>
      <c r="E130" s="2858">
        <v>0.1</v>
      </c>
      <c r="F130" s="2858">
        <v>15</v>
      </c>
    </row>
    <row r="131" spans="1:6" ht="24">
      <c r="A131" s="2858">
        <v>57</v>
      </c>
      <c r="B131" s="3496"/>
      <c r="C131" s="2858" t="s">
        <v>2774</v>
      </c>
      <c r="D131" s="2832" t="s">
        <v>2775</v>
      </c>
      <c r="E131" s="2858">
        <v>0.1</v>
      </c>
      <c r="F131" s="2858">
        <v>15</v>
      </c>
    </row>
    <row r="132" spans="1:6" ht="24">
      <c r="A132" s="2858">
        <v>58</v>
      </c>
      <c r="B132" s="3496" t="s">
        <v>2776</v>
      </c>
      <c r="C132" s="2858" t="s">
        <v>2777</v>
      </c>
      <c r="D132" s="2832" t="s">
        <v>2778</v>
      </c>
      <c r="E132" s="2858">
        <v>0.1</v>
      </c>
      <c r="F132" s="2858">
        <v>15</v>
      </c>
    </row>
    <row r="133" spans="1:6" ht="13.5">
      <c r="A133" s="2858">
        <v>59</v>
      </c>
      <c r="B133" s="3496"/>
      <c r="C133" s="2858" t="s">
        <v>2779</v>
      </c>
      <c r="D133" s="2832" t="s">
        <v>2780</v>
      </c>
      <c r="E133" s="2858">
        <v>0.1</v>
      </c>
      <c r="F133" s="2858">
        <v>15</v>
      </c>
    </row>
    <row r="134" spans="1:6" ht="13.5">
      <c r="A134" s="2858">
        <v>60</v>
      </c>
      <c r="B134" s="3497" t="s">
        <v>2781</v>
      </c>
      <c r="C134" s="2858" t="s">
        <v>2782</v>
      </c>
      <c r="D134" s="2832" t="s">
        <v>2783</v>
      </c>
      <c r="E134" s="2858">
        <v>0.1</v>
      </c>
      <c r="F134" s="2858">
        <v>15</v>
      </c>
    </row>
    <row r="135" spans="1:6" ht="13.5">
      <c r="A135" s="2858">
        <v>61</v>
      </c>
      <c r="B135" s="3498"/>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96" t="s">
        <v>2789</v>
      </c>
      <c r="C137" s="2858" t="s">
        <v>2790</v>
      </c>
      <c r="D137" s="2832" t="s">
        <v>2791</v>
      </c>
      <c r="E137" s="2858">
        <v>0.1</v>
      </c>
      <c r="F137" s="2858">
        <v>15</v>
      </c>
    </row>
    <row r="138" spans="1:6" ht="13.5">
      <c r="A138" s="2858">
        <v>64</v>
      </c>
      <c r="B138" s="3496"/>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1.0359</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0.94299999999999995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165346</v>
      </c>
      <c r="C2" s="2" t="s">
        <v>106</v>
      </c>
      <c r="D2" s="191"/>
      <c r="E2" s="191"/>
      <c r="F2" s="191"/>
      <c r="G2" s="191"/>
    </row>
    <row r="3" spans="1:7" s="192" customFormat="1" ht="18" customHeight="1" thickBot="1">
      <c r="A3" s="195" t="s">
        <v>58</v>
      </c>
      <c r="B3" s="196">
        <f ca="1">ROUND(B2*10000/'数据-汇总表'!E3,0)</f>
        <v>10145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3260</v>
      </c>
      <c r="D10" s="795">
        <f>'数据-汇总表'!E6</f>
        <v>162980.66999999998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3260</v>
      </c>
      <c r="D19" s="204">
        <f>'数据-汇总表'!E3</f>
        <v>162980.66999999998</v>
      </c>
      <c r="E19" s="203">
        <f>'数据-取费表'!B31</f>
        <v>200</v>
      </c>
      <c r="F19" s="223"/>
      <c r="G19" s="1" t="s">
        <v>436</v>
      </c>
    </row>
    <row r="20" spans="1:7" s="206" customFormat="1" ht="13.5" customHeight="1">
      <c r="A20" s="731" t="s">
        <v>419</v>
      </c>
      <c r="B20" s="202" t="s">
        <v>77</v>
      </c>
      <c r="C20" s="224">
        <f>ROUND((C5+C19)*F20,0)</f>
        <v>477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199</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4869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4869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33243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99174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89639</v>
      </c>
      <c r="D34" s="209"/>
      <c r="E34" s="212"/>
      <c r="F34" s="249">
        <f>IF('数据-取费表'!B24=0,1,'数据-取费表'!N16)</f>
        <v>1</v>
      </c>
      <c r="G34" s="211" t="s">
        <v>89</v>
      </c>
    </row>
    <row r="35" spans="1:7" ht="13.5" customHeight="1">
      <c r="A35" s="734" t="s">
        <v>351</v>
      </c>
      <c r="B35" s="207" t="s">
        <v>33</v>
      </c>
      <c r="C35" s="212">
        <f>ROUND(C34*F35,0)</f>
        <v>4482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3260</v>
      </c>
      <c r="D37" s="209">
        <f>'数据-汇总表'!E3</f>
        <v>162980.66999999998</v>
      </c>
      <c r="E37" s="241">
        <f>'数据-取费表'!B35</f>
        <v>200</v>
      </c>
      <c r="F37" s="251"/>
      <c r="G37" s="253" t="s">
        <v>92</v>
      </c>
    </row>
    <row r="38" spans="1:7" ht="13.5" customHeight="1">
      <c r="A38" s="734" t="s">
        <v>354</v>
      </c>
      <c r="B38" s="207" t="s">
        <v>36</v>
      </c>
      <c r="C38" s="212">
        <f>ROUND(C34*F38,0)</f>
        <v>1793</v>
      </c>
      <c r="D38" s="212"/>
      <c r="E38" s="212"/>
      <c r="F38" s="251">
        <f>'数据-取费表'!B36</f>
        <v>0.02</v>
      </c>
      <c r="G38" s="211" t="s">
        <v>90</v>
      </c>
    </row>
    <row r="39" spans="1:7" s="206" customFormat="1" ht="13.5" customHeight="1">
      <c r="A39" s="731" t="s">
        <v>338</v>
      </c>
      <c r="B39" s="202" t="s">
        <v>77</v>
      </c>
      <c r="C39" s="224">
        <f>ROUND(C33*F20,0)</f>
        <v>1983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3034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2975</v>
      </c>
      <c r="D42" s="230"/>
      <c r="E42" s="230"/>
      <c r="F42" s="231"/>
      <c r="G42" s="3373" t="s">
        <v>94</v>
      </c>
    </row>
    <row r="43" spans="1:7" ht="13.5" customHeight="1">
      <c r="A43" s="734" t="s">
        <v>347</v>
      </c>
      <c r="B43" s="207" t="s">
        <v>426</v>
      </c>
      <c r="C43" s="230">
        <f ca="1">ROUND(IF('数据-取费表'!B22&lt;=1,C39*F22*'数据-取费表'!B21/2,C39*(POWER((1+F22),'数据-取费表'!B21/2)-1)),0)</f>
        <v>59</v>
      </c>
      <c r="D43" s="230"/>
      <c r="E43" s="230"/>
      <c r="F43" s="231"/>
      <c r="G43" s="3374"/>
    </row>
    <row r="44" spans="1:7" ht="13.5" customHeight="1">
      <c r="A44" s="734" t="s">
        <v>348</v>
      </c>
      <c r="B44" s="207" t="s">
        <v>428</v>
      </c>
      <c r="C44" s="230">
        <f ca="1">ROUND(IF('数据-取费表'!B22&lt;=1,C40*F22*'数据-取费表'!B21/2,C40*(POWER((1+F22),'数据-取费表'!B21/2)-1)),4)</f>
        <v>5.9999999999999995E-4</v>
      </c>
      <c r="D44" s="230"/>
      <c r="E44" s="230"/>
      <c r="F44" s="231"/>
      <c r="G44" s="3375"/>
    </row>
    <row r="45" spans="1:7" s="206" customFormat="1" ht="13.5" customHeight="1">
      <c r="A45" s="731" t="s">
        <v>341</v>
      </c>
      <c r="B45" s="236" t="s">
        <v>85</v>
      </c>
      <c r="C45" s="237">
        <f>C46</f>
        <v>20231</v>
      </c>
      <c r="D45" s="227">
        <f>C47</f>
        <v>4.0000000000000001E-3</v>
      </c>
      <c r="E45" s="228" t="s">
        <v>102</v>
      </c>
      <c r="F45" s="238"/>
      <c r="G45" s="239" t="s">
        <v>434</v>
      </c>
    </row>
    <row r="46" spans="1:7" s="206" customFormat="1" ht="13.5" customHeight="1">
      <c r="A46" s="734" t="s">
        <v>349</v>
      </c>
      <c r="B46" s="240" t="s">
        <v>427</v>
      </c>
      <c r="C46" s="241">
        <f>ROUND((C33+C39)*F27,0)</f>
        <v>20231</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134799</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132103</v>
      </c>
      <c r="D51" s="224"/>
      <c r="E51" s="224"/>
      <c r="F51" s="256"/>
      <c r="G51" s="226" t="s">
        <v>37</v>
      </c>
    </row>
    <row r="52" spans="1:7" s="200" customFormat="1" ht="16.5" thickBot="1">
      <c r="A52" s="257" t="s">
        <v>38</v>
      </c>
      <c r="B52" s="258"/>
      <c r="C52" s="259">
        <f ca="1">C31+C51</f>
        <v>165346</v>
      </c>
      <c r="D52" s="258"/>
      <c r="E52" s="258"/>
      <c r="F52" s="258"/>
      <c r="G52" s="260"/>
    </row>
    <row r="55" spans="1:7" ht="15">
      <c r="B55" s="262" t="s">
        <v>39</v>
      </c>
      <c r="C55" s="263"/>
    </row>
    <row r="56" spans="1:7">
      <c r="B56" s="265" t="s">
        <v>40</v>
      </c>
      <c r="C56" s="266">
        <f ca="1">ROUND(C51/C52,3)</f>
        <v>0.79900000000000004</v>
      </c>
    </row>
    <row r="57" spans="1:7">
      <c r="B57" s="265" t="s">
        <v>41</v>
      </c>
      <c r="C57" s="267">
        <f ca="1">1-C56</f>
        <v>0.20099999999999996</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0" t="s">
        <v>3181</v>
      </c>
      <c r="B1" s="351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11" t="s">
        <v>3232</v>
      </c>
      <c r="B1" s="3511"/>
      <c r="C1" s="3511"/>
      <c r="D1" s="3511"/>
      <c r="E1" s="3511"/>
      <c r="F1" s="3512"/>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45876</v>
      </c>
      <c r="B1" s="2930" t="s">
        <v>3377</v>
      </c>
      <c r="C1" s="2931"/>
      <c r="D1" s="2931"/>
      <c r="E1" s="2931"/>
      <c r="F1" s="2931"/>
      <c r="G1" s="2931"/>
      <c r="H1" s="2931"/>
      <c r="I1" s="2931"/>
      <c r="J1" s="2897"/>
      <c r="K1" s="2931" t="s">
        <v>454</v>
      </c>
      <c r="L1" s="2931"/>
      <c r="M1" s="2931"/>
      <c r="N1" s="2931"/>
      <c r="O1" s="2931"/>
      <c r="P1" s="2931"/>
      <c r="Q1" s="2897"/>
      <c r="R1" s="3513" t="s">
        <v>456</v>
      </c>
      <c r="S1" s="3514"/>
      <c r="T1" s="3514"/>
      <c r="U1" s="3514"/>
      <c r="V1" s="3514"/>
      <c r="W1" s="3514"/>
      <c r="X1" s="2897"/>
      <c r="Y1" s="3513" t="s">
        <v>457</v>
      </c>
      <c r="Z1" s="3514"/>
      <c r="AA1" s="3514"/>
      <c r="AB1" s="3514"/>
      <c r="AC1" s="3514"/>
      <c r="AD1" s="3514"/>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3380</v>
      </c>
    </row>
    <row r="27" spans="1:44">
      <c r="I27" s="1405" t="s">
        <v>2825</v>
      </c>
    </row>
    <row r="29" spans="1:44" s="2009" customFormat="1" ht="12.75">
      <c r="B29" s="2930" t="s">
        <v>3378</v>
      </c>
      <c r="C29" s="2931"/>
      <c r="D29" s="2931"/>
      <c r="E29" s="2931"/>
      <c r="F29" s="2931"/>
      <c r="G29" s="2931"/>
      <c r="H29" s="2931"/>
      <c r="I29" s="2931"/>
      <c r="J29" s="2897"/>
      <c r="K29" s="2931" t="s">
        <v>2826</v>
      </c>
      <c r="L29" s="2931"/>
      <c r="M29" s="2931"/>
      <c r="N29" s="2931"/>
      <c r="O29" s="2931"/>
      <c r="P29" s="2931"/>
      <c r="Q29" s="2897"/>
      <c r="R29" s="3513" t="s">
        <v>2827</v>
      </c>
      <c r="S29" s="3514"/>
      <c r="T29" s="3514"/>
      <c r="U29" s="3514"/>
      <c r="V29" s="3514"/>
      <c r="W29" s="3514"/>
      <c r="X29" s="2897"/>
      <c r="Y29" s="3513" t="s">
        <v>2828</v>
      </c>
      <c r="Z29" s="3514"/>
      <c r="AA29" s="3514"/>
      <c r="AB29" s="3514"/>
      <c r="AC29" s="3514"/>
      <c r="AD29" s="3514"/>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7" customFormat="1" ht="12.75">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3379</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8" t="s">
        <v>452</v>
      </c>
      <c r="C1" s="3518"/>
      <c r="D1" s="3518"/>
      <c r="E1" s="3518"/>
      <c r="F1" s="3518"/>
      <c r="G1" s="3514" t="s">
        <v>453</v>
      </c>
      <c r="H1" s="3514"/>
      <c r="I1" s="3514"/>
      <c r="J1" s="3514"/>
      <c r="K1" s="3514"/>
      <c r="L1" s="3514"/>
      <c r="N1" s="3514" t="s">
        <v>454</v>
      </c>
      <c r="O1" s="3514"/>
      <c r="P1" s="3514"/>
      <c r="Q1" s="3514"/>
      <c r="S1" s="3514" t="s">
        <v>455</v>
      </c>
      <c r="T1" s="3514"/>
      <c r="U1" s="3514"/>
      <c r="V1" s="3514"/>
      <c r="X1" s="3513" t="s">
        <v>456</v>
      </c>
      <c r="Y1" s="3514"/>
      <c r="Z1" s="3514"/>
      <c r="AA1" s="3514"/>
      <c r="AB1" s="3514"/>
      <c r="AD1" s="3513" t="s">
        <v>457</v>
      </c>
      <c r="AE1" s="3514"/>
      <c r="AF1" s="3514"/>
      <c r="AG1" s="3514"/>
      <c r="AH1" s="351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26" t="s">
        <v>2839</v>
      </c>
      <c r="B1" s="3526"/>
      <c r="C1" s="3526"/>
      <c r="D1" s="3526"/>
      <c r="E1" s="3526"/>
      <c r="F1" s="3526"/>
      <c r="G1" s="352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2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2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45876</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801" t="s">
        <v>925</v>
      </c>
      <c r="E3" s="801" t="s">
        <v>931</v>
      </c>
      <c r="F3" s="801" t="s">
        <v>925</v>
      </c>
      <c r="G3" s="801" t="s">
        <v>926</v>
      </c>
      <c r="H3" s="801" t="s">
        <v>925</v>
      </c>
      <c r="I3" s="801" t="s">
        <v>926</v>
      </c>
    </row>
    <row r="4" spans="1:9" ht="15">
      <c r="A4" s="1403" t="str">
        <f>项目基本情况!S2</f>
        <v>北京市房地产</v>
      </c>
      <c r="B4" s="801">
        <f>项目基本情况!C17</f>
        <v>162980.66999999998</v>
      </c>
      <c r="C4" s="801">
        <f>项目基本情况!C18</f>
        <v>46654.62</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0" t="s">
        <v>927</v>
      </c>
      <c r="B5" s="3200"/>
      <c r="C5" s="3200"/>
      <c r="D5" s="3200" t="e">
        <f ca="1">结果表!D119</f>
        <v>#REF!</v>
      </c>
      <c r="E5" s="3200"/>
      <c r="F5" s="3200" t="e">
        <f ca="1">结果表!F119</f>
        <v>#REF!</v>
      </c>
      <c r="G5" s="3200"/>
      <c r="H5" s="3200" t="e">
        <f ca="1">结果表!H119</f>
        <v>#REF!</v>
      </c>
      <c r="I5" s="3200"/>
    </row>
    <row r="6" spans="1:9" ht="15.75">
      <c r="A6" s="3199" t="str">
        <f>结果表!A120</f>
        <v>估价师知悉的法定优先受偿款</v>
      </c>
      <c r="B6" s="3199"/>
      <c r="C6" s="3199"/>
      <c r="D6" s="3199">
        <f>结果表!D120</f>
        <v>0</v>
      </c>
      <c r="E6" s="3199"/>
      <c r="F6" s="3199"/>
      <c r="G6" s="3199"/>
      <c r="H6" s="3199"/>
      <c r="I6" s="3199"/>
    </row>
    <row r="7" spans="1:9" ht="15">
      <c r="A7" s="3200" t="s">
        <v>927</v>
      </c>
      <c r="B7" s="3200"/>
      <c r="C7" s="3200"/>
      <c r="D7" s="3201" t="str">
        <f>结果表!D121</f>
        <v>零元整</v>
      </c>
      <c r="E7" s="3202"/>
      <c r="F7" s="3202"/>
      <c r="G7" s="3202"/>
      <c r="H7" s="3202"/>
      <c r="I7" s="3203"/>
    </row>
    <row r="8" spans="1:9" ht="15.75">
      <c r="A8" s="3199" t="str">
        <f>结果表!A122</f>
        <v>房地产抵押价值</v>
      </c>
      <c r="B8" s="3199"/>
      <c r="C8" s="3199"/>
      <c r="D8" s="3199" t="e">
        <f ca="1">结果表!D122</f>
        <v>#REF!</v>
      </c>
      <c r="E8" s="3199"/>
      <c r="F8" s="3199"/>
      <c r="G8" s="3199"/>
      <c r="H8" s="3199"/>
      <c r="I8" s="3199"/>
    </row>
    <row r="9" spans="1:9" ht="15">
      <c r="A9" s="3200" t="s">
        <v>927</v>
      </c>
      <c r="B9" s="3200"/>
      <c r="C9" s="3200"/>
      <c r="D9" s="3200" t="e">
        <f ca="1">结果表!D123</f>
        <v>#REF!</v>
      </c>
      <c r="E9" s="3200"/>
      <c r="F9" s="3200"/>
      <c r="G9" s="3200"/>
      <c r="H9" s="3200"/>
      <c r="I9" s="3200"/>
    </row>
    <row r="10" spans="1:9" ht="15.75">
      <c r="A10" s="3199" t="str">
        <f>结果表!A124</f>
        <v/>
      </c>
      <c r="B10" s="3199"/>
      <c r="C10" s="3199"/>
      <c r="D10" s="3199" t="str">
        <f>结果表!D124</f>
        <v>——</v>
      </c>
      <c r="E10" s="3199"/>
      <c r="F10" s="3199"/>
      <c r="G10" s="3199"/>
      <c r="H10" s="3199"/>
      <c r="I10" s="3199"/>
    </row>
    <row r="11" spans="1:9" ht="15">
      <c r="A11" s="3200" t="s">
        <v>927</v>
      </c>
      <c r="B11" s="3200"/>
      <c r="C11" s="3200"/>
      <c r="D11" s="3200" t="e">
        <f>结果表!D125</f>
        <v>#VALUE!</v>
      </c>
      <c r="E11" s="3200"/>
      <c r="F11" s="3200"/>
      <c r="G11" s="3200"/>
      <c r="H11" s="3200"/>
      <c r="I11" s="3200"/>
    </row>
    <row r="12" spans="1:9" ht="15.75">
      <c r="A12" s="3199" t="str">
        <f>结果表!A126</f>
        <v/>
      </c>
      <c r="B12" s="3199"/>
      <c r="C12" s="3199"/>
      <c r="D12" s="3199" t="str">
        <f>结果表!D126</f>
        <v>——</v>
      </c>
      <c r="E12" s="3199"/>
      <c r="F12" s="3199"/>
      <c r="G12" s="3199"/>
      <c r="H12" s="3199"/>
      <c r="I12" s="3199"/>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2" t="s">
        <v>949</v>
      </c>
      <c r="B1" s="3212"/>
      <c r="C1" s="3212"/>
      <c r="D1" s="3212"/>
    </row>
    <row r="2" spans="1:4" ht="18">
      <c r="A2" s="3213" t="s">
        <v>933</v>
      </c>
      <c r="B2" s="3213"/>
      <c r="C2" s="3213"/>
      <c r="D2" s="321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3" t="s">
        <v>939</v>
      </c>
      <c r="B6" s="3213"/>
      <c r="C6" s="3213"/>
      <c r="D6" s="321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4"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6" t="str">
        <f>IF(项目基本情况!B8="抵押","4.本次评估估价师所知悉的法定优先受偿款情况说明如下：","——")</f>
        <v>4.本次评估估价师所知悉的法定优先受偿款情况说明如下：</v>
      </c>
      <c r="B14" s="3211"/>
      <c r="C14" s="3211"/>
      <c r="D14" s="3211"/>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943</v>
      </c>
      <c r="B16" s="3208"/>
      <c r="C16" s="3208"/>
      <c r="D16" s="3208"/>
    </row>
    <row r="17" spans="1:4" ht="144" customHeight="1">
      <c r="A17" s="3208" t="s">
        <v>944</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0" t="s">
        <v>956</v>
      </c>
      <c r="B15" s="3215" t="s">
        <v>109</v>
      </c>
      <c r="C15" s="3216"/>
    </row>
    <row r="16" spans="1:7" ht="13.5">
      <c r="A16" s="3221"/>
      <c r="B16" s="3215" t="s">
        <v>42</v>
      </c>
      <c r="C16" s="3216"/>
    </row>
    <row r="17" spans="1:3" ht="13.5">
      <c r="A17" s="3221"/>
      <c r="B17" s="3218" t="s">
        <v>957</v>
      </c>
      <c r="C17" s="1429" t="s">
        <v>956</v>
      </c>
    </row>
    <row r="18" spans="1:3" ht="13.5">
      <c r="A18" s="3221"/>
      <c r="B18" s="3218"/>
      <c r="C18" s="1429" t="s">
        <v>958</v>
      </c>
    </row>
    <row r="19" spans="1:3" ht="13.5">
      <c r="A19" s="3221"/>
      <c r="B19" s="3218"/>
      <c r="C19" s="1429" t="s">
        <v>959</v>
      </c>
    </row>
    <row r="20" spans="1:3" ht="13.5">
      <c r="A20" s="3222"/>
      <c r="B20" s="3217" t="s">
        <v>960</v>
      </c>
      <c r="C20" s="3216"/>
    </row>
    <row r="21" spans="1:3" ht="13.5">
      <c r="A21" s="1430" t="s">
        <v>961</v>
      </c>
      <c r="B21" s="1431"/>
      <c r="C21" s="1432"/>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9" t="s">
        <v>967</v>
      </c>
    </row>
    <row r="26" spans="1:3" ht="13.5">
      <c r="A26" s="3219"/>
      <c r="B26" s="3218"/>
      <c r="C26" s="1429" t="s">
        <v>968</v>
      </c>
    </row>
    <row r="27" spans="1:3" ht="13.5">
      <c r="A27" s="3219"/>
      <c r="B27" s="3218"/>
      <c r="C27" s="1429" t="s">
        <v>969</v>
      </c>
    </row>
    <row r="28" spans="1:3" ht="13.5">
      <c r="A28" s="3219"/>
      <c r="B28" s="3218"/>
      <c r="C28" s="1429" t="s">
        <v>970</v>
      </c>
    </row>
    <row r="29" spans="1:3" ht="13.5">
      <c r="A29" s="3219"/>
      <c r="B29" s="3218"/>
      <c r="C29" s="1429" t="s">
        <v>971</v>
      </c>
    </row>
    <row r="30" spans="1:3" ht="13.5">
      <c r="A30" s="3219"/>
      <c r="B30" s="3218"/>
      <c r="C30" s="1429" t="s">
        <v>972</v>
      </c>
    </row>
    <row r="31" spans="1:3" ht="13.5">
      <c r="A31" s="3219"/>
      <c r="B31" s="3218"/>
      <c r="C31" s="1429" t="s">
        <v>973</v>
      </c>
    </row>
    <row r="32" spans="1:3" ht="13.5">
      <c r="A32" s="3219"/>
      <c r="B32" s="3218"/>
      <c r="C32" s="1429" t="s">
        <v>974</v>
      </c>
    </row>
    <row r="33" spans="1:3" ht="13.5">
      <c r="A33" s="3219"/>
      <c r="B33" s="32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45877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60"/>
      <c r="E18" s="3225" t="s">
        <v>2162</v>
      </c>
      <c r="F18" s="3224"/>
      <c r="G18" s="32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商业收益法</vt:lpstr>
      <vt:lpstr>收益法 (元)</vt:lpstr>
      <vt:lpstr>收益法-酒店模型</vt:lpstr>
      <vt:lpstr>车库收益法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2025-08-08T08:23:46Z</dcterms:modified>
</cp:coreProperties>
</file>