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O23" i="1" l="1"/>
  <c r="O22" i="1"/>
  <c r="N23" i="1"/>
  <c r="N22" i="1"/>
  <c r="W24" i="1"/>
  <c r="W22" i="1"/>
  <c r="W23" i="1"/>
  <c r="W21" i="1"/>
  <c r="V23" i="1"/>
  <c r="V22" i="1"/>
  <c r="V21" i="1"/>
  <c r="V20" i="1"/>
  <c r="H15" i="77"/>
  <c r="K15" i="77"/>
  <c r="J15" i="77"/>
  <c r="I15" i="77"/>
  <c r="I14" i="77"/>
  <c r="I13" i="77"/>
  <c r="I12" i="77"/>
  <c r="I11" i="77"/>
  <c r="J10" i="77"/>
  <c r="I9" i="77"/>
  <c r="I8" i="77"/>
  <c r="J7" i="77"/>
  <c r="I7" i="77"/>
  <c r="I6" i="77"/>
  <c r="I5" i="77"/>
  <c r="I4" i="77"/>
  <c r="I3" i="77"/>
  <c r="K3" i="77"/>
  <c r="D38" i="43"/>
  <c r="D29" i="43"/>
  <c r="G20" i="6"/>
  <c r="K13" i="3"/>
  <c r="M13" i="3"/>
  <c r="H7" i="77"/>
  <c r="I7" i="37"/>
  <c r="G7" i="37"/>
  <c r="E7" i="37"/>
  <c r="I7" i="40"/>
  <c r="G7" i="40"/>
  <c r="E7" i="40"/>
  <c r="G82" i="43"/>
  <c r="G83" i="43"/>
  <c r="G84" i="43"/>
  <c r="G85" i="43"/>
  <c r="G86" i="43"/>
  <c r="G87" i="43"/>
  <c r="G88" i="43"/>
  <c r="G81" i="43"/>
  <c r="G41" i="43"/>
  <c r="AM7" i="1"/>
  <c r="AL7" i="1"/>
  <c r="AK7" i="1"/>
  <c r="W7" i="1"/>
  <c r="V7" i="1"/>
  <c r="U7" i="1"/>
  <c r="Q7" i="1"/>
  <c r="Y7" i="1"/>
  <c r="Y6" i="1"/>
  <c r="L7" i="1"/>
  <c r="J7" i="1"/>
  <c r="I7" i="1"/>
  <c r="F20" i="6"/>
  <c r="I13" i="3"/>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Q71" i="78" l="1"/>
  <c r="D24" i="78"/>
  <c r="P61" i="78"/>
  <c r="D22" i="78"/>
  <c r="J51" i="78"/>
  <c r="V6" i="71"/>
  <c r="U6" i="71"/>
  <c r="T6" i="71"/>
  <c r="S6" i="71"/>
  <c r="M6" i="78"/>
  <c r="M9" i="78"/>
  <c r="F16" i="78"/>
  <c r="M23" i="78"/>
  <c r="F26" i="78"/>
  <c r="M27" i="78"/>
  <c r="F37" i="78"/>
  <c r="F8" i="78"/>
  <c r="M22" i="78"/>
  <c r="M24" i="78"/>
  <c r="F40" i="78"/>
  <c r="L48" i="78"/>
  <c r="F6" i="78"/>
  <c r="M8" i="78"/>
  <c r="F13" i="78"/>
  <c r="J15" i="78"/>
  <c r="M26" i="78"/>
  <c r="F36" i="78"/>
  <c r="F38" i="78"/>
  <c r="F9" i="78"/>
  <c r="M28" i="78"/>
  <c r="F42" i="78"/>
  <c r="L47" i="78"/>
  <c r="N59" i="78" l="1"/>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D1" i="4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L27" i="6"/>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4"/>
  <c r="AC11" i="34"/>
  <c r="L19" i="9"/>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AE7" i="1"/>
  <c r="M29" i="78"/>
  <c r="F43" i="78"/>
  <c r="F7" i="78"/>
  <c r="C16" i="78"/>
  <c r="AO12" i="1"/>
  <c r="D2" i="33"/>
  <c r="F37" i="67"/>
  <c r="E8" i="76"/>
  <c r="F7" i="73"/>
  <c r="F20" i="31"/>
  <c r="F7" i="67"/>
  <c r="M8" i="67"/>
  <c r="M21" i="67"/>
  <c r="F13" i="67"/>
  <c r="F9" i="15"/>
  <c r="E2" i="69"/>
  <c r="F3" i="73"/>
  <c r="F43" i="67"/>
  <c r="J15" i="67"/>
  <c r="F16" i="15"/>
  <c r="E13" i="76"/>
  <c r="L48" i="15"/>
  <c r="AO13" i="1"/>
  <c r="C76" i="15"/>
  <c r="D2" i="37"/>
  <c r="F26" i="15"/>
  <c r="E7" i="76"/>
  <c r="M6" i="67"/>
  <c r="C76" i="67"/>
  <c r="D4" i="73"/>
  <c r="D35" i="9"/>
  <c r="F8" i="15"/>
  <c r="J15" i="15"/>
  <c r="L47" i="15"/>
  <c r="M26" i="15"/>
  <c r="F6" i="67"/>
  <c r="B8" i="76"/>
  <c r="M29" i="67"/>
  <c r="F6" i="73"/>
  <c r="B11" i="76"/>
  <c r="B10" i="76"/>
  <c r="M27" i="67"/>
  <c r="F42" i="15"/>
  <c r="F36" i="15"/>
  <c r="M22" i="15"/>
  <c r="D6" i="73"/>
  <c r="D3" i="73"/>
  <c r="F43" i="15"/>
  <c r="F38" i="15"/>
  <c r="M8" i="15"/>
  <c r="D34" i="9"/>
  <c r="B13" i="76"/>
  <c r="F37" i="15"/>
  <c r="AO10" i="1"/>
  <c r="M29" i="15"/>
  <c r="F6" i="15"/>
  <c r="E12" i="76"/>
  <c r="F8" i="67"/>
  <c r="F13" i="15"/>
  <c r="F7" i="15"/>
  <c r="D2" i="34"/>
  <c r="F9" i="67"/>
  <c r="B7" i="76"/>
  <c r="F40" i="67"/>
  <c r="F4" i="73"/>
  <c r="E2" i="68"/>
  <c r="F36" i="67"/>
  <c r="F42" i="67"/>
  <c r="L47" i="67"/>
  <c r="D5" i="73"/>
  <c r="F35" i="67"/>
  <c r="E11" i="76"/>
  <c r="F40" i="15"/>
  <c r="M27" i="15"/>
  <c r="M28" i="15"/>
  <c r="B9" i="76"/>
  <c r="D2" i="36"/>
  <c r="B12" i="76"/>
  <c r="AO11" i="1"/>
  <c r="F5" i="73"/>
  <c r="M9" i="67"/>
  <c r="M22" i="67"/>
  <c r="M23" i="67"/>
  <c r="M24" i="15"/>
  <c r="F16" i="67"/>
  <c r="F41" i="67"/>
  <c r="F38" i="67"/>
  <c r="L48" i="67"/>
  <c r="M24" i="67"/>
  <c r="M28" i="67"/>
  <c r="AO8" i="1"/>
  <c r="F26" i="67"/>
  <c r="D2" i="35"/>
  <c r="M26" i="67"/>
  <c r="M9" i="15"/>
  <c r="D7" i="73"/>
  <c r="D2" i="21"/>
  <c r="E9" i="76"/>
  <c r="M6" i="15"/>
  <c r="M23" i="15"/>
  <c r="E10" i="76"/>
  <c r="AO9" i="1"/>
  <c r="E8" i="49" l="1"/>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AC10" i="37"/>
  <c r="W8" i="40"/>
  <c r="K4" i="4"/>
  <c r="B46" i="48" s="1"/>
  <c r="B4" i="72" s="1"/>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F27" i="68"/>
  <c r="C29" i="68" s="1"/>
  <c r="D27" i="68" s="1"/>
  <c r="F27" i="1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27" i="6" s="1"/>
  <c r="E56" i="39"/>
  <c r="E51" i="40"/>
  <c r="F28" i="12"/>
  <c r="C29" i="12" s="1"/>
  <c r="D28" i="12" s="1"/>
  <c r="O6" i="1"/>
  <c r="P6" i="1" s="1"/>
  <c r="C36" i="69"/>
  <c r="E12" i="6"/>
  <c r="B4" i="62"/>
  <c r="B71" i="72"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F31" i="6"/>
  <c r="E59" i="40"/>
  <c r="M16" i="1"/>
  <c r="C34" i="68" s="1"/>
  <c r="C38" i="68" s="1"/>
  <c r="P7" i="1"/>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M17" i="15"/>
  <c r="F59" i="15"/>
  <c r="C14" i="67"/>
  <c r="G1" i="73"/>
  <c r="F59" i="67"/>
  <c r="F31" i="15"/>
  <c r="C16" i="67"/>
  <c r="C16" i="15"/>
  <c r="M17" i="67"/>
  <c r="F31" i="67"/>
  <c r="O16" i="1" l="1"/>
  <c r="C34" i="11"/>
  <c r="C38" i="11" s="1"/>
  <c r="J30" i="37"/>
  <c r="F30" i="37"/>
  <c r="H30" i="37"/>
  <c r="C47" i="68"/>
  <c r="D45" i="68" s="1"/>
  <c r="C38" i="69"/>
  <c r="D5" i="43"/>
  <c r="C35" i="68"/>
  <c r="H6" i="3"/>
  <c r="C47" i="69"/>
  <c r="D45" i="69" s="1"/>
  <c r="C47" i="11"/>
  <c r="D45" i="11" s="1"/>
  <c r="C29" i="11"/>
  <c r="D27"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H21" i="6"/>
  <c r="D19" i="6"/>
  <c r="C4" i="52"/>
  <c r="B45" i="72" s="1"/>
  <c r="D23" i="6"/>
  <c r="C35" i="11"/>
  <c r="S24"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C17" i="15"/>
  <c r="C14" i="15"/>
  <c r="AE6" i="1"/>
  <c r="F41" i="78"/>
  <c r="F41" i="15"/>
  <c r="G7" i="1" l="1"/>
  <c r="G6" i="1"/>
  <c r="H16" i="1"/>
  <c r="AQ6" i="1"/>
  <c r="AR6" i="1"/>
  <c r="AB30" i="37"/>
  <c r="U30" i="37"/>
  <c r="AC30" i="37"/>
  <c r="W30" i="37"/>
  <c r="AA30" i="37"/>
  <c r="S30" i="37"/>
  <c r="H33" i="37"/>
  <c r="J33" i="37"/>
  <c r="F33" i="37"/>
  <c r="E41" i="43"/>
  <c r="C41" i="43" s="1"/>
  <c r="C39" i="43" s="1"/>
  <c r="C20" i="43"/>
  <c r="C35" i="43" s="1"/>
  <c r="M20" i="6"/>
  <c r="I20" i="6" s="1"/>
  <c r="S7" i="1"/>
  <c r="H22" i="6"/>
  <c r="A10" i="51"/>
  <c r="B9" i="72" s="1"/>
  <c r="C18" i="15"/>
  <c r="C15" i="15"/>
  <c r="D16" i="6"/>
  <c r="F24" i="78"/>
  <c r="C24" i="78" s="1"/>
  <c r="F69" i="78"/>
  <c r="J26" i="78"/>
  <c r="J29" i="78" s="1"/>
  <c r="J24" i="78"/>
  <c r="C53" i="78"/>
  <c r="C48" i="78" s="1"/>
  <c r="C10" i="78"/>
  <c r="C5" i="78" s="1"/>
  <c r="F69" i="15"/>
  <c r="A7" i="51"/>
  <c r="B7" i="72" s="1"/>
  <c r="D30" i="6"/>
  <c r="I19" i="6"/>
  <c r="M27" i="6"/>
  <c r="R23" i="6"/>
  <c r="R24" i="6"/>
  <c r="R25" i="6"/>
  <c r="C33" i="11"/>
  <c r="C39" i="11" s="1"/>
  <c r="C46" i="11" s="1"/>
  <c r="C45" i="11" s="1"/>
  <c r="F50" i="11"/>
  <c r="F50" i="69"/>
  <c r="F50" i="68"/>
  <c r="C15" i="12"/>
  <c r="C12" i="12"/>
  <c r="R21" i="6"/>
  <c r="D17" i="12"/>
  <c r="C17" i="12" s="1"/>
  <c r="C14" i="12"/>
  <c r="D10" i="68"/>
  <c r="D6" i="6"/>
  <c r="D10" i="11"/>
  <c r="C10" i="11" s="1"/>
  <c r="D20" i="12"/>
  <c r="C20" i="12" s="1"/>
  <c r="C18" i="12" s="1"/>
  <c r="D10" i="69"/>
  <c r="D27" i="6"/>
  <c r="R22"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C17" i="78"/>
  <c r="G16" i="1" l="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7" i="43"/>
  <c r="E34" i="43"/>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29" i="43" l="1"/>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E6" i="76"/>
  <c r="M21" i="78"/>
  <c r="F35" i="78"/>
  <c r="F35" i="15"/>
  <c r="M21" i="15"/>
  <c r="L51" i="67"/>
  <c r="R42" i="40" l="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J16" i="15" s="1"/>
  <c r="J25"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R43" i="40"/>
  <c r="E42" i="40"/>
  <c r="J16" i="67"/>
  <c r="J25" i="67" s="1"/>
  <c r="C80" i="67"/>
  <c r="C79" i="67" s="1"/>
  <c r="C58" i="67"/>
  <c r="C67" i="67" s="1"/>
  <c r="C68" i="67" s="1"/>
  <c r="Q69" i="67"/>
  <c r="Q68" i="67" s="1"/>
  <c r="C40" i="67"/>
  <c r="B6" i="76"/>
  <c r="C30" i="15" l="1"/>
  <c r="C39" i="15" s="1"/>
  <c r="C40" i="15" s="1"/>
  <c r="Q56" i="15" s="1"/>
  <c r="J14" i="78"/>
  <c r="C13" i="78"/>
  <c r="C57" i="78"/>
  <c r="J19" i="78"/>
  <c r="J17" i="78" s="1"/>
  <c r="C36" i="78"/>
  <c r="Q49" i="78"/>
  <c r="C23" i="68"/>
  <c r="C20" i="68"/>
  <c r="B2" i="76"/>
  <c r="B3" i="76" s="1"/>
  <c r="B3" i="43"/>
  <c r="C80" i="15"/>
  <c r="C79" i="15" s="1"/>
  <c r="Q69" i="15"/>
  <c r="Q68" i="15" s="1"/>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7" i="15" l="1"/>
  <c r="C75" i="78"/>
  <c r="Q70" i="78"/>
  <c r="C37" i="78"/>
  <c r="C30" i="78" s="1"/>
  <c r="C39" i="78" s="1"/>
  <c r="C56" i="78"/>
  <c r="C65" i="78" s="1"/>
  <c r="C61" i="78"/>
  <c r="C59" i="78" s="1"/>
  <c r="C64" i="78"/>
  <c r="J22" i="78"/>
  <c r="J13" i="78"/>
  <c r="J23" i="78" s="1"/>
  <c r="B2" i="15"/>
  <c r="B3" i="15" s="1"/>
  <c r="C28" i="68"/>
  <c r="C27" i="68" s="1"/>
  <c r="C25" i="68"/>
  <c r="C22" i="68" s="1"/>
  <c r="C40" i="78"/>
  <c r="C80" i="78"/>
  <c r="C79" i="78" s="1"/>
  <c r="Q47" i="15"/>
  <c r="Q53" i="15" s="1"/>
  <c r="C46" i="15"/>
  <c r="Q65" i="15"/>
  <c r="C83" i="15"/>
  <c r="C82" i="15" s="1"/>
  <c r="C43" i="15"/>
  <c r="L57" i="78"/>
  <c r="L60" i="78" s="1"/>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L51" i="78"/>
  <c r="AO6" i="1"/>
  <c r="J16" i="78" l="1"/>
  <c r="J25" i="78" s="1"/>
  <c r="C58" i="78"/>
  <c r="C67" i="78" s="1"/>
  <c r="C68" i="78" s="1"/>
  <c r="C71" i="78" s="1"/>
  <c r="Q67" i="78"/>
  <c r="Q69" i="78"/>
  <c r="Q68" i="78" s="1"/>
  <c r="B6" i="70"/>
  <c r="Q75" i="15"/>
  <c r="C31" i="68"/>
  <c r="C52" i="68" s="1"/>
  <c r="B2" i="68" s="1"/>
  <c r="C43" i="78"/>
  <c r="Q65" i="78"/>
  <c r="C83" i="78"/>
  <c r="C82" i="78" s="1"/>
  <c r="Q56" i="78"/>
  <c r="Q47" i="78"/>
  <c r="Q53" i="78" s="1"/>
  <c r="C57" i="69"/>
  <c r="C56" i="69" s="1"/>
  <c r="Q66" i="78"/>
  <c r="Q57" i="78"/>
  <c r="Q62" i="78" s="1"/>
  <c r="L46" i="78"/>
  <c r="B2" i="78" s="1"/>
  <c r="E52" i="21"/>
  <c r="F52" i="21" s="1"/>
  <c r="E53" i="21"/>
  <c r="F53" i="21" s="1"/>
  <c r="I53" i="21"/>
  <c r="J53" i="21" s="1"/>
  <c r="C49" i="21"/>
  <c r="B2" i="21" s="1"/>
  <c r="B3" i="21" s="1"/>
  <c r="C48" i="21"/>
  <c r="C19" i="9"/>
  <c r="AO7" i="1"/>
  <c r="C46" i="78" l="1"/>
  <c r="C57" i="68"/>
  <c r="C56" i="68" s="1"/>
  <c r="C102" i="9"/>
  <c r="C21" i="9"/>
  <c r="B3" i="68"/>
  <c r="B7" i="70"/>
  <c r="B2" i="70" s="1"/>
  <c r="B3" i="78"/>
  <c r="Q75" i="78"/>
  <c r="D19" i="9"/>
  <c r="C20" i="9"/>
  <c r="D102" i="9" l="1"/>
  <c r="D21" i="9"/>
  <c r="D22" i="9"/>
  <c r="G19" i="9"/>
  <c r="G21" i="9" s="1"/>
  <c r="B3" i="70"/>
  <c r="C103" i="9"/>
  <c r="D20" i="9"/>
  <c r="C32" i="9" l="1"/>
  <c r="H118" i="9" s="1"/>
  <c r="D103" i="9"/>
  <c r="G20" i="9"/>
  <c r="C35" i="9" l="1"/>
  <c r="F118" i="9" s="1"/>
  <c r="F4" i="52" s="1"/>
  <c r="B51" i="72" s="1"/>
  <c r="H4" i="52"/>
  <c r="H101" i="9"/>
  <c r="C104" i="9"/>
  <c r="D14" i="74"/>
  <c r="I118" i="9"/>
  <c r="H119" i="9"/>
  <c r="H5" i="52" s="1"/>
  <c r="F119" i="9" l="1"/>
  <c r="F5" i="52" s="1"/>
  <c r="B53" i="72" s="1"/>
  <c r="G118" i="9"/>
  <c r="G4" i="52" s="1"/>
  <c r="B52" i="72" s="1"/>
  <c r="C34" i="9"/>
  <c r="D118" i="9" s="1"/>
  <c r="H102" i="9"/>
  <c r="D7" i="53" s="1"/>
  <c r="B21" i="72" s="1"/>
  <c r="I4" i="52"/>
  <c r="C105" i="9"/>
  <c r="F14" i="74"/>
  <c r="E14" i="74"/>
  <c r="B5" i="74"/>
  <c r="D45" i="9"/>
  <c r="D5" i="53"/>
  <c r="H107" i="9"/>
  <c r="M48" i="9"/>
  <c r="E118" i="9" l="1"/>
  <c r="E4" i="52" s="1"/>
  <c r="B48" i="72" s="1"/>
  <c r="D119" i="9"/>
  <c r="D5" i="52" s="1"/>
  <c r="B49" i="72" s="1"/>
  <c r="D4" i="52"/>
  <c r="B47" i="72" s="1"/>
  <c r="B20" i="72"/>
  <c r="D6" i="53"/>
  <c r="B22" i="72" s="1"/>
  <c r="C5" i="74"/>
  <c r="D5" i="74"/>
  <c r="M49" i="9"/>
  <c r="D13" i="53"/>
  <c r="H108" i="9"/>
  <c r="D15" i="53" s="1"/>
  <c r="B31" i="72" s="1"/>
  <c r="D122" i="9"/>
  <c r="C78" i="9"/>
  <c r="C73" i="9" s="1"/>
  <c r="C72" i="9"/>
  <c r="D53" i="9"/>
  <c r="C85" i="9"/>
  <c r="D55" i="9"/>
  <c r="M53" i="9" s="1"/>
  <c r="C93" i="9"/>
  <c r="C86" i="9" s="1"/>
  <c r="C64" i="9"/>
  <c r="C63" i="9" s="1"/>
  <c r="C67" i="9" s="1"/>
  <c r="C68" i="9" s="1"/>
  <c r="D54" i="9" s="1"/>
  <c r="D52" i="9"/>
  <c r="C95" i="9" l="1"/>
  <c r="C79" i="9"/>
  <c r="D8" i="52"/>
  <c r="G14" i="74"/>
  <c r="B6" i="74" s="1"/>
  <c r="D123" i="9"/>
  <c r="D9" i="52" s="1"/>
  <c r="B30" i="72"/>
  <c r="D14" i="53"/>
  <c r="B32" i="72" s="1"/>
  <c r="L65" i="9"/>
  <c r="M65" i="9" s="1"/>
  <c r="L64" i="9"/>
  <c r="M64" i="9" s="1"/>
  <c r="L67" i="9"/>
  <c r="M67" i="9" s="1"/>
  <c r="L68" i="9"/>
  <c r="M68" i="9" s="1"/>
  <c r="L66" i="9"/>
  <c r="M66" i="9" s="1"/>
  <c r="L63" i="9"/>
  <c r="M63" i="9" s="1"/>
  <c r="M69" i="9" l="1"/>
  <c r="N69" i="9" s="1"/>
  <c r="D6" i="74"/>
  <c r="C6" i="74"/>
  <c r="C80" i="9"/>
  <c r="E80" i="9" s="1"/>
  <c r="E81" i="9" s="1"/>
  <c r="C96" i="9"/>
  <c r="E96" i="9" s="1"/>
  <c r="E97"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<sst xmlns="http://schemas.openxmlformats.org/spreadsheetml/2006/main" count="7807" uniqueCount="3146">
  <si>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</si>
  <si>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</si>
  <si>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</si>
  <si>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</si>
  <si>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</si>
  <si>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</si>
  <si>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</si>
  <si>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</si>
  <si>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</si>
  <si>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</si>
  <si>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</si>
  <si>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</si>
  <si>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</si>
  <si>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</si>
  <si>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</si>
  <si>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</si>
  <si>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</si>
  <si>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</si>
  <si>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</si>
  <si>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</si>
  <si>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</si>
  <si>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</si>
  <si>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</si>
  <si>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</si>
  <si>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</si>
  <si>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</si>
  <si>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</si>
  <si>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</si>
  <si>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</si>
  <si>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</si>
  <si>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</si>
  <si>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</si>
  <si>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</si>
  <si>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</si>
  <si>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</si>
  <si>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</si>
  <si>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</si>
  <si>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</si>
  <si>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</si>
  <si>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</si>
  <si>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</si>
  <si>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</si>
  <si>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</si>
  <si>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</si>
  <si>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</si>
  <si>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</si>
  <si>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</si>
  <si>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</si>
  <si>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</si>
  <si>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</si>
  <si>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</si>
  <si>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</si>
  <si>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</si>
  <si>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</si>
  <si>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</si>
  <si>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</si>
  <si>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</si>
  <si>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</si>
  <si>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</si>
  <si>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</si>
  <si>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</si>
  <si>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</si>
  <si>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</si>
  <si>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</si>
  <si>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</si>
  <si>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</si>
  <si>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</si>
  <si>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</si>
  <si>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</si>
  <si>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</si>
  <si>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</si>
  <si>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</si>
  <si>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</si>
  <si>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</si>
  <si>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</si>
  <si>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</si>
  <si>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</si>
  <si>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</si>
  <si>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</si>
  <si>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</si>
  <si>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</si>
  <si>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</si>
  <si>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</si>
  <si>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</si>
  <si>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</si>
  <si>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</si>
  <si>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</si>
  <si>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</si>
  <si>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</si>
  <si>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</si>
  <si>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</si>
  <si>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</si>
  <si>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</si>
  <si>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</si>
  <si>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</si>
  <si>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</si>
  <si>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</si>
  <si>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</si>
  <si>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</si>
  <si>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</si>
  <si>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</si>
  <si>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</si>
  <si>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</si>
  <si>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</si>
  <si>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</si>
  <si>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</si>
  <si>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</si>
  <si>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</si>
  <si>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</si>
  <si>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</si>
  <si>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</si>
  <si>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</si>
  <si>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</si>
  <si>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</si>
  <si>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</si>
  <si>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</si>
  <si>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</si>
  <si>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</si>
  <si>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</si>
  <si>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</si>
  <si>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</si>
  <si>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</si>
  <si>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</si>
  <si>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</si>
  <si>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</si>
  <si>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</si>
  <si>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</si>
  <si>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</si>
  <si>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</si>
  <si>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</si>
  <si>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</si>
  <si>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</si>
  <si>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</si>
  <si>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</si>
  <si>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</si>
  <si>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</si>
  <si>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</si>
  <si>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</si>
  <si>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</si>
  <si>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</si>
  <si>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</si>
  <si>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</si>
  <si>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</si>
  <si>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</si>
  <si>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</si>
  <si>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</si>
  <si>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</si>
  <si>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</si>
  <si>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</si>
  <si>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</si>
  <si>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</si>
  <si>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</si>
  <si>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</si>
  <si>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</si>
  <si>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</si>
  <si>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</si>
  <si>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</si>
  <si>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</si>
  <si>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</si>
  <si>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</si>
  <si>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</si>
  <si>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</si>
  <si>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</si>
  <si>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</si>
  <si>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</si>
  <si>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</si>
  <si>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</si>
  <si>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</si>
  <si>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</si>
  <si>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</si>
  <si>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</si>
  <si>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</si>
  <si>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</si>
  <si>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</si>
  <si>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</si>
  <si>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</si>
  <si>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</si>
  <si>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</si>
  <si>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</si>
  <si>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</si>
  <si>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</si>
  <si>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</si>
  <si>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</si>
  <si>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</si>
  <si>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</si>
  <si>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</si>
  <si>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</si>
  <si>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</si>
  <si>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</si>
  <si>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</si>
  <si>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</si>
  <si>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</si>
  <si>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</si>
  <si>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</si>
  <si>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</si>
  <si>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</si>
  <si>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</si>
  <si>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</si>
  <si>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</si>
  <si>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</si>
  <si>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</si>
  <si>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</si>
  <si>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</si>
  <si>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</si>
  <si>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</si>
  <si>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</si>
  <si>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</si>
  <si>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</si>
  <si>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</si>
  <si>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</si>
  <si>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</si>
  <si>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</si>
  <si>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</si>
  <si>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</si>
  <si>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</si>
  <si>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</si>
  <si>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</si>
  <si>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</si>
  <si>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</si>
  <si>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</si>
  <si>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</si>
  <si>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</si>
  <si>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</si>
  <si>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</si>
  <si>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</si>
  <si>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</si>
  <si>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</si>
  <si>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</si>
  <si>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</si>
  <si>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</si>
  <si>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</si>
  <si>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</si>
  <si>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</si>
  <si>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</si>
  <si>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</si>
  <si>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</si>
  <si>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</si>
  <si>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</si>
  <si>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</si>
  <si>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</si>
  <si>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</si>
  <si>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</si>
  <si>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</si>
  <si>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</si>
  <si>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</si>
  <si>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</si>
  <si>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</si>
  <si>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</si>
  <si>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</si>
  <si>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</si>
  <si>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</si>
  <si>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</si>
  <si>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</si>
  <si>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</si>
  <si>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</si>
  <si>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</si>
  <si>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</si>
  <si>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</si>
  <si>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</si>
  <si>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</si>
  <si>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</si>
  <si>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</si>
  <si>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</si>
  <si>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</si>
  <si>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</si>
  <si>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</si>
  <si>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</si>
  <si>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</si>
  <si>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</si>
  <si>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</si>
  <si>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</si>
  <si>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</si>
  <si>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</si>
  <si>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</si>
  <si>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</si>
  <si>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</si>
  <si>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</si>
  <si>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</si>
  <si>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</si>
  <si>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</si>
  <si>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</si>
  <si>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</si>
  <si>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</si>
  <si>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</si>
  <si>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</si>
  <si>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</si>
  <si>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</si>
  <si>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</si>
  <si>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</si>
  <si>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</si>
  <si>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</si>
  <si>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</si>
  <si>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</si>
  <si>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</si>
  <si>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</si>
  <si>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</si>
  <si>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</si>
  <si>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</si>
  <si>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</si>
  <si>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</si>
  <si>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</si>
  <si>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</si>
  <si>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</si>
  <si>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</si>
  <si>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</si>
  <si>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</si>
  <si>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</si>
  <si>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</si>
  <si>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</si>
  <si>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</si>
  <si>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</si>
  <si>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</si>
  <si>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</si>
  <si>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</si>
  <si>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</si>
  <si>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</si>
  <si>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</si>
  <si>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</si>
  <si>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</si>
  <si>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</si>
  <si>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</si>
  <si>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</si>
  <si>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</si>
  <si>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</si>
  <si>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</si>
  <si>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</si>
  <si>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</si>
  <si>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</si>
  <si>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</si>
  <si>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</si>
  <si>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</si>
  <si>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</si>
  <si>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</si>
  <si>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</si>
  <si>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</si>
  <si>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</si>
  <si>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</si>
  <si>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</si>
  <si>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</si>
  <si>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</si>
  <si>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</si>
  <si>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</si>
  <si>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</si>
  <si>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</si>
  <si>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</si>
  <si>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</si>
  <si>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</si>
  <si>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</si>
  <si>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</si>
  <si>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</si>
  <si>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</si>
  <si>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</si>
  <si>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</si>
  <si>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</si>
  <si>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</si>
  <si>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</si>
  <si>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</si>
  <si>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</si>
  <si>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</si>
  <si>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</si>
  <si>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</si>
  <si>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</si>
  <si>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</si>
  <si>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</si>
  <si>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</si>
  <si>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</si>
  <si>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</si>
  <si>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</si>
  <si>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</si>
  <si>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</si>
  <si>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</si>
  <si>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</si>
  <si>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</si>
  <si>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</si>
  <si>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</si>
  <si>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</si>
  <si>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</si>
  <si>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</si>
  <si>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</si>
  <si>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</si>
  <si>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</si>
  <si>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</si>
  <si>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</si>
  <si>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</si>
  <si>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</si>
  <si>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</si>
  <si>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</si>
  <si>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</si>
  <si>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</si>
  <si>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</si>
  <si>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</si>
  <si>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</si>
  <si>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</si>
  <si>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</si>
  <si>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</si>
  <si>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</si>
  <si>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</si>
  <si>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</si>
  <si>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</si>
  <si>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</si>
  <si>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</si>
  <si>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</si>
  <si>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</si>
  <si>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</si>
  <si>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</si>
  <si>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</si>
  <si>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</si>
  <si>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</si>
  <si>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</si>
  <si>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</si>
  <si>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</si>
  <si>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</si>
  <si>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</si>
  <si>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</si>
  <si>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</si>
  <si>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</si>
  <si>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</si>
  <si>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</si>
  <si>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</si>
  <si>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</si>
  <si>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</si>
  <si>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</si>
  <si>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</si>
  <si>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</si>
  <si>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</si>
  <si>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</si>
  <si>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</si>
  <si>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</si>
  <si>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</si>
  <si>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</si>
  <si>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</si>
  <si>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</si>
  <si>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</si>
  <si>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</si>
  <si>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</si>
  <si>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</si>
  <si>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</si>
  <si>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</si>
  <si>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</si>
  <si>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</si>
  <si>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</si>
  <si>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</si>
  <si>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</si>
  <si>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</si>
  <si>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</si>
  <si>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</si>
  <si>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</si>
  <si>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</si>
  <si>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</si>
  <si>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</si>
  <si>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</si>
  <si>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</si>
  <si>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</si>
  <si>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</si>
  <si>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</si>
  <si>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</si>
  <si>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</si>
  <si>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</si>
  <si>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</si>
  <si>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</si>
  <si>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</si>
  <si>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</si>
  <si>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</si>
  <si>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</si>
  <si>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</si>
  <si>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</si>
  <si>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</si>
  <si>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</si>
  <si>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</si>
  <si>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</si>
  <si>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</si>
  <si>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</si>
  <si>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</si>
  <si>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</si>
  <si>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</si>
  <si>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</si>
  <si>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</si>
  <si>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</si>
  <si>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</si>
  <si>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</si>
  <si>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</si>
  <si>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</si>
  <si>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</si>
  <si>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</si>
  <si>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</si>
  <si>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</si>
  <si>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</si>
  <si>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</si>
  <si>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</si>
  <si>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</si>
  <si>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</si>
  <si>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</si>
  <si>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</si>
  <si>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</si>
  <si>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</si>
  <si>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</si>
  <si>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</si>
  <si>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</si>
  <si>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</si>
  <si>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</si>
  <si>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</si>
  <si>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</si>
  <si>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</si>
  <si>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</si>
  <si>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</si>
  <si>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</si>
  <si>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</si>
  <si>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</si>
  <si>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</si>
  <si>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</si>
  <si>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</si>
  <si>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</si>
  <si>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</si>
  <si>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</si>
  <si>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</si>
  <si>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</si>
  <si>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</si>
  <si>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</si>
  <si>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</si>
  <si>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</si>
  <si>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</si>
  <si>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</si>
  <si>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</si>
  <si>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</si>
  <si>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</si>
  <si>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</si>
  <si>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</si>
  <si>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</si>
  <si>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</si>
  <si>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</si>
  <si>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</si>
  <si>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</si>
  <si>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</si>
  <si>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</si>
  <si>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</si>
  <si>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</si>
  <si>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</si>
  <si>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</si>
  <si>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</si>
  <si>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</si>
  <si>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</si>
  <si>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</si>
  <si>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</si>
  <si>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</si>
  <si>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</si>
  <si>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</si>
  <si>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</si>
  <si>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</si>
  <si>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</si>
  <si>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</si>
  <si>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</si>
  <si>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</si>
  <si>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</si>
  <si>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</si>
  <si>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</si>
  <si>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</si>
  <si>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</si>
  <si>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</si>
  <si>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</si>
  <si>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</si>
  <si>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</si>
  <si>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</si>
  <si>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</si>
  <si>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</si>
  <si>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</si>
  <si>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</si>
  <si>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</si>
  <si>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</si>
  <si>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</si>
  <si>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</si>
  <si>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</si>
  <si>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</si>
  <si>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</si>
  <si>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</si>
  <si>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</si>
  <si>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</si>
  <si>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</si>
  <si>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</si>
  <si>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</si>
  <si>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</si>
  <si>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</si>
  <si>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</si>
  <si>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</si>
  <si>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</si>
  <si>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</si>
  <si>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</si>
  <si>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</si>
  <si>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</si>
  <si>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</si>
  <si>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</si>
  <si>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</si>
  <si>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</si>
  <si>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</si>
  <si>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</si>
  <si>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</si>
  <si>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</si>
  <si>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</si>
  <si>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</si>
  <si>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</si>
  <si>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</si>
  <si>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</si>
  <si>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</si>
  <si>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</si>
  <si>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</si>
  <si>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</si>
  <si>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</si>
  <si>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</si>
  <si>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</si>
  <si>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</si>
  <si>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</si>
  <si>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</si>
  <si>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</si>
  <si>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</si>
  <si>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</si>
  <si>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</si>
  <si>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</si>
  <si>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</si>
  <si>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</si>
  <si>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</si>
  <si>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</si>
  <si>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</si>
  <si>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</si>
  <si>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</si>
  <si>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</si>
  <si>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</si>
  <si>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</si>
  <si>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</si>
  <si>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</si>
  <si>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</si>
  <si>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</si>
  <si>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</si>
  <si>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</si>
  <si>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</si>
  <si>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</si>
  <si>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</si>
  <si>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</si>
  <si>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</si>
  <si>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</si>
  <si>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</si>
  <si>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</si>
  <si>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</si>
  <si>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</si>
  <si>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</si>
  <si>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</si>
  <si>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</si>
  <si>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</si>
  <si>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</si>
  <si>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</si>
  <si>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</si>
  <si>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</si>
  <si>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</si>
  <si>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</si>
  <si>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</si>
  <si>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</si>
  <si>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</si>
  <si>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</si>
  <si>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</si>
  <si>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</si>
  <si>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</si>
  <si>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</si>
  <si>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</si>
  <si>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</si>
  <si>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</si>
  <si>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</si>
  <si>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</si>
  <si>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</si>
  <si>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</si>
  <si>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</si>
  <si>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</si>
  <si>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</si>
  <si>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</si>
  <si>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</si>
  <si>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</si>
  <si>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</si>
  <si>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</si>
  <si>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</si>
  <si>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</si>
  <si>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</si>
  <si>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</si>
  <si>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</si>
  <si>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</si>
  <si>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</si>
  <si>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</si>
  <si>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</si>
  <si>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</si>
  <si>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</si>
  <si>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</si>
  <si>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</si>
  <si>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</si>
  <si>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</si>
  <si>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</si>
  <si>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</si>
  <si>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</si>
  <si>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</si>
  <si>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</si>
  <si>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</si>
  <si>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</si>
  <si>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</si>
  <si>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</si>
  <si>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</si>
  <si>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</si>
  <si>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</si>
  <si>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</si>
  <si>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</si>
  <si>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</si>
  <si>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</si>
  <si>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</si>
  <si>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</si>
  <si>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</si>
  <si>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</si>
  <si>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</si>
  <si>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</si>
  <si>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</si>
  <si>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</si>
  <si>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</si>
  <si>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</si>
  <si>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</si>
  <si>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</si>
  <si>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</si>
  <si>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</si>
  <si>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</si>
  <si>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</si>
  <si>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</si>
  <si>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</si>
  <si>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</si>
  <si>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</si>
  <si>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</si>
  <si>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</si>
  <si>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</si>
  <si>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</si>
  <si>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</si>
  <si>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</si>
  <si>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</si>
  <si>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</si>
  <si>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</si>
  <si>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</si>
  <si>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</si>
  <si>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</si>
  <si>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</si>
  <si>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</si>
  <si>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</si>
  <si>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</si>
  <si>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</si>
  <si>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</si>
  <si>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</si>
  <si>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</si>
  <si>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</si>
  <si>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</si>
  <si>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</si>
  <si>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</si>
  <si>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</si>
  <si>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</si>
  <si>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</si>
  <si>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</si>
  <si>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</si>
  <si>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</si>
  <si>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</si>
  <si>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</si>
  <si>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</si>
  <si>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</si>
  <si>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</si>
  <si>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</si>
  <si>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</si>
  <si>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</si>
  <si>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</si>
  <si>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</si>
  <si>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</si>
  <si>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</si>
  <si>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</si>
  <si>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</si>
  <si>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</si>
  <si>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</si>
  <si>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</si>
  <si>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</si>
  <si>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</si>
  <si>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</si>
  <si>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</si>
  <si>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</si>
  <si>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</si>
  <si>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</si>
  <si>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</si>
  <si>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</si>
  <si>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</si>
  <si>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</si>
  <si>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</si>
  <si>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</si>
  <si>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</si>
  <si>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</si>
  <si>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</si>
  <si>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</si>
  <si>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</si>
  <si>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</si>
  <si>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</si>
  <si>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</si>
  <si>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</si>
  <si>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</si>
  <si>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</si>
  <si>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</si>
  <si>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</si>
  <si>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</si>
  <si>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</si>
  <si>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</si>
  <si>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</si>
  <si>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</si>
  <si>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</si>
  <si>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</si>
  <si>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</si>
  <si>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</si>
  <si>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</si>
  <si>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</si>
  <si>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</si>
  <si>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</si>
  <si>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</si>
  <si>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</si>
  <si>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</si>
  <si>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</si>
  <si>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</si>
  <si>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</si>
  <si>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</si>
  <si>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</si>
  <si>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</si>
  <si>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</si>
  <si>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</si>
  <si>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</si>
  <si>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</si>
  <si>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</si>
  <si>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</si>
  <si>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</si>
  <si>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</si>
  <si>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</si>
  <si>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</si>
  <si>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</si>
  <si>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</si>
  <si>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</si>
  <si>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</si>
  <si>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</si>
  <si>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</si>
  <si>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</si>
  <si>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</si>
  <si>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</si>
  <si>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</si>
  <si>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</si>
  <si>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</si>
  <si>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</si>
  <si>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</si>
  <si>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</si>
  <si>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</si>
  <si>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</si>
  <si>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</si>
  <si>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</si>
  <si>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</si>
  <si>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</si>
  <si>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</si>
  <si>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</si>
  <si>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</si>
  <si>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</si>
  <si>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</si>
  <si>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</si>
  <si>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</si>
  <si>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</si>
  <si>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</si>
  <si>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</si>
  <si>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</si>
  <si>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</si>
  <si>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</si>
  <si>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</si>
  <si>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</si>
  <si>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</si>
  <si>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</si>
  <si>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</si>
  <si>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</si>
  <si>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</si>
  <si>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</si>
  <si>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</si>
  <si>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</si>
  <si>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</si>
  <si>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</si>
  <si>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</si>
  <si>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</si>
  <si>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</si>
  <si>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</si>
  <si>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</si>
  <si>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</si>
  <si>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</si>
  <si>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</si>
  <si>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</si>
  <si>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</si>
  <si>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</si>
  <si>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</si>
  <si>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</si>
  <si>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</si>
  <si>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</si>
  <si>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</si>
  <si>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</si>
  <si>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</si>
  <si>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</si>
  <si>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</si>
  <si>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</si>
  <si>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</si>
  <si>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</si>
  <si>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</si>
  <si>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</si>
  <si>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</si>
  <si>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</si>
  <si>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</si>
  <si>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</si>
  <si>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</si>
  <si>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</si>
  <si>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</si>
  <si>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</si>
  <si>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</si>
  <si>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</si>
  <si>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</si>
  <si>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</si>
  <si>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</si>
  <si>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</si>
  <si>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</si>
  <si>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</si>
  <si>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</si>
  <si>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</si>
  <si>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</si>
  <si>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</si>
  <si>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</si>
  <si>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</si>
  <si>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</si>
  <si>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</si>
  <si>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</si>
  <si>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</si>
  <si>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</si>
  <si>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</si>
  <si>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</si>
  <si>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</si>
  <si>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</si>
  <si>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</si>
  <si>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</si>
  <si>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</si>
  <si>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</si>
  <si>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</si>
  <si>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</si>
  <si>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</si>
  <si>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</si>
  <si>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</si>
  <si>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</si>
  <si>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</si>
  <si>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</si>
  <si>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</si>
  <si>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</si>
  <si>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</si>
  <si>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</si>
  <si>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</si>
  <si>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</si>
  <si>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</si>
  <si>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</si>
  <si>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</si>
  <si>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</si>
  <si>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</si>
  <si>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</si>
  <si>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</si>
  <si>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</si>
  <si>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</si>
  <si>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</si>
  <si>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</si>
  <si>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</si>
  <si>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</si>
  <si>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</si>
  <si>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</si>
  <si>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</si>
  <si>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</si>
  <si>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</si>
  <si>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</si>
  <si>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</si>
  <si>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</si>
  <si>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</si>
  <si>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</si>
  <si>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</si>
  <si>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</si>
  <si>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</si>
  <si>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</si>
  <si>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</si>
  <si>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</si>
  <si>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</si>
  <si>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</si>
  <si>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</si>
  <si>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</si>
  <si>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</si>
  <si>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</si>
  <si>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</si>
  <si>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</si>
  <si>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</si>
  <si>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</si>
  <si>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</si>
  <si>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</si>
  <si>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</si>
  <si>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</si>
  <si>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</si>
  <si>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</si>
  <si>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</si>
  <si>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</si>
  <si>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</si>
  <si>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</si>
  <si>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</si>
  <si>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</si>
  <si>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</si>
  <si>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</si>
  <si>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</si>
  <si>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</si>
  <si>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</si>
  <si>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</si>
  <si>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</si>
  <si>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</si>
  <si>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</si>
  <si>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</si>
  <si>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</si>
  <si>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</si>
  <si>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</si>
  <si>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</si>
  <si>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</si>
  <si>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</si>
  <si>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</si>
  <si>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</si>
  <si>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</si>
  <si>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</si>
  <si>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</si>
  <si>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</si>
  <si>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</si>
  <si>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</si>
  <si>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</si>
  <si>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</si>
  <si>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</si>
  <si>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</si>
  <si>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</si>
  <si>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</si>
  <si>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</si>
  <si>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</si>
  <si>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</si>
  <si>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</si>
  <si>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</si>
  <si>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</si>
  <si>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</si>
  <si>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</si>
  <si>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</si>
  <si>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</si>
  <si>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</si>
  <si>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</si>
  <si>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</si>
  <si>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</si>
  <si>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</si>
  <si>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</si>
  <si>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</si>
  <si>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</si>
  <si>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</si>
  <si>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</si>
  <si>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</si>
  <si>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</si>
  <si>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</si>
  <si>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</si>
  <si>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</si>
  <si>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</si>
  <si>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</si>
  <si>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</si>
  <si>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</si>
  <si>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</si>
  <si>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</si>
  <si>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</si>
  <si>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</si>
  <si>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</si>
  <si>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</si>
  <si>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</si>
  <si>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</si>
  <si>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</si>
  <si>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</si>
  <si>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</si>
  <si>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</si>
  <si>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</si>
  <si>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</si>
  <si>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</si>
  <si>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</si>
  <si>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</si>
  <si>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</si>
  <si>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</si>
  <si>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</si>
  <si>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</si>
  <si>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</si>
  <si>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</si>
  <si>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</si>
  <si>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</si>
  <si>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</si>
  <si>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</si>
  <si>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</si>
  <si>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</si>
  <si>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</si>
  <si>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</si>
  <si>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</si>
  <si>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</si>
  <si>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</si>
  <si>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</si>
  <si>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</si>
  <si>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</si>
  <si>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</si>
  <si>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</si>
  <si>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</si>
  <si>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</si>
  <si>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</si>
  <si>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</si>
  <si>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</si>
  <si>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</si>
  <si>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</si>
  <si>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</si>
  <si>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</si>
  <si>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</si>
  <si>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</si>
  <si>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</si>
  <si>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</si>
  <si>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</si>
  <si>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</si>
  <si>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</si>
  <si>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</si>
  <si>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</si>
  <si>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</si>
  <si>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</si>
  <si>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</si>
  <si>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</si>
  <si>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</si>
  <si>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</si>
  <si>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</si>
  <si>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</si>
  <si>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</si>
  <si>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</si>
  <si>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</si>
  <si>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</si>
  <si>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</si>
  <si>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</si>
  <si>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</si>
  <si>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</si>
  <si>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</si>
  <si>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</si>
  <si>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</si>
  <si>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</si>
  <si>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</si>
  <si>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</si>
  <si>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</si>
  <si>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</si>
  <si>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</si>
  <si>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</si>
  <si>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</si>
  <si>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</si>
  <si>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</si>
  <si>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</si>
  <si>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</si>
  <si>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</si>
  <si>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</si>
  <si>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</si>
  <si>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</si>
  <si>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</si>
  <si>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</si>
  <si>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</si>
  <si>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</si>
  <si>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</si>
  <si>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</si>
  <si>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</si>
  <si>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</si>
  <si>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</si>
  <si>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</si>
  <si>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</si>
  <si>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</si>
  <si>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</si>
  <si>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</si>
  <si>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</si>
  <si>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</si>
  <si>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</si>
  <si>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</si>
  <si>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</si>
  <si>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</si>
  <si>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</si>
  <si>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</si>
  <si>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</si>
  <si>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</si>
  <si>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</si>
  <si>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</si>
  <si>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</si>
  <si>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</si>
  <si>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</si>
  <si>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</si>
  <si>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</si>
  <si>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</si>
  <si>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</si>
  <si>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</si>
  <si>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</si>
  <si>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</si>
  <si>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</si>
  <si>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</si>
  <si>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</si>
  <si>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</si>
  <si>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</si>
  <si>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</si>
  <si>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</si>
  <si>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</si>
  <si>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</si>
  <si>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</si>
  <si>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</si>
  <si>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</si>
  <si>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</si>
  <si>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</si>
  <si>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</si>
  <si>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</si>
  <si>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</si>
  <si>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</si>
  <si>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</si>
  <si>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</si>
  <si>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</si>
  <si>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</si>
  <si>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</si>
  <si>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</si>
  <si>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</si>
  <si>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</si>
  <si>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</si>
  <si>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</si>
  <si>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</si>
  <si>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</si>
  <si>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</si>
  <si>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</si>
  <si>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</si>
  <si>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</si>
  <si>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</si>
  <si>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</si>
  <si>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</si>
  <si>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</si>
  <si>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</si>
  <si>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</si>
  <si>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</si>
  <si>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</si>
  <si>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</si>
  <si>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</si>
  <si>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</si>
  <si>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</si>
  <si>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</si>
  <si>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</si>
  <si>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</si>
  <si>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</si>
  <si>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</si>
  <si>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</si>
  <si>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</si>
  <si>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</si>
  <si>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</si>
  <si>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</si>
  <si>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</si>
  <si>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</si>
  <si>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</si>
  <si>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</si>
  <si>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</si>
  <si>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</si>
  <si>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</si>
  <si>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</si>
  <si>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</si>
  <si>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</si>
  <si>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</si>
  <si>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</si>
  <si>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</si>
  <si>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</si>
  <si>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</si>
  <si>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</si>
  <si>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</si>
  <si>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</si>
  <si>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</si>
  <si>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</si>
  <si>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</si>
  <si>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</si>
  <si>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</si>
  <si>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</si>
  <si>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</si>
  <si>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</si>
  <si>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</si>
  <si>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</si>
  <si>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</si>
  <si>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</si>
  <si>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</si>
  <si>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</si>
  <si>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</si>
  <si>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</si>
  <si>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</si>
  <si>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</si>
  <si>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</si>
  <si>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</si>
  <si>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</si>
  <si>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</si>
  <si>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</si>
  <si>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</si>
  <si>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</si>
  <si>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</si>
  <si>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</si>
  <si>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</si>
  <si>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</si>
  <si>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</si>
  <si>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</si>
  <si>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</si>
  <si>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</si>
  <si>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</si>
  <si>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</si>
  <si>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</si>
  <si>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</si>
  <si>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</si>
  <si>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</si>
  <si>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</si>
  <si>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</si>
  <si>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</si>
  <si>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</si>
  <si>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</si>
  <si>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</si>
  <si>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</si>
  <si>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</si>
  <si>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</si>
  <si>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</si>
  <si>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</si>
  <si>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</si>
  <si>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</si>
  <si>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</si>
  <si>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</si>
  <si>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</si>
  <si>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</si>
  <si>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</si>
  <si>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</si>
  <si>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</si>
  <si>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</si>
  <si>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</si>
  <si>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</si>
  <si>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</si>
  <si>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</si>
  <si>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</si>
  <si>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</si>
  <si>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</si>
  <si>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</si>
  <si>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</si>
  <si>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</si>
  <si>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</si>
  <si>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</si>
  <si>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</si>
  <si>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</si>
  <si>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</si>
  <si>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</si>
  <si>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</si>
  <si>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</si>
  <si>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</si>
  <si>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</si>
  <si>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</si>
  <si>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</si>
  <si>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</si>
  <si>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</si>
  <si>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</si>
  <si>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</si>
  <si>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</si>
  <si>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</si>
  <si>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</si>
  <si>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</si>
  <si>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</si>
  <si>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</si>
  <si>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</si>
  <si>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</si>
  <si>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</si>
  <si>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</si>
  <si>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</si>
  <si>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</si>
  <si>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</si>
  <si>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</si>
  <si>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</si>
  <si>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</si>
  <si>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</si>
  <si>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</si>
  <si>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</si>
  <si>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</si>
  <si>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</si>
  <si>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</si>
  <si>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</si>
  <si>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</si>
  <si>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</si>
  <si>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</si>
  <si>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</si>
  <si>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</si>
  <si>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</si>
  <si>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</si>
  <si>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</si>
  <si>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</si>
  <si>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</si>
  <si>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</si>
  <si>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</si>
  <si>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</si>
  <si>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</si>
  <si>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</si>
  <si>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</si>
  <si>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</si>
  <si>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</si>
  <si>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</si>
  <si>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</si>
  <si>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</si>
  <si>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</si>
  <si>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</si>
  <si>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</si>
  <si>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</si>
  <si>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</si>
  <si>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</si>
  <si>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</si>
  <si>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</si>
  <si>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</si>
  <si>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</si>
  <si>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</si>
  <si>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</si>
  <si>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</si>
  <si>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</si>
  <si>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</si>
  <si>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</si>
  <si>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</si>
  <si>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</si>
  <si>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</si>
  <si>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</si>
  <si>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</si>
  <si>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</si>
  <si>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</si>
  <si>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</si>
  <si>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</si>
  <si>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</si>
  <si>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</si>
  <si>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</si>
  <si>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</si>
  <si>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</si>
  <si>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</si>
  <si>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</si>
  <si>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</si>
  <si>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</si>
  <si>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</si>
  <si>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</si>
  <si>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</si>
  <si>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</si>
  <si>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</si>
  <si>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</si>
  <si>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</si>
  <si>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</si>
  <si>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</si>
  <si>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</si>
  <si>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</si>
  <si>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</si>
  <si>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</si>
  <si>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</si>
  <si>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</si>
  <si>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</si>
  <si>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</si>
  <si>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</si>
  <si>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</si>
  <si>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</si>
  <si>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</si>
  <si>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</si>
  <si>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</si>
  <si>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</si>
  <si>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</si>
  <si>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</si>
  <si>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</si>
  <si>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</si>
  <si>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</si>
  <si>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</si>
  <si>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</si>
  <si>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</si>
  <si>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</si>
  <si>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</si>
  <si>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</si>
  <si>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</si>
  <si>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</si>
  <si>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</si>
  <si>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</si>
  <si>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</si>
  <si>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</si>
  <si>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</si>
  <si>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</si>
  <si>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</si>
  <si>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</si>
  <si>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</si>
  <si>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</si>
  <si>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</si>
  <si>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</si>
  <si>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</si>
  <si>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</si>
  <si>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</si>
  <si>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</si>
  <si>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</si>
  <si>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</si>
  <si>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</si>
  <si>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</si>
  <si>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</si>
  <si>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</si>
  <si>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</si>
  <si>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</si>
  <si>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</si>
  <si>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</si>
  <si>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</si>
  <si>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</si>
  <si>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</si>
  <si>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</si>
  <si>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</si>
  <si>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</si>
  <si>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</si>
  <si>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</si>
  <si>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</si>
  <si>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</si>
  <si>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</si>
  <si>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</si>
  <si>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</si>
  <si>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</si>
  <si>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</si>
  <si>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</si>
  <si>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</si>
  <si>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</si>
  <si>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</si>
  <si>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</si>
  <si>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</si>
  <si>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</si>
  <si>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</si>
  <si>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</si>
  <si>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</si>
  <si>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</si>
  <si>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</si>
  <si>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</si>
  <si>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</si>
  <si>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</si>
  <si>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</si>
  <si>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</si>
  <si>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</si>
  <si>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</si>
  <si>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</si>
  <si>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</si>
  <si>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</si>
  <si>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</si>
  <si>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</si>
  <si>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</si>
  <si>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</si>
  <si>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</si>
  <si>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</si>
  <si>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</si>
  <si>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</si>
  <si>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</si>
  <si>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</si>
  <si>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</si>
  <si>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</si>
  <si>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</si>
  <si>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</si>
  <si>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</si>
  <si>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</si>
  <si>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</si>
  <si>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</si>
  <si>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</si>
  <si>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</si>
  <si>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</si>
  <si>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</si>
  <si>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</si>
  <si>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</si>
  <si>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</si>
  <si>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</si>
  <si>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</si>
  <si>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</si>
  <si>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</si>
  <si>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</si>
  <si>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</si>
  <si>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</si>
  <si>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</si>
  <si>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</si>
  <si>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</si>
  <si>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</si>
  <si>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</si>
  <si>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</si>
  <si>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</si>
  <si>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</si>
  <si>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</si>
  <si>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</si>
  <si>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</si>
  <si>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</si>
  <si>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</si>
  <si>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</si>
  <si>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</si>
  <si>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</si>
  <si>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</si>
  <si>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</si>
  <si>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</si>
  <si>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</si>
  <si>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</si>
  <si>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</si>
  <si>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</si>
  <si>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</si>
  <si>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</si>
  <si>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</si>
  <si>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</si>
  <si>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</si>
  <si>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</si>
  <si>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</si>
  <si>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</si>
  <si>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</si>
  <si>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</si>
  <si>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</si>
  <si>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</si>
  <si>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</si>
  <si>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</si>
  <si>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</si>
  <si>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</si>
  <si>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</si>
  <si>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</si>
  <si>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</si>
  <si>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</si>
  <si>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</si>
  <si>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</si>
  <si>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</si>
  <si>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</si>
  <si>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</si>
  <si>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</si>
  <si>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</si>
  <si>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</si>
  <si>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</si>
  <si>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</si>
  <si>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</si>
  <si>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</si>
  <si>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</si>
  <si>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</si>
  <si>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</si>
  <si>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</si>
  <si>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</si>
  <si>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</si>
  <si>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</si>
  <si>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</si>
  <si>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</si>
  <si>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</si>
  <si>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</si>
  <si>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</si>
  <si>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</si>
  <si>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</si>
  <si>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</si>
  <si>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</si>
  <si>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</si>
  <si>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</si>
  <si>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</si>
  <si>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</si>
  <si>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</si>
  <si>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</si>
  <si>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</si>
  <si>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</si>
  <si>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</si>
  <si>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</si>
  <si>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</si>
  <si>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</si>
  <si>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</si>
  <si>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</si>
  <si>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</si>
  <si>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</si>
  <si>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</si>
  <si>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</si>
  <si>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</si>
  <si>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</si>
  <si>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</si>
  <si>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</si>
  <si>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</si>
  <si>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</si>
  <si>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</si>
  <si>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</si>
  <si>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</si>
  <si>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</si>
  <si>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</si>
  <si>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</si>
  <si>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</si>
  <si>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</si>
  <si>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</si>
  <si>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</si>
  <si>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</si>
  <si>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</si>
  <si>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</si>
  <si>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</si>
  <si>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</si>
  <si>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</si>
  <si>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</si>
  <si>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</si>
  <si>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</si>
  <si>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</si>
  <si>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</si>
  <si>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</si>
  <si>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</si>
  <si>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</si>
  <si>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</si>
  <si>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</si>
  <si>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</si>
  <si>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</si>
  <si>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</si>
  <si>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</si>
  <si>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</si>
  <si>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</si>
  <si>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</si>
  <si>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</si>
  <si>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</si>
  <si>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</si>
  <si>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</si>
  <si>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</si>
  <si>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</si>
  <si>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</si>
  <si>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</si>
  <si>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</si>
  <si>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</si>
  <si>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</si>
  <si>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</si>
  <si>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</si>
  <si>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</si>
  <si>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</si>
  <si>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</si>
  <si>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</si>
  <si>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</si>
  <si>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</si>
  <si>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</si>
  <si>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</si>
  <si>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</si>
  <si>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</si>
  <si>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</si>
  <si>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</si>
  <si>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</si>
  <si>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</si>
  <si>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</si>
  <si>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</si>
  <si>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</si>
  <si>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</si>
  <si>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</si>
  <si>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</si>
  <si>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</si>
  <si>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</si>
  <si>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</si>
  <si>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</si>
  <si>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</si>
  <si>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</si>
  <si>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</si>
  <si>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</si>
  <si>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</si>
  <si>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</si>
  <si>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</si>
  <si>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</si>
  <si>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</si>
  <si>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</si>
  <si>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</si>
  <si>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</si>
  <si>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</si>
  <si>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</si>
  <si>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</si>
  <si>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</si>
  <si>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</si>
  <si>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</si>
  <si>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</si>
  <si>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</si>
  <si>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</si>
  <si>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</si>
  <si>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</si>
  <si>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</si>
  <si>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</si>
  <si>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</si>
  <si>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</si>
  <si>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</si>
  <si>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</si>
  <si>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</si>
  <si>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</si>
  <si>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</si>
  <si>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</si>
  <si>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</si>
  <si>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</si>
  <si>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</si>
  <si>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</si>
  <si>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</si>
  <si>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</si>
  <si>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</si>
  <si>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</si>
  <si>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</si>
  <si>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</si>
  <si>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</si>
  <si>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</si>
  <si>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</si>
  <si>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</si>
  <si>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</si>
  <si>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</si>
  <si>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</si>
  <si>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</si>
  <si>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</si>
  <si>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</si>
  <si>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</si>
  <si>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</si>
  <si>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</si>
  <si>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</si>
  <si>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</si>
  <si>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</si>
  <si>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</si>
  <si>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</si>
  <si>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</si>
  <si>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</si>
  <si>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</si>
  <si>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</si>
  <si>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</si>
  <si>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</si>
  <si>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</si>
  <si>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</si>
  <si>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</si>
  <si>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</si>
  <si>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</si>
  <si>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</si>
  <si>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</si>
  <si>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</si>
  <si>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</si>
  <si>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</si>
  <si>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</si>
  <si>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</si>
  <si>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</si>
  <si>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</si>
  <si>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</si>
  <si>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</si>
  <si>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</si>
  <si>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</si>
  <si>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</si>
  <si>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</si>
  <si>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</si>
  <si>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</si>
  <si>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</si>
  <si>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</si>
  <si>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</si>
  <si>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</si>
  <si>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</si>
  <si>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</si>
  <si>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</si>
  <si>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</si>
  <si>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</si>
  <si>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</si>
  <si>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</si>
  <si>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</si>
  <si>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</si>
  <si>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</si>
  <si>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</si>
  <si>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</si>
  <si>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</si>
  <si>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</si>
  <si>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</si>
  <si>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</si>
  <si>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</si>
  <si>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</si>
  <si>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</si>
  <si>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</si>
  <si>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</si>
  <si>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</si>
  <si>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</si>
  <si>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</si>
  <si>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</si>
  <si>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</si>
  <si>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</si>
  <si>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</si>
  <si>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</si>
  <si>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</si>
  <si>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</si>
  <si>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</si>
  <si>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</si>
  <si>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</si>
  <si>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</si>
  <si>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</si>
  <si>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</si>
  <si>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</si>
  <si>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</si>
  <si>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</si>
  <si>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</si>
  <si>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</si>
  <si>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</si>
  <si>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</si>
  <si>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</si>
  <si>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</si>
  <si>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</si>
  <si>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</si>
  <si>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</si>
  <si>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</si>
  <si>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</si>
  <si>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</si>
  <si>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</si>
  <si>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</si>
  <si>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</si>
  <si>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</si>
  <si>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</si>
  <si>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</si>
  <si>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</si>
  <si>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</si>
  <si>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</si>
  <si>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</si>
  <si>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</si>
  <si>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</si>
  <si>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</si>
  <si>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</si>
  <si>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</si>
  <si>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</si>
  <si>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</si>
  <si>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</si>
  <si>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</si>
  <si>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</si>
  <si>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</si>
  <si>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</si>
  <si>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</si>
  <si>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</si>
  <si>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</si>
  <si>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</si>
  <si>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</si>
  <si>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</si>
  <si>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</si>
  <si>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</si>
  <si>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</si>
  <si>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</si>
  <si>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</si>
  <si>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</si>
  <si>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</si>
  <si>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</si>
  <si>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</si>
  <si>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</si>
  <si>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</si>
  <si>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</si>
  <si>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</si>
  <si>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</si>
  <si>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</si>
  <si>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</si>
  <si>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</si>
  <si>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</si>
  <si>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</si>
  <si>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</si>
  <si>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</si>
  <si>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</si>
  <si>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</si>
  <si>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</si>
  <si>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</si>
  <si>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</si>
  <si>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</si>
  <si>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</si>
  <si>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</si>
  <si>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</si>
  <si>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</si>
  <si>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</si>
  <si>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</si>
  <si>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</si>
  <si>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</si>
  <si>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</si>
  <si>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</si>
  <si>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</si>
  <si>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</si>
  <si>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</si>
  <si>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</si>
  <si>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</si>
  <si>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</si>
  <si>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</si>
  <si>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</si>
  <si>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</si>
  <si>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</si>
  <si>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</si>
  <si>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</si>
  <si>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</si>
  <si>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</si>
  <si>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</si>
  <si>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</si>
  <si>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</si>
  <si>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</si>
  <si>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</si>
  <si>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</si>
  <si>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</si>
  <si>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</si>
  <si>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</si>
  <si>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</si>
  <si>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</si>
  <si>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</si>
  <si>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</si>
  <si>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</si>
  <si>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</si>
  <si>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</si>
  <si>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</si>
  <si>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</si>
  <si>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</si>
  <si>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</si>
  <si>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</si>
  <si>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</si>
  <si>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</si>
  <si>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</si>
  <si>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</si>
  <si>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</si>
  <si>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</si>
  <si>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</si>
  <si>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</si>
  <si>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</si>
  <si>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</si>
  <si>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</si>
  <si>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</si>
  <si>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</si>
  <si>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</si>
  <si>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</si>
  <si>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</si>
  <si>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</si>
  <si>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</si>
  <si>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</si>
  <si>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</si>
  <si>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</si>
  <si>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</si>
  <si>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</si>
  <si>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</si>
  <si>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</si>
  <si>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</si>
  <si>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</si>
  <si>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</si>
  <si>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</si>
  <si>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</si>
  <si>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</si>
  <si>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</si>
  <si>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</si>
  <si>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</si>
  <si>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</si>
  <si>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</si>
  <si>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</si>
  <si>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</si>
  <si>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</si>
  <si>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</si>
  <si>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</si>
  <si>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</si>
  <si>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</si>
  <si>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</si>
  <si>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</si>
  <si>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</si>
  <si>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</si>
  <si>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</si>
  <si>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</si>
  <si>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</si>
  <si>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</si>
  <si>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</si>
  <si>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</si>
  <si>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</si>
  <si>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</si>
  <si>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</si>
  <si>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</si>
  <si>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</si>
  <si>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</si>
  <si>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</si>
  <si>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</si>
  <si>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</si>
  <si>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</si>
  <si>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</si>
  <si>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</si>
  <si>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</si>
  <si>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</si>
  <si>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</si>
  <si>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</si>
  <si>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</si>
  <si>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</si>
  <si>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</si>
  <si>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</si>
  <si>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</si>
  <si>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</si>
  <si>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</si>
  <si>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</si>
  <si>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</si>
  <si>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</si>
  <si>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</si>
  <si>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</si>
  <si>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</si>
  <si>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</si>
  <si>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</si>
  <si>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</si>
  <si>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</si>
  <si>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</si>
  <si>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</si>
  <si>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</si>
  <si>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</si>
  <si>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</si>
  <si>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</si>
  <si>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</si>
  <si>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</si>
  <si>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</si>
  <si>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</si>
  <si>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</si>
  <si>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</si>
  <si>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</si>
  <si>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</si>
  <si>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</si>
  <si>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</si>
  <si>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</si>
  <si>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</si>
  <si>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</si>
  <si>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</si>
  <si>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</si>
  <si>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</si>
  <si>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</si>
  <si>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</si>
  <si>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</si>
  <si>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</si>
  <si>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</si>
  <si>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</si>
  <si>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</si>
  <si>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</si>
  <si>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</si>
  <si>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</si>
  <si>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</si>
  <si>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</si>
  <si>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</si>
  <si>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</si>
  <si>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</si>
  <si>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</si>
  <si>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</si>
  <si>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</si>
  <si>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</si>
  <si>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</si>
  <si>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</si>
  <si>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</si>
  <si>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</si>
  <si>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</si>
  <si>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</si>
  <si>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</si>
  <si>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</si>
  <si>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</si>
  <si>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</si>
  <si>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</si>
  <si>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</si>
  <si>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</si>
  <si>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</si>
  <si>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</si>
  <si>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</si>
  <si>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</si>
  <si>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</si>
  <si>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</si>
  <si>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</si>
  <si>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</si>
  <si>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</si>
  <si>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</si>
  <si>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</si>
  <si>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</si>
  <si>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</si>
  <si>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</si>
  <si>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</si>
  <si>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</si>
  <si>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</si>
  <si>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</si>
  <si>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</si>
  <si>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</si>
  <si>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</si>
  <si>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</si>
  <si>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</si>
  <si>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</si>
  <si>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</si>
  <si>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</si>
  <si>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</si>
  <si>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</si>
  <si>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</si>
  <si>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</si>
  <si>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</si>
  <si>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</si>
  <si>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</si>
  <si>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</si>
  <si>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</si>
  <si>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</si>
  <si>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</si>
  <si>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</si>
  <si>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</si>
  <si>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</si>
  <si>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</si>
  <si>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</si>
  <si>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</si>
  <si>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</si>
  <si>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</si>
  <si>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</si>
  <si>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</si>
  <si>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</si>
  <si>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</si>
  <si>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</si>
  <si>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</si>
  <si>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</si>
  <si>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</si>
  <si>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</si>
  <si>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</si>
  <si>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</si>
  <si>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</si>
  <si>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</si>
  <si>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</si>
  <si>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</si>
  <si>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</si>
  <si>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</si>
  <si>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</si>
  <si>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</si>
  <si>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</si>
  <si>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</si>
  <si>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</si>
  <si>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</si>
  <si>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</si>
  <si>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</si>
  <si>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</si>
  <si>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</si>
  <si>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</si>
  <si>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</si>
  <si>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</si>
  <si>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</si>
  <si>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</si>
  <si>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</si>
  <si>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</si>
  <si>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</si>
  <si>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</si>
  <si>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</si>
  <si>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</si>
  <si>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</si>
  <si>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</si>
  <si>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</si>
  <si>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</si>
  <si>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</si>
  <si>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</si>
  <si>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</si>
  <si>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</si>
  <si>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</si>
  <si>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</si>
  <si>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</si>
  <si>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</si>
  <si>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</si>
  <si>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</si>
  <si>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</si>
  <si>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</si>
  <si>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</si>
  <si>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</si>
  <si>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</si>
  <si>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</si>
  <si>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</si>
  <si>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</si>
  <si>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</si>
  <si>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</si>
  <si>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</si>
  <si>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</si>
  <si>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</si>
  <si>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</si>
  <si>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</si>
  <si>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</si>
  <si>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</si>
  <si>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</si>
  <si>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</si>
  <si>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</si>
  <si>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</si>
  <si>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</si>
  <si>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</si>
  <si>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</si>
  <si>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</si>
  <si>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</si>
  <si>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</si>
  <si>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</si>
  <si>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</si>
  <si>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</si>
  <si>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</si>
  <si>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</si>
  <si>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</si>
  <si>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</si>
  <si>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</si>
  <si>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</si>
  <si>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</si>
  <si>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</si>
  <si>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</si>
  <si>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</si>
  <si>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</si>
  <si>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</si>
  <si>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</si>
  <si>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</si>
  <si>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</si>
  <si>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</si>
  <si>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</si>
  <si>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</si>
  <si>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</si>
  <si>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</si>
  <si>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</si>
  <si>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</si>
  <si>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</si>
  <si>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</si>
  <si>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</si>
  <si>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</si>
  <si>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</si>
  <si>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</si>
  <si>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</si>
  <si>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</si>
  <si>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</si>
  <si>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</si>
  <si>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</si>
  <si>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</si>
  <si>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</si>
  <si>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</si>
  <si>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</si>
  <si>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</si>
  <si>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</si>
  <si>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</si>
  <si>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</si>
  <si>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</si>
  <si>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</si>
  <si>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</si>
  <si>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</si>
  <si>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</si>
  <si>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</si>
  <si>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</si>
  <si>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</si>
  <si>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</si>
  <si>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</si>
  <si>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</si>
  <si>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</si>
  <si>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</si>
  <si>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</si>
  <si>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</si>
  <si>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</si>
  <si>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</si>
  <si>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</si>
  <si>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</si>
  <si>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</si>
  <si>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</si>
  <si>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</si>
  <si>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</si>
  <si>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</si>
  <si>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</si>
  <si>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</si>
  <si>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</si>
  <si>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</si>
  <si>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</si>
  <si>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</si>
  <si>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</si>
  <si>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</si>
  <si>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</si>
  <si>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</si>
  <si>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</si>
  <si>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</si>
  <si>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</si>
  <si>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</si>
  <si>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</si>
  <si>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</si>
  <si>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</si>
  <si>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</si>
  <si>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</si>
  <si>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</si>
  <si>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</si>
  <si>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</si>
  <si>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</si>
  <si>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</si>
  <si>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</si>
  <si>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</si>
  <si>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</si>
  <si>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</si>
  <si>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</si>
  <si>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</si>
  <si>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</si>
  <si>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</si>
  <si>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</si>
  <si>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</si>
  <si>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</si>
  <si>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</si>
  <si>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</si>
  <si>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</si>
  <si>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</si>
  <si>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</si>
  <si>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</si>
  <si>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</si>
  <si>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</si>
  <si>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</si>
  <si>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</si>
  <si>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</si>
  <si>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</si>
  <si>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</si>
  <si>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</si>
  <si>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</si>
  <si>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</si>
  <si>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</si>
  <si>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</si>
  <si>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</si>
  <si>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</si>
  <si>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</si>
  <si>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</si>
  <si>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</si>
  <si>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</si>
  <si>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</si>
  <si>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</si>
  <si>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</si>
  <si>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</si>
  <si>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</si>
  <si>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</si>
  <si>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</si>
  <si>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</si>
  <si>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</si>
  <si>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</si>
  <si>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</si>
  <si>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</si>
  <si>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</si>
  <si>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</si>
  <si>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</si>
  <si>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</si>
  <si>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</si>
  <si>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</si>
  <si>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</si>
  <si>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</si>
  <si>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</si>
  <si>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</si>
  <si>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</si>
  <si>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</si>
  <si>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</si>
  <si>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</si>
  <si>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</si>
  <si>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</si>
  <si>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</si>
  <si>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</si>
  <si>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</si>
  <si>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</si>
  <si>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</si>
  <si>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</si>
  <si>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</si>
  <si>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</si>
  <si>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</si>
  <si>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</si>
  <si>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</si>
  <si>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</si>
  <si>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</si>
  <si>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</si>
  <si>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</si>
  <si>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</si>
  <si>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</si>
  <si>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</si>
  <si>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</si>
  <si>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</si>
  <si>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</si>
  <si>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</si>
  <si>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</si>
  <si>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</si>
  <si>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</si>
  <si>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</si>
  <si>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</si>
  <si>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</si>
  <si>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</si>
  <si>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</si>
  <si>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</si>
  <si>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</si>
  <si>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</si>
  <si>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</si>
  <si>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</si>
  <si>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</si>
  <si>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</si>
  <si>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</si>
  <si>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</si>
  <si>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</si>
  <si>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</si>
  <si>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</si>
  <si>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</si>
  <si>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</si>
  <si>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</si>
  <si>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</si>
  <si>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</si>
  <si>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</si>
  <si>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</si>
  <si>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</si>
  <si>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</si>
  <si>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</si>
  <si>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</si>
  <si>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</si>
  <si>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</si>
  <si>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</si>
  <si>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</si>
  <si>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</si>
  <si>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</si>
  <si>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</si>
  <si>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</si>
  <si>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</si>
  <si>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</si>
  <si>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</si>
  <si>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</si>
  <si>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</si>
  <si>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</si>
  <si>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</si>
  <si>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</si>
  <si>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</si>
  <si>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</si>
  <si>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</si>
  <si>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</si>
  <si>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</si>
  <si>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</si>
  <si>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</si>
  <si>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</si>
  <si>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</si>
  <si>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</si>
  <si>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</si>
  <si>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</si>
  <si>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</si>
  <si>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</si>
  <si>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</si>
  <si>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</si>
  <si>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</si>
  <si>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</si>
  <si>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</si>
  <si>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</si>
  <si>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</si>
  <si>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</si>
  <si>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</si>
  <si>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</si>
  <si>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</si>
  <si>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</si>
  <si>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</si>
  <si>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</si>
  <si>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</si>
  <si>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</si>
  <si>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</si>
  <si>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</si>
  <si>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</si>
  <si>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</si>
  <si>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</si>
  <si>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</si>
  <si>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</si>
  <si>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</si>
  <si>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</si>
  <si>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</si>
  <si>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</si>
  <si>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</si>
  <si>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</si>
  <si>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</si>
  <si>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</si>
  <si>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</si>
  <si>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</si>
  <si>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</si>
  <si>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</si>
  <si>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</si>
  <si>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</si>
  <si>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</si>
  <si>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</si>
  <si>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</si>
  <si>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</si>
  <si>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</si>
  <si>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</si>
  <si>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</si>
  <si>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</si>
  <si>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</si>
  <si>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</si>
  <si>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</si>
  <si>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</si>
  <si>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</si>
  <si>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</si>
  <si>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</si>
  <si>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</si>
  <si>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</si>
  <si>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</si>
  <si>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</si>
  <si>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</si>
  <si>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</si>
  <si>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</si>
  <si>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</si>
  <si>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</si>
  <si>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</si>
  <si>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</si>
  <si>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</si>
  <si>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</si>
  <si>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</si>
  <si>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</si>
  <si>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</si>
  <si>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</si>
  <si>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</si>
  <si>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</si>
  <si>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</si>
  <si>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</si>
  <si>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</si>
  <si>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</si>
  <si>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</si>
  <si>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</si>
  <si>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</si>
  <si>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</si>
  <si>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</si>
  <si>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</si>
  <si>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</si>
  <si>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</si>
  <si>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</si>
  <si>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</si>
  <si>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</si>
  <si>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</si>
  <si>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</si>
  <si>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</si>
  <si>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</si>
  <si>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</si>
  <si>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</si>
  <si>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</si>
  <si>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</si>
  <si>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</si>
  <si>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</si>
  <si>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</si>
  <si>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</si>
  <si>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</si>
  <si>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</si>
  <si>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</si>
  <si>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</si>
  <si>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</si>
  <si>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</si>
  <si>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</si>
  <si>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</si>
  <si>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</si>
  <si>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</si>
  <si>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</si>
  <si>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</si>
  <si>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</si>
  <si>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</si>
  <si>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</si>
  <si>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</si>
  <si>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</si>
  <si>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</si>
  <si>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</si>
  <si>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</si>
  <si>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</si>
  <si>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</si>
  <si>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</si>
  <si>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</si>
  <si>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</si>
  <si>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</si>
  <si>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</si>
  <si>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</si>
  <si>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</si>
  <si>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</si>
  <si>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</si>
  <si>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</si>
  <si>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</si>
  <si>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</si>
  <si>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</si>
  <si>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</si>
  <si>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</si>
  <si>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</si>
  <si>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</si>
  <si>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</si>
  <si>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</si>
  <si>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</si>
  <si>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</si>
  <si>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</si>
  <si>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</si>
  <si>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</si>
  <si>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</si>
  <si>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</si>
  <si>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</si>
  <si>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</si>
  <si>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</si>
  <si>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</si>
  <si>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</si>
  <si>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</si>
  <si>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</si>
  <si>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</si>
  <si>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</si>
  <si>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</si>
  <si>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</si>
  <si>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</si>
  <si>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</si>
  <si>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</si>
  <si>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</si>
  <si>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</si>
  <si>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</si>
  <si>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</si>
  <si>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</si>
  <si>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</si>
  <si>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</si>
  <si>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</si>
  <si>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</si>
  <si>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</si>
  <si>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</si>
  <si>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</si>
  <si>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</si>
  <si>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</si>
  <si>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</si>
  <si>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</si>
  <si>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</si>
  <si>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</si>
  <si>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</si>
  <si>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</si>
  <si>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</si>
  <si>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</si>
  <si>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</si>
  <si>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</si>
  <si>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</si>
  <si>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</si>
  <si>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</si>
  <si>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</si>
  <si>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</si>
  <si>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</si>
  <si>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</si>
  <si>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</si>
  <si>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</si>
  <si>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</si>
  <si>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</si>
  <si>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</si>
  <si>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</si>
  <si>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</si>
  <si>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</si>
  <si>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</si>
  <si>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</si>
  <si>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</si>
  <si>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</si>
  <si>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</si>
  <si>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</si>
  <si>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</si>
  <si>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</si>
  <si>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</si>
  <si>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</si>
  <si>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</si>
  <si>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</si>
  <si>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</si>
  <si>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</si>
  <si>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</si>
  <si>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</si>
  <si>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</si>
  <si>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</si>
  <si>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</si>
  <si>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</si>
  <si>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</si>
  <si>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</si>
  <si>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</si>
  <si>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</si>
  <si>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</si>
  <si>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</si>
  <si>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</si>
  <si>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</si>
  <si>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</si>
  <si>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</si>
  <si>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</si>
  <si>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</si>
  <si>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</si>
  <si>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</si>
  <si>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</si>
  <si>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</si>
  <si>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</si>
  <si>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</si>
  <si>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</si>
  <si>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</si>
  <si>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</si>
  <si>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</si>
  <si>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</si>
  <si>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</si>
  <si>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</si>
  <si>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</si>
  <si>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</si>
  <si>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</si>
  <si>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</si>
  <si>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</si>
  <si>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</si>
  <si>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</si>
  <si>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</si>
  <si>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</si>
  <si>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</si>
  <si>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</si>
  <si>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</si>
  <si>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</si>
  <si>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</si>
  <si>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</si>
  <si>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</si>
  <si>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</si>
  <si>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</si>
  <si>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</si>
  <si>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</si>
  <si>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</si>
  <si>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</si>
  <si>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</si>
  <si>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</si>
  <si>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</si>
  <si>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</si>
  <si>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</si>
  <si>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</si>
  <si>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</si>
  <si>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</si>
  <si>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</si>
  <si>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</si>
  <si>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</si>
  <si>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</si>
  <si>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</si>
  <si>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</si>
  <si>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</si>
  <si>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</si>
  <si>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</si>
  <si>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</si>
  <si>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</si>
  <si>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</si>
  <si>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</si>
  <si>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</si>
  <si>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</si>
  <si>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</si>
  <si>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</si>
  <si>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</si>
  <si>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</si>
  <si>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</si>
  <si>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</si>
  <si>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</si>
  <si>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</si>
  <si>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</si>
  <si>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</si>
  <si>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</si>
  <si>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</si>
  <si>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</si>
  <si>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</si>
  <si>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</si>
  <si>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</si>
  <si>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</si>
  <si>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</si>
  <si>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</si>
  <si>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</si>
  <si>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</si>
  <si>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</si>
  <si>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</si>
  <si>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</si>
  <si>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</si>
  <si>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</si>
  <si>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</si>
  <si>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</si>
  <si>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</si>
  <si>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</si>
  <si>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</si>
  <si>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</si>
  <si>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</si>
  <si>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</si>
  <si>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</si>
  <si>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</si>
  <si>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</si>
  <si>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</si>
  <si>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</si>
  <si>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</si>
  <si>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</si>
  <si>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</si>
  <si>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</si>
  <si>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</si>
  <si>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</si>
  <si>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</si>
  <si>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</si>
  <si>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</si>
  <si>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</si>
  <si>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</si>
  <si>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</si>
  <si>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</si>
  <si>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</si>
  <si>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</si>
  <si>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</si>
  <si>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</si>
  <si>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</si>
  <si>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</si>
  <si>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</si>
  <si>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</si>
  <si>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</si>
  <si>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</si>
  <si>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</si>
  <si>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</si>
  <si>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</si>
  <si>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</si>
  <si>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</si>
  <si>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</si>
  <si>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</si>
  <si>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</si>
  <si>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</si>
  <si>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</si>
  <si>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</si>
  <si>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</si>
  <si>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</si>
  <si>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</si>
  <si>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</si>
  <si>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</si>
  <si>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</si>
  <si>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</si>
  <si>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</si>
  <si>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</si>
  <si>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</si>
  <si>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</si>
  <si>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</si>
  <si>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</si>
  <si>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</si>
  <si>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</si>
  <si>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</si>
  <si>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</si>
  <si>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</si>
  <si>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</si>
  <si>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</si>
  <si>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</si>
  <si>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</si>
  <si>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</si>
  <si>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</si>
  <si>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</si>
  <si>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</si>
  <si>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</si>
  <si>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</si>
  <si>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</si>
  <si>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</si>
  <si>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</si>
  <si>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</si>
  <si>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</si>
  <si>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</si>
  <si>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</si>
  <si>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</si>
  <si>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</si>
  <si>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</si>
  <si>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</si>
  <si>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</si>
  <si>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</si>
  <si>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</si>
  <si>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</si>
  <si>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</si>
  <si>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</si>
  <si>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</si>
  <si>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</si>
  <si>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</si>
  <si>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</si>
  <si>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</si>
  <si>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</si>
  <si>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</si>
  <si>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</si>
  <si>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</si>
  <si>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</si>
  <si>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</si>
  <si>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</si>
  <si>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</si>
  <si>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</si>
  <si>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</si>
  <si>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</si>
  <si>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</si>
  <si>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</si>
  <si>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</si>
  <si>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</si>
  <si>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</si>
  <si>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</si>
  <si>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</si>
  <si>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</si>
  <si>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</si>
  <si>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</si>
  <si>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</si>
  <si>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</si>
  <si>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</si>
  <si>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</si>
  <si>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</si>
  <si>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</si>
  <si>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</si>
  <si>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</si>
  <si>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</si>
  <si>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</si>
  <si>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</si>
  <si>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</si>
  <si>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</si>
  <si>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</si>
  <si>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</si>
  <si>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</si>
  <si>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</si>
  <si>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</si>
  <si>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</si>
  <si>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</si>
  <si>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</si>
  <si>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</si>
  <si>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</si>
  <si>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</si>
  <si>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</si>
  <si>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</si>
  <si>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</si>
  <si>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</si>
  <si>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</si>
  <si>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</si>
  <si>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</si>
  <si>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</si>
  <si>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</si>
  <si>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</si>
  <si>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</si>
  <si>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</si>
  <si>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</si>
  <si>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</si>
  <si>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</si>
  <si>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</si>
  <si>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</si>
  <si>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</si>
  <si>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</si>
  <si>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</si>
  <si>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</si>
  <si>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</si>
  <si>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</si>
  <si>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</si>
  <si>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</si>
  <si>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</si>
  <si>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</si>
  <si>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</si>
  <si>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</si>
  <si>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</si>
  <si>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</si>
  <si>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</si>
  <si>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</si>
  <si>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</si>
  <si>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</si>
  <si>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</si>
  <si>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</si>
  <si>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</si>
  <si>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</si>
  <si>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</si>
  <si>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</si>
  <si>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</si>
  <si>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</si>
  <si>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</si>
  <si>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</si>
  <si>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</si>
  <si>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</si>
  <si>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</si>
  <si>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</si>
  <si>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</si>
  <si>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</si>
  <si>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</si>
  <si>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</si>
  <si>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</si>
  <si>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</si>
  <si>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</si>
  <si>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</si>
  <si>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</si>
  <si>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</si>
  <si>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</si>
  <si>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</si>
  <si>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</si>
  <si>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</si>
  <si>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</si>
  <si>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</si>
  <si>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</si>
  <si>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</si>
  <si>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</si>
  <si>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</si>
  <si>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</si>
  <si>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</si>
  <si>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</si>
  <si>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</si>
  <si>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</si>
  <si>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</si>
  <si>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</si>
  <si>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</si>
  <si>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</si>
  <si>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</si>
  <si>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</si>
  <si>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</si>
  <si>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</si>
  <si>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</si>
  <si>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</si>
  <si>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</si>
  <si>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</si>
  <si>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</si>
  <si>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</si>
  <si>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</si>
  <si>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</si>
  <si>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</si>
  <si>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</si>
  <si>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</si>
  <si>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</si>
  <si>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</si>
  <si>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</si>
  <si>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</si>
  <si>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</si>
  <si>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</si>
  <si>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</si>
  <si>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</si>
  <si>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</si>
  <si>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</si>
  <si>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</si>
  <si>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</si>
  <si>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</si>
  <si>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</si>
  <si>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</si>
  <si>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</si>
  <si>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</si>
  <si>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</si>
  <si>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</si>
  <si>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</si>
  <si>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</si>
  <si>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</si>
  <si>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</si>
  <si>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</si>
  <si>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</si>
  <si>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</si>
  <si>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</si>
  <si>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</si>
  <si>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</si>
  <si>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</si>
  <si>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</si>
  <si>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</si>
  <si>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</si>
  <si>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</si>
  <si>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</si>
  <si>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</si>
  <si>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</si>
  <si>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</si>
  <si>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</si>
  <si>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</si>
  <si>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</si>
  <si>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</si>
  <si>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</si>
  <si>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</si>
  <si>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</si>
  <si>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</si>
  <si>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</si>
  <si>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</si>
  <si>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</si>
  <si>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</si>
  <si>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</si>
  <si>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</si>
  <si>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</si>
  <si>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</si>
  <si>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</si>
  <si>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</si>
  <si>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</si>
  <si>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</si>
  <si>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</si>
  <si>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</si>
  <si>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</si>
  <si>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钢混</t>
  </si>
  <si>
    <t>工业2</t>
  </si>
  <si>
    <t>收益法 (2)</t>
  </si>
  <si>
    <t>收益法 (2)</t>
    <phoneticPr fontId="16" type="noConversion"/>
  </si>
  <si>
    <t>Ⅷ-顺1</t>
  </si>
  <si>
    <t>工业用地</t>
  </si>
  <si>
    <t>与级别开发程度一致</t>
  </si>
  <si>
    <t>通路</t>
  </si>
  <si>
    <t>通电</t>
  </si>
  <si>
    <t>通讯</t>
  </si>
  <si>
    <t>通上水</t>
  </si>
  <si>
    <t>通下水</t>
  </si>
  <si>
    <t>地价指数</t>
  </si>
  <si>
    <t>容积率修正</t>
  </si>
  <si>
    <t>较好</t>
  </si>
  <si>
    <t>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</si>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</sst>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0" fontId="225" fillId="0" borderId="3" xfId="0"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181" fontId="50" fillId="17" borderId="10" xfId="0" applyNumberFormat="1" applyFont="1" applyFill="1" applyBorder="1" applyAlignment="1" applyProtection="1">
      <alignment horizontal="center" vertical="center"/>
      <protection locked="0"/>
    </xf>
    <xf numFmtId="181" fontId="50" fillId="17" borderId="8" xfId="0" applyNumberFormat="1" applyFont="1" applyFill="1" applyBorder="1" applyAlignment="1" applyProtection="1">
      <alignment horizontal="center" vertical="center"/>
      <protection locked="0"/>
    </xf>
    <xf numFmtId="181" fontId="50" fillId="17" borderId="24"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受贵公司委托，我公司对北京市房地产抵押价值进行了预评估。</v>
      </c>
    </row>
    <row r="7" spans="1:2" s="1591" customFormat="1">
      <c r="A7" s="1589" t="s">
        <v>1259</v>
      </c>
      <c r="B7" s="1590" t="str">
        <f>'预评函-1'!A7</f>
        <v>估价对象为北京市房地产，为所有。根据《国有土地使用证》[]，估价对象（分摊）出让国有建设用地使用权面积为120628.8平方米，建筑面积为66988.94平方米。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估价对象为北京市房地产,属开发建设的，该项目尚在开发建设中。根据《国有土地使用证》[]，估价对象（分摊）出让国有建设用地使用权面积为120628.8平方米，规划建筑面积为66988.94平方米。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2020年6月23日</v>
      </c>
    </row>
    <row r="13" spans="1:2" s="1591" customFormat="1">
      <c r="A13" s="1589" t="s">
        <v>1222</v>
      </c>
      <c r="B13" s="1590"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本次评估采用的主估价方法为成本法和收益法。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39767</v>
      </c>
    </row>
    <row r="21" spans="1:2" s="1591" customFormat="1">
      <c r="A21" s="1589" t="s">
        <v>1230</v>
      </c>
      <c r="B21" s="1590">
        <f ca="1">'预评函-2'!D7</f>
        <v>5936</v>
      </c>
    </row>
    <row r="22" spans="1:2" s="1591" customFormat="1">
      <c r="A22" s="1589" t="s">
        <v>1231</v>
      </c>
      <c r="B22" s="1590" t="str">
        <f ca="1">'预评函-2'!D6</f>
        <v>叁亿玖仟柒佰陆拾柒万元整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39767</v>
      </c>
    </row>
    <row r="31" spans="1:2" s="1591" customFormat="1">
      <c r="A31" s="1589" t="s">
        <v>1269</v>
      </c>
      <c r="B31" s="1590">
        <f ca="1">'预评函-2'!D15</f>
        <v>5936</v>
      </c>
    </row>
    <row r="32" spans="1:2" s="1591" customFormat="1">
      <c r="A32" s="1589" t="s">
        <v>1236</v>
      </c>
      <c r="B32" s="1590" t="str">
        <f ca="1">'预评函-2'!D14</f>
        <v>叁亿玖仟柒佰陆拾柒万元整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北京市房地产</v>
      </c>
    </row>
    <row r="42" spans="1:2" s="1591" customFormat="1">
      <c r="A42" s="1589" t="s">
        <v>1283</v>
      </c>
      <c r="B42" s="1590" t="str">
        <f>'预评函-3'!B2</f>
        <v>建筑面积</v>
      </c>
    </row>
    <row r="43" spans="1:2" s="1591" customFormat="1">
      <c r="A43" s="1589" t="s">
        <v>1284</v>
      </c>
      <c r="B43" s="1590">
        <f>'预评函-3'!B4</f>
        <v>66988.94</v>
      </c>
    </row>
    <row r="44" spans="1:2" s="1591" customFormat="1">
      <c r="A44" s="1589" t="s">
        <v>1268</v>
      </c>
      <c r="B44" s="1590" t="str">
        <f>'预评函-3'!C2</f>
        <v>(分摊)土地面积</v>
      </c>
    </row>
    <row r="45" spans="1:2" s="1591" customFormat="1">
      <c r="A45" s="1589" t="s">
        <v>1240</v>
      </c>
      <c r="B45" s="1590">
        <f>'预评函-3'!C4</f>
        <v>120628.8</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f>'预评函-4'!A4</f>
        <v>0</v>
      </c>
    </row>
    <row r="71" spans="1:2">
      <c r="A71" s="1589" t="s">
        <v>1256</v>
      </c>
      <c r="B71" s="1590">
        <f>'预评函-4'!B4</f>
        <v>0</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3085</v>
      </c>
      <c r="C17" s="2004"/>
    </row>
    <row r="18" spans="1:3">
      <c r="A18" s="2003" t="s">
        <v>1761</v>
      </c>
      <c r="B18" s="2003" t="s">
        <v>757</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10"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1" t="s">
        <v>860</v>
      </c>
      <c r="C54" s="2008" t="s">
        <v>1276</v>
      </c>
    </row>
    <row r="55" spans="1:4">
      <c r="A55" s="3010"/>
      <c r="B55" s="2011" t="s">
        <v>861</v>
      </c>
      <c r="C55" s="2008" t="s">
        <v>1277</v>
      </c>
    </row>
    <row r="56" spans="1:4">
      <c r="A56" s="3010"/>
      <c r="B56" s="2011" t="s">
        <v>862</v>
      </c>
      <c r="C56" s="2008" t="s">
        <v>1281</v>
      </c>
    </row>
    <row r="57" spans="1:4">
      <c r="A57" s="3010"/>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38" sqref="E38"/>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9" customWidth="1"/>
    <col min="10" max="10" width="10" style="2021" customWidth="1"/>
    <col min="11" max="11" width="10" style="2150" customWidth="1"/>
    <col min="12" max="13" width="10" style="2151" customWidth="1"/>
    <col min="14" max="14" width="10" style="2021" customWidth="1"/>
    <col min="15" max="15" width="10" style="2149" customWidth="1"/>
    <col min="16" max="17" width="10" style="2021"/>
    <col min="18" max="18" width="10" style="2021" customWidth="1"/>
    <col min="19" max="16384" width="10" style="2021"/>
  </cols>
  <sheetData>
    <row r="1" spans="1:19" ht="38.25" customHeight="1" thickBot="1">
      <c r="A1" s="2014" t="s">
        <v>1770</v>
      </c>
      <c r="B1" s="3019" t="str">
        <f>IF(B10="北京市","北京市",C10)&amp;F10&amp;IF(结果表!G1="在建","出让国有建设用地使用权及在建建筑物",IF(结果表!G1="土地","出让国有建设用地使用权",))&amp;B9&amp;"预评估"</f>
        <v>北京市房地产抵押价值预评估</v>
      </c>
      <c r="C1" s="3020"/>
      <c r="D1" s="3020"/>
      <c r="E1" s="3020"/>
      <c r="F1" s="3020"/>
      <c r="G1" s="3020"/>
      <c r="H1" s="3020"/>
      <c r="I1" s="3021"/>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5" t="s">
        <v>1771</v>
      </c>
      <c r="B2" s="1037"/>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北京市房地产</v>
      </c>
    </row>
    <row r="3" spans="1:19" ht="18" customHeight="1">
      <c r="A3" s="2024" t="s">
        <v>1772</v>
      </c>
      <c r="B3" s="2025"/>
      <c r="C3" s="2026" t="s">
        <v>1773</v>
      </c>
      <c r="D3" s="2025">
        <v>44005</v>
      </c>
      <c r="E3" s="2015"/>
      <c r="F3" s="2015"/>
      <c r="G3" s="2015"/>
      <c r="H3" s="2015"/>
      <c r="I3" s="2015"/>
      <c r="J3" s="2015"/>
      <c r="K3" s="2016"/>
      <c r="L3" s="2017"/>
      <c r="M3" s="2017"/>
      <c r="N3" s="2018"/>
      <c r="O3" s="2019"/>
      <c r="P3" s="2018"/>
      <c r="Q3" s="2018"/>
      <c r="R3" s="2018"/>
      <c r="S3" s="2020"/>
    </row>
    <row r="4" spans="1:19" ht="18" customHeight="1" thickBot="1">
      <c r="A4" s="2027" t="s">
        <v>1774</v>
      </c>
      <c r="B4" s="2028"/>
      <c r="C4" s="1035">
        <f>SUMIF(注册房地产估价师,B4,估价师及机构信息!B3:B24)</f>
        <v>0</v>
      </c>
      <c r="D4" s="2028"/>
      <c r="E4" s="1036">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034"/>
      <c r="C5" s="2035"/>
      <c r="D5" s="2036"/>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7" t="s">
        <v>1776</v>
      </c>
      <c r="B6" s="2038"/>
      <c r="C6" s="2039"/>
      <c r="D6" s="2040"/>
      <c r="E6" s="2023"/>
      <c r="F6" s="2031"/>
      <c r="G6" s="2031"/>
      <c r="H6" s="2031"/>
      <c r="I6" s="2031"/>
      <c r="J6" s="2031"/>
      <c r="K6" s="2041" t="str">
        <f>IF(COUNTIF(B6,"*上海银行*"),"上海银行","")</f>
        <v/>
      </c>
      <c r="L6" s="2017"/>
      <c r="M6" s="2017"/>
      <c r="N6" s="2018"/>
      <c r="O6" s="2019"/>
      <c r="P6" s="2018"/>
      <c r="Q6" s="2018"/>
      <c r="R6" s="2018"/>
    </row>
    <row r="7" spans="1:19" ht="18" customHeight="1">
      <c r="A7" s="2037" t="s">
        <v>1777</v>
      </c>
      <c r="B7" s="2042"/>
      <c r="C7" s="2039"/>
      <c r="D7" s="2040"/>
      <c r="E7" s="2023"/>
      <c r="F7" s="2031"/>
      <c r="G7" s="2031"/>
      <c r="H7" s="2031"/>
      <c r="I7" s="2031"/>
      <c r="J7" s="2031"/>
      <c r="K7" s="2043"/>
      <c r="L7" s="2017"/>
      <c r="M7" s="2017"/>
      <c r="N7" s="2018"/>
      <c r="O7" s="2019"/>
      <c r="P7" s="2018"/>
      <c r="Q7" s="2018"/>
      <c r="R7" s="2018"/>
    </row>
    <row r="8" spans="1:19" ht="18" customHeight="1">
      <c r="A8" s="2037" t="s">
        <v>1778</v>
      </c>
      <c r="B8" s="2044" t="s">
        <v>3059</v>
      </c>
      <c r="C8" s="2045"/>
      <c r="D8" s="3022" t="s">
        <v>1779</v>
      </c>
      <c r="E8" s="2046" t="s">
        <v>3060</v>
      </c>
      <c r="F8" s="2047"/>
      <c r="G8" s="2015"/>
      <c r="H8" s="2015"/>
      <c r="I8" s="2015"/>
      <c r="J8" s="2031"/>
      <c r="K8" s="2032"/>
      <c r="L8" s="2017"/>
      <c r="M8" s="2017"/>
      <c r="N8" s="2018"/>
      <c r="O8" s="2019"/>
      <c r="P8" s="2018"/>
      <c r="Q8" s="2018"/>
      <c r="R8" s="2018"/>
    </row>
    <row r="9" spans="1:19" ht="18" customHeight="1" thickBot="1">
      <c r="A9" s="2029" t="s">
        <v>1780</v>
      </c>
      <c r="B9" s="2048" t="s">
        <v>3060</v>
      </c>
      <c r="C9" s="2049"/>
      <c r="D9" s="3023"/>
      <c r="E9" s="2048"/>
      <c r="F9" s="2050"/>
      <c r="G9" s="2051"/>
      <c r="H9" s="2051"/>
      <c r="I9" s="2051"/>
      <c r="J9" s="2031"/>
      <c r="K9" s="2043"/>
      <c r="L9" s="2017"/>
      <c r="M9" s="2017"/>
      <c r="N9" s="2018"/>
      <c r="O9" s="2019"/>
      <c r="P9" s="2018"/>
      <c r="Q9" s="2018"/>
      <c r="R9" s="2018"/>
    </row>
    <row r="10" spans="1:19" ht="18" customHeight="1" thickTop="1">
      <c r="A10" s="2052" t="s">
        <v>1781</v>
      </c>
      <c r="B10" s="2053" t="s">
        <v>3061</v>
      </c>
      <c r="C10" s="2054"/>
      <c r="D10" s="2036"/>
      <c r="E10" s="2055" t="s">
        <v>1782</v>
      </c>
      <c r="F10" s="2056"/>
      <c r="G10" s="2057"/>
      <c r="H10" s="2058"/>
      <c r="I10" s="2036"/>
      <c r="J10" s="2031"/>
      <c r="K10" s="2043"/>
      <c r="L10" s="2017"/>
      <c r="M10" s="2017"/>
      <c r="N10" s="2018"/>
      <c r="O10" s="2019"/>
      <c r="P10" s="2018"/>
      <c r="Q10" s="2018"/>
      <c r="R10" s="2018"/>
    </row>
    <row r="11" spans="1:19" ht="18" customHeight="1">
      <c r="A11" s="2059" t="s">
        <v>1783</v>
      </c>
      <c r="B11" s="2060" t="s">
        <v>3062</v>
      </c>
      <c r="C11" s="2061"/>
      <c r="D11" s="2062"/>
      <c r="E11" s="2031"/>
      <c r="F11" s="2031"/>
      <c r="G11" s="2031"/>
      <c r="H11" s="2031"/>
      <c r="I11" s="2031"/>
      <c r="J11" s="2031"/>
      <c r="K11" s="2043"/>
      <c r="L11" s="2017"/>
      <c r="M11" s="2017"/>
      <c r="N11" s="2018"/>
      <c r="O11" s="2019"/>
      <c r="P11" s="2018"/>
      <c r="Q11" s="2018"/>
      <c r="R11" s="2018"/>
    </row>
    <row r="12" spans="1:19" ht="18" customHeight="1">
      <c r="A12" s="2063" t="s">
        <v>1784</v>
      </c>
      <c r="B12" s="2060" t="s">
        <v>3063</v>
      </c>
      <c r="C12" s="2064" t="s">
        <v>1785</v>
      </c>
      <c r="D12" s="2065" t="s">
        <v>1786</v>
      </c>
      <c r="E12" s="2065" t="s">
        <v>1787</v>
      </c>
      <c r="F12" s="2065" t="s">
        <v>1788</v>
      </c>
      <c r="G12" s="2065" t="s">
        <v>1789</v>
      </c>
      <c r="H12" s="2065" t="s">
        <v>1790</v>
      </c>
      <c r="I12" s="2065" t="s">
        <v>1791</v>
      </c>
      <c r="J12" s="2031"/>
      <c r="K12" s="2043"/>
      <c r="L12" s="2017"/>
      <c r="M12" s="2017"/>
      <c r="N12" s="2018"/>
      <c r="O12" s="2019"/>
      <c r="P12" s="2018"/>
      <c r="Q12" s="2018"/>
      <c r="R12" s="2018"/>
    </row>
    <row r="13" spans="1:19" ht="18" customHeight="1">
      <c r="A13" s="2066"/>
      <c r="B13" s="2067"/>
      <c r="C13" s="2068" t="s">
        <v>1792</v>
      </c>
      <c r="D13" s="2069"/>
      <c r="E13" s="2069"/>
      <c r="F13" s="2069"/>
      <c r="G13" s="2069"/>
      <c r="H13" s="2069"/>
      <c r="I13" s="1045">
        <v>56071</v>
      </c>
      <c r="J13" s="2031"/>
      <c r="K13" s="2043"/>
      <c r="L13" s="2017"/>
      <c r="M13" s="2017"/>
      <c r="N13" s="2018"/>
      <c r="O13" s="2019"/>
      <c r="P13" s="2018"/>
      <c r="Q13" s="2018"/>
      <c r="R13" s="2018"/>
    </row>
    <row r="14" spans="1:19" ht="18" customHeight="1">
      <c r="A14" s="2066"/>
      <c r="B14" s="2067"/>
      <c r="C14" s="2068" t="s">
        <v>1793</v>
      </c>
      <c r="D14" s="1048"/>
      <c r="E14" s="1048"/>
      <c r="F14" s="1048"/>
      <c r="G14" s="1048"/>
      <c r="H14" s="1048"/>
      <c r="I14" s="1048">
        <v>50</v>
      </c>
      <c r="J14" s="2031"/>
      <c r="K14" s="2070"/>
      <c r="L14" s="2017"/>
      <c r="M14" s="2017"/>
      <c r="N14" s="2018"/>
      <c r="O14" s="2019"/>
      <c r="P14" s="2018"/>
      <c r="Q14" s="2018"/>
      <c r="R14" s="2018"/>
    </row>
    <row r="15" spans="1:19" ht="18" customHeight="1">
      <c r="A15" s="2052"/>
      <c r="B15" s="2071"/>
      <c r="C15" s="2068" t="s">
        <v>1794</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33.049999999999997</v>
      </c>
      <c r="J15" s="2031"/>
      <c r="K15" s="2072"/>
      <c r="L15" s="2073"/>
      <c r="M15" s="2073"/>
      <c r="N15" s="2074"/>
      <c r="O15" s="2073"/>
      <c r="P15" s="2074"/>
      <c r="Q15" s="2018"/>
      <c r="R15" s="2018"/>
    </row>
    <row r="16" spans="1:19" ht="30.75" customHeight="1">
      <c r="A16" s="2055" t="s">
        <v>1795</v>
      </c>
      <c r="B16" s="3029"/>
      <c r="C16" s="3030"/>
      <c r="D16" s="3031"/>
      <c r="E16" s="2075" t="s">
        <v>1796</v>
      </c>
      <c r="F16" s="3032"/>
      <c r="G16" s="3033"/>
      <c r="H16" s="3033"/>
      <c r="I16" s="3034"/>
      <c r="J16" s="2018"/>
      <c r="K16" s="2072"/>
      <c r="L16" s="2073"/>
      <c r="M16" s="2073"/>
      <c r="N16" s="2074"/>
      <c r="O16" s="2073"/>
      <c r="P16" s="2074"/>
      <c r="Q16" s="2018"/>
      <c r="R16" s="2018"/>
    </row>
    <row r="17" spans="1:22" ht="18" customHeight="1">
      <c r="A17" s="2076" t="s">
        <v>1797</v>
      </c>
      <c r="B17" s="2024" t="s">
        <v>1798</v>
      </c>
      <c r="C17" s="1052">
        <f>'数据-汇总表'!E3</f>
        <v>66988.94</v>
      </c>
      <c r="D17" s="2077" t="s">
        <v>1799</v>
      </c>
      <c r="E17" s="3035" t="s">
        <v>1800</v>
      </c>
      <c r="F17" s="3036"/>
      <c r="G17" s="3036"/>
      <c r="H17" s="3036"/>
      <c r="I17" s="3037"/>
      <c r="J17" s="2018"/>
      <c r="K17" s="2078"/>
      <c r="L17" s="2073"/>
      <c r="M17" s="2073"/>
      <c r="N17" s="2074"/>
      <c r="O17" s="2073"/>
      <c r="P17" s="2074"/>
      <c r="Q17" s="2018"/>
      <c r="R17" s="2018"/>
      <c r="S17" s="2018"/>
      <c r="T17" s="2018"/>
      <c r="U17" s="2018"/>
      <c r="V17" s="2018"/>
    </row>
    <row r="18" spans="1:22" ht="36" customHeight="1" thickBot="1">
      <c r="A18" s="2079" t="s">
        <v>1801</v>
      </c>
      <c r="B18" s="2027" t="s">
        <v>1802</v>
      </c>
      <c r="C18" s="1442">
        <f>'数据-汇总表'!D3</f>
        <v>120628.8</v>
      </c>
      <c r="D18" s="2080" t="s">
        <v>1799</v>
      </c>
      <c r="E18" s="3038" t="s">
        <v>1803</v>
      </c>
      <c r="F18" s="3039"/>
      <c r="G18" s="3039"/>
      <c r="H18" s="3039"/>
      <c r="I18" s="3040"/>
      <c r="J18" s="2018"/>
      <c r="K18" s="2078"/>
      <c r="L18" s="2073"/>
      <c r="M18" s="2073"/>
      <c r="N18" s="2074"/>
      <c r="O18" s="2073"/>
      <c r="P18" s="2074"/>
      <c r="Q18" s="2018"/>
      <c r="R18" s="2018"/>
      <c r="S18" s="2018"/>
      <c r="T18" s="2018"/>
      <c r="U18" s="2018"/>
      <c r="V18" s="2018"/>
    </row>
    <row r="19" spans="1:22" ht="37.5" customHeight="1" thickTop="1" thickBot="1">
      <c r="A19" s="372" t="s">
        <v>1804</v>
      </c>
      <c r="B19" s="351" t="s">
        <v>1805</v>
      </c>
      <c r="C19" s="2081"/>
      <c r="D19" s="2082" t="s">
        <v>1806</v>
      </c>
      <c r="E19" s="2083"/>
      <c r="F19" s="2084" t="str">
        <f>IF(AND(C19="是",E19="否"),"是否提供他项权证或相关说明","")</f>
        <v/>
      </c>
      <c r="G19" s="2085"/>
      <c r="H19" s="2031"/>
      <c r="I19" s="2031"/>
      <c r="J19" s="2031"/>
      <c r="K19" s="2043"/>
      <c r="L19" s="2017"/>
      <c r="M19" s="2017"/>
      <c r="N19" s="2074"/>
      <c r="O19" s="2073"/>
      <c r="P19" s="2074"/>
      <c r="Q19" s="2018"/>
      <c r="R19" s="2018"/>
      <c r="S19" s="2018"/>
      <c r="T19" s="2018"/>
      <c r="U19" s="2018"/>
      <c r="V19" s="2018"/>
    </row>
    <row r="20" spans="1:22" ht="18" customHeight="1">
      <c r="A20" s="2086" t="s">
        <v>1807</v>
      </c>
      <c r="B20" s="3025" t="s">
        <v>1808</v>
      </c>
      <c r="C20" s="3026"/>
      <c r="D20" s="3027" t="s">
        <v>1809</v>
      </c>
      <c r="E20" s="3028"/>
      <c r="F20" s="2087" t="s">
        <v>1810</v>
      </c>
      <c r="G20" s="2031"/>
      <c r="H20" s="2031"/>
      <c r="I20" s="2031"/>
      <c r="J20" s="2031"/>
      <c r="K20" s="3024"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4"/>
      <c r="O20" s="2073"/>
      <c r="P20" s="2074"/>
      <c r="Q20" s="2018"/>
      <c r="R20" s="2018"/>
      <c r="S20" s="2018"/>
      <c r="T20" s="2018"/>
      <c r="U20" s="2018"/>
      <c r="V20" s="2018"/>
    </row>
    <row r="21" spans="1:22" ht="24.75" customHeight="1">
      <c r="A21" s="2086"/>
      <c r="B21" s="2088" t="s">
        <v>1812</v>
      </c>
      <c r="C21" s="2089" t="s">
        <v>1813</v>
      </c>
      <c r="D21" s="2090" t="s">
        <v>1814</v>
      </c>
      <c r="E21" s="2091" t="s">
        <v>1813</v>
      </c>
      <c r="F21" s="2092"/>
      <c r="G21" s="2031"/>
      <c r="H21" s="2031"/>
      <c r="I21" s="2031"/>
      <c r="J21" s="2031"/>
      <c r="K21" s="302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4"/>
      <c r="O21" s="2073"/>
      <c r="P21" s="2074"/>
      <c r="Q21" s="2018"/>
      <c r="R21" s="2018"/>
      <c r="S21" s="2018"/>
      <c r="T21" s="2018"/>
      <c r="U21" s="2018"/>
      <c r="V21" s="2018"/>
    </row>
    <row r="22" spans="1:22" ht="24.75" customHeight="1" thickBot="1">
      <c r="A22" s="2086"/>
      <c r="B22" s="2093" t="s">
        <v>1815</v>
      </c>
      <c r="C22" s="2089" t="s">
        <v>1816</v>
      </c>
      <c r="D22" s="2015"/>
      <c r="E22" s="2015"/>
      <c r="F22" s="2094"/>
      <c r="G22" s="2031"/>
      <c r="H22" s="2031"/>
      <c r="I22" s="2031"/>
      <c r="J22" s="2031"/>
      <c r="K22" s="302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4"/>
      <c r="O22" s="2073"/>
      <c r="P22" s="2074"/>
      <c r="Q22" s="2018"/>
      <c r="R22" s="2018"/>
      <c r="S22" s="2018"/>
      <c r="T22" s="2018"/>
      <c r="U22" s="2018"/>
      <c r="V22" s="2018"/>
    </row>
    <row r="23" spans="1:22" ht="18" customHeight="1">
      <c r="A23" s="2095" t="s">
        <v>1817</v>
      </c>
      <c r="B23" s="182" t="s">
        <v>1818</v>
      </c>
      <c r="C23" s="2096"/>
      <c r="D23" s="2097" t="s">
        <v>1818</v>
      </c>
      <c r="E23" s="2098"/>
      <c r="F23" s="2094"/>
      <c r="G23" s="2031"/>
      <c r="H23" s="2031"/>
      <c r="I23" s="2031"/>
      <c r="J23" s="2031"/>
      <c r="K23" s="2099"/>
      <c r="L23" s="746"/>
      <c r="M23" s="2017"/>
      <c r="N23" s="2074"/>
      <c r="O23" s="2073"/>
      <c r="P23" s="2074"/>
      <c r="Q23" s="2018"/>
      <c r="R23" s="2018"/>
      <c r="S23" s="2018"/>
      <c r="T23" s="2018"/>
      <c r="U23" s="2018"/>
      <c r="V23" s="2018"/>
    </row>
    <row r="24" spans="1:22" ht="18" customHeight="1">
      <c r="A24" s="2100"/>
      <c r="B24" s="182" t="s">
        <v>1819</v>
      </c>
      <c r="C24" s="2101"/>
      <c r="D24" s="2095" t="s">
        <v>1819</v>
      </c>
      <c r="E24" s="2102"/>
      <c r="F24" s="2094"/>
      <c r="G24" s="2031"/>
      <c r="H24" s="2031"/>
      <c r="I24" s="2031"/>
      <c r="J24" s="2031"/>
      <c r="K24" s="2099"/>
      <c r="L24" s="746"/>
      <c r="M24" s="2017"/>
      <c r="N24" s="2074"/>
      <c r="O24" s="2073"/>
      <c r="P24" s="2074"/>
      <c r="Q24" s="2018"/>
      <c r="R24" s="2018"/>
      <c r="S24" s="2018"/>
      <c r="T24" s="2018"/>
      <c r="U24" s="2018"/>
      <c r="V24" s="2018"/>
    </row>
    <row r="25" spans="1:22" ht="18" customHeight="1">
      <c r="A25" s="2100"/>
      <c r="B25" s="182" t="s">
        <v>1820</v>
      </c>
      <c r="C25" s="2101"/>
      <c r="D25" s="2095" t="s">
        <v>1820</v>
      </c>
      <c r="E25" s="2102"/>
      <c r="F25" s="2094"/>
      <c r="G25" s="2031"/>
      <c r="H25" s="2031"/>
      <c r="I25" s="2031"/>
      <c r="J25" s="2031"/>
      <c r="K25" s="2043"/>
      <c r="L25" s="2017"/>
      <c r="M25" s="2017"/>
      <c r="N25" s="2074"/>
      <c r="O25" s="2073"/>
      <c r="P25" s="2074"/>
      <c r="Q25" s="2018"/>
      <c r="R25" s="2018"/>
      <c r="S25" s="2018"/>
      <c r="T25" s="2018"/>
      <c r="U25" s="2018"/>
      <c r="V25" s="2018"/>
    </row>
    <row r="26" spans="1:22" ht="18" customHeight="1" thickBot="1">
      <c r="A26" s="2103"/>
      <c r="B26" s="2104" t="s">
        <v>1821</v>
      </c>
      <c r="C26" s="2105"/>
      <c r="D26" s="2106" t="s">
        <v>1822</v>
      </c>
      <c r="E26" s="2107"/>
      <c r="F26" s="2108"/>
      <c r="G26" s="2051"/>
      <c r="H26" s="2051"/>
      <c r="I26" s="2051"/>
      <c r="J26" s="2031"/>
      <c r="K26" s="2043"/>
      <c r="L26" s="2017"/>
      <c r="M26" s="2017"/>
      <c r="N26" s="2074"/>
      <c r="O26" s="2073"/>
      <c r="P26" s="2074"/>
      <c r="Q26" s="2018"/>
      <c r="R26" s="2018"/>
      <c r="S26" s="2018"/>
      <c r="T26" s="2018"/>
      <c r="U26" s="2018"/>
      <c r="V26" s="2018"/>
    </row>
    <row r="27" spans="1:22" ht="18" customHeight="1" thickTop="1">
      <c r="A27" s="3012" t="s">
        <v>1823</v>
      </c>
      <c r="B27" s="2052" t="s">
        <v>1824</v>
      </c>
      <c r="C27" s="2109"/>
      <c r="D27" s="2110"/>
      <c r="E27" s="2031"/>
      <c r="F27" s="2031"/>
      <c r="G27" s="2031"/>
      <c r="H27" s="2031"/>
      <c r="I27" s="2031"/>
      <c r="J27" s="2018"/>
      <c r="K27" s="2072"/>
      <c r="L27" s="2073"/>
      <c r="M27" s="2073"/>
      <c r="N27" s="2074"/>
      <c r="O27" s="2073"/>
      <c r="P27" s="2074"/>
      <c r="Q27" s="2018"/>
      <c r="R27" s="2018"/>
      <c r="S27" s="2018"/>
      <c r="T27" s="2018"/>
      <c r="U27" s="2018"/>
      <c r="V27" s="2018"/>
    </row>
    <row r="28" spans="1:22" ht="18" customHeight="1">
      <c r="A28" s="3012"/>
      <c r="B28" s="2024" t="s">
        <v>1825</v>
      </c>
      <c r="C28" s="2111"/>
      <c r="D28" s="2112"/>
      <c r="E28" s="2031"/>
      <c r="F28" s="2031"/>
      <c r="G28" s="2031"/>
      <c r="H28" s="2031"/>
      <c r="I28" s="2031"/>
      <c r="J28" s="2018"/>
      <c r="K28" s="2113"/>
      <c r="L28" s="2017"/>
      <c r="M28" s="2017"/>
      <c r="N28" s="2018"/>
      <c r="O28" s="2019"/>
      <c r="P28" s="2018"/>
      <c r="Q28" s="2018"/>
      <c r="R28" s="2018"/>
      <c r="S28" s="2018"/>
      <c r="T28" s="2018"/>
      <c r="U28" s="2018"/>
      <c r="V28" s="2018"/>
    </row>
    <row r="29" spans="1:22" ht="18" customHeight="1">
      <c r="A29" s="3012"/>
      <c r="B29" s="2024" t="s">
        <v>1826</v>
      </c>
      <c r="C29" s="2114"/>
      <c r="D29" s="2115"/>
      <c r="E29" s="2031"/>
      <c r="F29" s="2031"/>
      <c r="G29" s="2031"/>
      <c r="H29" s="2031"/>
      <c r="I29" s="2031"/>
      <c r="J29" s="2018"/>
      <c r="K29" s="2113"/>
      <c r="L29" s="2017"/>
      <c r="M29" s="2017"/>
      <c r="N29" s="2018"/>
      <c r="O29" s="2019"/>
      <c r="P29" s="2018"/>
      <c r="Q29" s="2018"/>
      <c r="R29" s="2018"/>
      <c r="S29" s="2018"/>
      <c r="T29" s="2018"/>
      <c r="U29" s="2018"/>
      <c r="V29" s="2018"/>
    </row>
    <row r="30" spans="1:22" ht="18" customHeight="1">
      <c r="A30" s="3013"/>
      <c r="B30" s="2024" t="s">
        <v>1827</v>
      </c>
      <c r="C30" s="3014"/>
      <c r="D30" s="3015"/>
      <c r="E30" s="2031"/>
      <c r="F30" s="2031"/>
      <c r="G30" s="2031"/>
      <c r="H30" s="2031"/>
      <c r="I30" s="2031"/>
      <c r="J30" s="2018"/>
      <c r="K30" s="2113"/>
      <c r="L30" s="2017"/>
      <c r="M30" s="2017"/>
      <c r="N30" s="2018"/>
      <c r="O30" s="2019"/>
      <c r="P30" s="2018"/>
      <c r="Q30" s="2018"/>
      <c r="R30" s="2018"/>
      <c r="S30" s="2018"/>
      <c r="T30" s="2018"/>
      <c r="U30" s="2018"/>
      <c r="V30" s="2018"/>
    </row>
    <row r="31" spans="1:22" ht="18" customHeight="1">
      <c r="A31" s="3016" t="s">
        <v>1828</v>
      </c>
      <c r="B31" s="2116"/>
      <c r="C31" s="2117" t="str">
        <f>IF(B31="现房","成新及维护状况正常否",IF(B31="在建","工程状态是否正常",IF(B31="土地","是否闲置","-")))</f>
        <v>-</v>
      </c>
      <c r="D31" s="2118"/>
      <c r="E31" s="2119"/>
      <c r="F31" s="2031"/>
      <c r="G31" s="2031"/>
      <c r="H31" s="2031"/>
      <c r="I31" s="2031"/>
      <c r="J31" s="2031"/>
      <c r="K31" s="2041"/>
      <c r="L31" s="2017"/>
      <c r="M31" s="2017"/>
      <c r="N31" s="2018"/>
      <c r="O31" s="2019"/>
      <c r="P31" s="2018"/>
      <c r="Q31" s="2018"/>
      <c r="R31" s="2018"/>
      <c r="S31" s="2018"/>
      <c r="T31" s="2018"/>
      <c r="U31" s="2018"/>
      <c r="V31" s="2018"/>
    </row>
    <row r="32" spans="1:22" ht="18" customHeight="1">
      <c r="A32" s="3017"/>
      <c r="B32" s="2116"/>
      <c r="C32" s="2117" t="str">
        <f>IF(B32="现房","成新及维护状况是否正常",IF(B32="在建","工程状态是否正常",IF(B32="土地","是否闲置","-")))</f>
        <v>-</v>
      </c>
      <c r="D32" s="2118"/>
      <c r="E32" s="2119"/>
      <c r="F32" s="2031"/>
      <c r="G32" s="2031"/>
      <c r="H32" s="2031"/>
      <c r="I32" s="2031"/>
      <c r="J32" s="2031"/>
      <c r="K32" s="2043"/>
      <c r="L32" s="2017"/>
      <c r="M32" s="2017"/>
      <c r="N32" s="2018"/>
      <c r="O32" s="2019"/>
      <c r="P32" s="2018"/>
      <c r="Q32" s="2018"/>
      <c r="R32" s="2018"/>
      <c r="S32" s="2018"/>
      <c r="T32" s="2018"/>
      <c r="U32" s="2018"/>
      <c r="V32" s="2018"/>
    </row>
    <row r="33" spans="1:22" ht="18" customHeight="1">
      <c r="A33" s="3017"/>
      <c r="B33" s="2120"/>
      <c r="C33" s="2059" t="str">
        <f>IF(B33="现房","成新及维护状况是否正常",IF(B33="在建","工程状态是否正常",IF(B33="土地","是否闲置","-")))</f>
        <v>-</v>
      </c>
      <c r="D33" s="2121"/>
      <c r="E33" s="2122"/>
      <c r="F33" s="2031"/>
      <c r="G33" s="2031"/>
      <c r="H33" s="2031"/>
      <c r="I33" s="2031"/>
      <c r="J33" s="2031"/>
      <c r="K33" s="2043"/>
      <c r="L33" s="2017"/>
      <c r="M33" s="2017"/>
      <c r="N33" s="2018"/>
      <c r="O33" s="2019"/>
      <c r="P33" s="2018"/>
      <c r="Q33" s="2018"/>
      <c r="R33" s="2018"/>
      <c r="S33" s="2018"/>
      <c r="T33" s="2018"/>
      <c r="U33" s="2018"/>
      <c r="V33" s="2018"/>
    </row>
    <row r="34" spans="1:22" ht="18" customHeight="1">
      <c r="A34" s="2024" t="s">
        <v>1829</v>
      </c>
      <c r="B34" s="2123"/>
      <c r="C34" s="2123"/>
      <c r="D34" s="2123"/>
      <c r="E34" s="2123"/>
      <c r="F34" s="2123"/>
      <c r="G34" s="2123"/>
      <c r="H34" s="2123"/>
      <c r="I34" s="2031"/>
      <c r="J34" s="2031"/>
      <c r="K34" s="1785">
        <f>COUNTIF(B34:H34,"——")</f>
        <v>0</v>
      </c>
      <c r="L34" s="2064" t="s">
        <v>1830</v>
      </c>
      <c r="M34" s="2064" t="s">
        <v>1831</v>
      </c>
      <c r="N34" s="2064" t="s">
        <v>1832</v>
      </c>
      <c r="O34" s="2064" t="s">
        <v>1833</v>
      </c>
      <c r="P34" s="2064" t="s">
        <v>1834</v>
      </c>
      <c r="Q34" s="2064" t="s">
        <v>1835</v>
      </c>
      <c r="R34" s="2064" t="s">
        <v>1836</v>
      </c>
      <c r="S34" s="3011" t="s">
        <v>1837</v>
      </c>
      <c r="T34" s="2124" t="str">
        <f>NUMBERSTRING(7-K34,1)&amp;"通"</f>
        <v>七通</v>
      </c>
      <c r="U34" s="2018"/>
      <c r="V34" s="2018"/>
    </row>
    <row r="35" spans="1:22" ht="18" customHeight="1">
      <c r="A35" s="2125"/>
      <c r="B35" s="3018" t="s">
        <v>1838</v>
      </c>
      <c r="C35" s="3018"/>
      <c r="D35" s="3018"/>
      <c r="E35" s="3018"/>
      <c r="F35" s="2126">
        <f>C10</f>
        <v>0</v>
      </c>
      <c r="G35" s="2031"/>
      <c r="H35" s="2031"/>
      <c r="I35" s="2031"/>
      <c r="J35" s="2031"/>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18"/>
      <c r="V35" s="2018"/>
    </row>
    <row r="36" spans="1:22" ht="18" customHeight="1">
      <c r="A36" s="2127"/>
      <c r="B36" s="2126" t="s">
        <v>1839</v>
      </c>
      <c r="C36" s="2126" t="s">
        <v>1840</v>
      </c>
      <c r="D36" s="2126" t="s">
        <v>1841</v>
      </c>
      <c r="E36" s="2126" t="s">
        <v>1842</v>
      </c>
      <c r="F36" s="2128"/>
      <c r="G36" s="2031"/>
      <c r="H36" s="2031"/>
      <c r="I36" s="2031"/>
      <c r="J36" s="2031"/>
      <c r="K36" s="2043"/>
      <c r="L36" s="2017"/>
      <c r="M36" s="2017"/>
      <c r="N36" s="2018"/>
      <c r="O36" s="2019"/>
      <c r="P36" s="2018"/>
      <c r="Q36" s="2018"/>
      <c r="R36" s="2018"/>
      <c r="S36" s="2018"/>
      <c r="T36" s="2018"/>
      <c r="U36" s="2018"/>
      <c r="V36" s="2018"/>
    </row>
    <row r="37" spans="1:22" ht="18" customHeight="1">
      <c r="A37" s="2129" t="s">
        <v>1843</v>
      </c>
      <c r="B37" s="2130"/>
      <c r="C37" s="2130"/>
      <c r="D37" s="2130"/>
      <c r="E37" s="2130" t="s">
        <v>528</v>
      </c>
      <c r="F37" s="2128"/>
      <c r="G37" s="2031"/>
      <c r="H37" s="2031"/>
      <c r="I37" s="2031"/>
      <c r="J37" s="2031"/>
      <c r="K37" s="2043"/>
      <c r="L37" s="2017"/>
      <c r="M37" s="2017"/>
      <c r="N37" s="2018"/>
      <c r="O37" s="2019"/>
      <c r="P37" s="2018"/>
      <c r="Q37" s="2018"/>
      <c r="R37" s="2018"/>
      <c r="S37" s="2018"/>
      <c r="T37" s="2018"/>
      <c r="U37" s="2018"/>
      <c r="V37" s="2018"/>
    </row>
    <row r="38" spans="1:22" ht="18" customHeight="1" thickBot="1">
      <c r="A38" s="2131" t="s">
        <v>1844</v>
      </c>
      <c r="B38" s="2132"/>
      <c r="C38" s="2132"/>
      <c r="D38" s="2132"/>
      <c r="E38" s="2132" t="s">
        <v>3086</v>
      </c>
      <c r="F38" s="2133"/>
      <c r="G38" s="2051"/>
      <c r="H38" s="2051"/>
      <c r="I38" s="2051"/>
      <c r="J38" s="2031"/>
      <c r="K38" s="2043"/>
      <c r="L38" s="2017"/>
      <c r="M38" s="2017"/>
      <c r="N38" s="2018"/>
      <c r="O38" s="2019"/>
      <c r="P38" s="2018"/>
      <c r="Q38" s="2018"/>
      <c r="R38" s="2018"/>
      <c r="S38" s="2018"/>
      <c r="T38" s="2018"/>
      <c r="U38" s="2018"/>
      <c r="V38" s="2018"/>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8"/>
      <c r="B40" s="2018"/>
      <c r="C40" s="2018"/>
      <c r="D40" s="2018"/>
      <c r="E40" s="2018"/>
      <c r="F40" s="2018"/>
      <c r="G40" s="2018"/>
      <c r="H40" s="2018"/>
      <c r="I40" s="2139"/>
      <c r="J40" s="2074"/>
      <c r="K40" s="665"/>
      <c r="L40" s="2073"/>
      <c r="M40" s="2073"/>
      <c r="N40" s="2074"/>
      <c r="O40" s="2073"/>
      <c r="P40" s="2018"/>
      <c r="Q40" s="2018"/>
      <c r="R40" s="2018"/>
      <c r="S40" s="2018"/>
      <c r="T40" s="2018"/>
      <c r="U40" s="2018"/>
      <c r="V40" s="2018"/>
    </row>
    <row r="41" spans="1:22" ht="18" customHeight="1">
      <c r="A41" s="8" t="s">
        <v>1846</v>
      </c>
      <c r="B41" s="2140"/>
      <c r="C41" s="2141"/>
      <c r="D41" s="2018"/>
      <c r="E41" s="2018"/>
      <c r="F41" s="2018"/>
      <c r="G41" s="2018"/>
      <c r="H41" s="2018"/>
      <c r="I41" s="2019"/>
      <c r="J41" s="2018"/>
      <c r="K41" s="2113"/>
      <c r="L41" s="2017"/>
      <c r="M41" s="2017"/>
      <c r="N41" s="2018"/>
      <c r="O41" s="2019"/>
      <c r="P41" s="2018"/>
      <c r="Q41" s="2018"/>
      <c r="R41" s="2018"/>
      <c r="S41" s="2018"/>
      <c r="T41" s="2018"/>
      <c r="U41" s="2018"/>
      <c r="V41" s="2018"/>
    </row>
    <row r="42" spans="1:22" ht="18" customHeight="1">
      <c r="A42" s="2064" t="s">
        <v>1847</v>
      </c>
      <c r="B42" s="1785" t="s">
        <v>1848</v>
      </c>
      <c r="C42" s="1785" t="s">
        <v>1849</v>
      </c>
      <c r="D42" s="1785" t="s">
        <v>1850</v>
      </c>
      <c r="E42" s="1785" t="s">
        <v>1851</v>
      </c>
      <c r="F42" s="1785" t="s">
        <v>1852</v>
      </c>
      <c r="G42" s="1785" t="s">
        <v>1853</v>
      </c>
      <c r="H42" s="1785" t="s">
        <v>1854</v>
      </c>
      <c r="I42" s="1785" t="s">
        <v>1855</v>
      </c>
      <c r="J42" s="2142" t="s">
        <v>1856</v>
      </c>
      <c r="K42" s="2065" t="s">
        <v>1857</v>
      </c>
      <c r="L42" s="2065" t="s">
        <v>1858</v>
      </c>
      <c r="M42" s="2065" t="s">
        <v>1859</v>
      </c>
      <c r="N42" s="1785" t="s">
        <v>1860</v>
      </c>
      <c r="O42" s="1785" t="s">
        <v>1861</v>
      </c>
      <c r="P42" s="1785" t="s">
        <v>1862</v>
      </c>
      <c r="Q42" s="2064" t="s">
        <v>1863</v>
      </c>
      <c r="R42" s="2064" t="s">
        <v>1864</v>
      </c>
      <c r="S42" s="2018"/>
      <c r="T42" s="2018"/>
      <c r="U42" s="2018"/>
      <c r="V42" s="2018"/>
    </row>
    <row r="43" spans="1:22" s="2147" customFormat="1" ht="18" customHeight="1">
      <c r="A43" s="2143"/>
      <c r="B43" s="1270"/>
      <c r="C43" s="1270"/>
      <c r="D43" s="1270"/>
      <c r="E43" s="1270"/>
      <c r="F43" s="1270"/>
      <c r="G43" s="1270"/>
      <c r="H43" s="9"/>
      <c r="I43" s="9"/>
      <c r="J43" s="2144"/>
      <c r="K43" s="2145"/>
      <c r="L43" s="2145"/>
      <c r="M43" s="9"/>
      <c r="N43" s="1270"/>
      <c r="O43" s="9"/>
      <c r="P43" s="1270"/>
      <c r="Q43" s="1270"/>
      <c r="R43" s="1270"/>
      <c r="S43" s="2146"/>
      <c r="T43" s="2146"/>
      <c r="U43" s="2146"/>
      <c r="V43" s="2146"/>
    </row>
    <row r="44" spans="1:22" s="2147" customFormat="1" ht="18" customHeight="1">
      <c r="A44" s="2143"/>
      <c r="B44" s="2143"/>
      <c r="C44" s="1270"/>
      <c r="D44" s="1270"/>
      <c r="E44" s="1270"/>
      <c r="F44" s="1270"/>
      <c r="G44" s="1270"/>
      <c r="H44" s="9"/>
      <c r="I44" s="9"/>
      <c r="J44" s="2144"/>
      <c r="K44" s="2145"/>
      <c r="L44" s="2145"/>
      <c r="M44" s="9"/>
      <c r="N44" s="1270"/>
      <c r="O44" s="9"/>
      <c r="P44" s="1270"/>
      <c r="Q44" s="1270"/>
      <c r="R44" s="1270"/>
      <c r="S44" s="2146"/>
      <c r="T44" s="2146"/>
      <c r="U44" s="2146"/>
      <c r="V44" s="2146"/>
    </row>
    <row r="45" spans="1:22" s="2147" customFormat="1" ht="18" customHeight="1">
      <c r="A45" s="2143"/>
      <c r="B45" s="2143"/>
      <c r="C45" s="1270"/>
      <c r="D45" s="1270"/>
      <c r="E45" s="1270"/>
      <c r="F45" s="1270"/>
      <c r="G45" s="1270"/>
      <c r="H45" s="9"/>
      <c r="I45" s="9"/>
      <c r="J45" s="2144"/>
      <c r="K45" s="2145"/>
      <c r="L45" s="2145"/>
      <c r="M45" s="9"/>
      <c r="N45" s="1270"/>
      <c r="O45" s="9"/>
      <c r="P45" s="1270"/>
      <c r="Q45" s="1270"/>
      <c r="R45" s="1270"/>
      <c r="S45" s="2146"/>
      <c r="T45" s="2146"/>
      <c r="U45" s="2146"/>
      <c r="V45" s="2146"/>
    </row>
    <row r="46" spans="1:22" s="2147" customFormat="1" ht="18" customHeight="1">
      <c r="A46" s="2143"/>
      <c r="B46" s="2143"/>
      <c r="C46" s="1270"/>
      <c r="D46" s="1270"/>
      <c r="E46" s="1270"/>
      <c r="F46" s="1270"/>
      <c r="G46" s="1270"/>
      <c r="H46" s="9"/>
      <c r="I46" s="9"/>
      <c r="J46" s="2144"/>
      <c r="K46" s="2145"/>
      <c r="L46" s="2145"/>
      <c r="M46" s="9"/>
      <c r="N46" s="1270"/>
      <c r="O46" s="9"/>
      <c r="P46" s="1270"/>
      <c r="Q46" s="1270"/>
      <c r="R46" s="1270"/>
      <c r="S46" s="2146"/>
      <c r="T46" s="2146"/>
      <c r="U46" s="2146"/>
      <c r="V46" s="2146"/>
    </row>
    <row r="47" spans="1:22" s="2147" customFormat="1" ht="18" customHeight="1">
      <c r="A47" s="2143"/>
      <c r="B47" s="2143"/>
      <c r="C47" s="1270"/>
      <c r="D47" s="1270"/>
      <c r="E47" s="1270"/>
      <c r="F47" s="1270"/>
      <c r="G47" s="1270"/>
      <c r="H47" s="9"/>
      <c r="I47" s="9"/>
      <c r="J47" s="2144"/>
      <c r="K47" s="2145"/>
      <c r="L47" s="2145"/>
      <c r="M47" s="9"/>
      <c r="N47" s="1270"/>
      <c r="O47" s="9"/>
      <c r="P47" s="1270"/>
      <c r="Q47" s="1270"/>
      <c r="R47" s="1270"/>
      <c r="S47" s="2146"/>
      <c r="T47" s="2146"/>
      <c r="U47" s="2146"/>
      <c r="V47" s="2146"/>
    </row>
    <row r="48" spans="1:22" s="2147" customFormat="1" ht="18" customHeight="1">
      <c r="A48" s="2143"/>
      <c r="B48" s="2143"/>
      <c r="C48" s="1270"/>
      <c r="D48" s="1270"/>
      <c r="E48" s="1270"/>
      <c r="F48" s="1270"/>
      <c r="G48" s="1270"/>
      <c r="H48" s="9"/>
      <c r="I48" s="9"/>
      <c r="J48" s="2144"/>
      <c r="K48" s="2145"/>
      <c r="L48" s="2145"/>
      <c r="M48" s="9"/>
      <c r="N48" s="1270"/>
      <c r="O48" s="9"/>
      <c r="P48" s="1270"/>
      <c r="Q48" s="1270"/>
      <c r="R48" s="1270"/>
      <c r="S48" s="2146"/>
      <c r="T48" s="2146"/>
      <c r="U48" s="2146"/>
      <c r="V48" s="2146"/>
    </row>
    <row r="49" spans="1:22" s="2147" customFormat="1" ht="18" customHeight="1">
      <c r="A49" s="2143"/>
      <c r="B49" s="2143"/>
      <c r="C49" s="1270"/>
      <c r="D49" s="1270"/>
      <c r="E49" s="1270"/>
      <c r="F49" s="1270"/>
      <c r="G49" s="1270"/>
      <c r="H49" s="9"/>
      <c r="I49" s="9"/>
      <c r="J49" s="2144"/>
      <c r="K49" s="2145"/>
      <c r="L49" s="2145"/>
      <c r="M49" s="9"/>
      <c r="N49" s="1270"/>
      <c r="O49" s="9"/>
      <c r="P49" s="1270"/>
      <c r="Q49" s="1270"/>
      <c r="R49" s="1270"/>
      <c r="S49" s="2146"/>
      <c r="T49" s="2146"/>
      <c r="U49" s="2146"/>
      <c r="V49" s="2146"/>
    </row>
    <row r="50" spans="1:22" s="2147" customFormat="1" ht="18" customHeight="1">
      <c r="A50" s="2143"/>
      <c r="B50" s="2143"/>
      <c r="C50" s="1270"/>
      <c r="D50" s="1270"/>
      <c r="E50" s="1270"/>
      <c r="F50" s="1270"/>
      <c r="G50" s="1270"/>
      <c r="H50" s="9"/>
      <c r="I50" s="9"/>
      <c r="J50" s="2144"/>
      <c r="K50" s="2145"/>
      <c r="L50" s="2145"/>
      <c r="M50" s="9"/>
      <c r="N50" s="1270"/>
      <c r="O50" s="9"/>
      <c r="P50" s="1270"/>
      <c r="Q50" s="1270"/>
      <c r="R50" s="1270"/>
      <c r="S50" s="2146"/>
      <c r="T50" s="2146"/>
      <c r="U50" s="2146"/>
      <c r="V50" s="2146"/>
    </row>
    <row r="51" spans="1:22" s="2147" customFormat="1" ht="18" customHeight="1">
      <c r="A51" s="2143"/>
      <c r="B51" s="2143"/>
      <c r="C51" s="1270"/>
      <c r="D51" s="1270"/>
      <c r="E51" s="1270"/>
      <c r="F51" s="1270"/>
      <c r="G51" s="1270"/>
      <c r="H51" s="9"/>
      <c r="I51" s="9"/>
      <c r="J51" s="2144"/>
      <c r="K51" s="2145"/>
      <c r="L51" s="2145"/>
      <c r="M51" s="9"/>
      <c r="N51" s="1270"/>
      <c r="O51" s="9"/>
      <c r="P51" s="1270"/>
      <c r="Q51" s="1270"/>
      <c r="R51" s="1270"/>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3"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7" t="s">
        <v>1870</v>
      </c>
      <c r="AZ2" s="1268"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120628.8</v>
      </c>
      <c r="B3" s="14">
        <f>IF(C3="否",G5-AT5,G5)</f>
        <v>66988.94</v>
      </c>
      <c r="C3" s="2158" t="s">
        <v>1873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9"/>
      <c r="AZ3" s="1270"/>
      <c r="BA3" s="1271"/>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1874</v>
      </c>
      <c r="B5" s="1793"/>
      <c r="C5" s="1793"/>
      <c r="D5" s="1796"/>
      <c r="E5" s="16" t="s">
        <v>1</v>
      </c>
      <c r="F5" s="16">
        <f>SUM(F13:F587)</f>
        <v>0</v>
      </c>
      <c r="G5" s="16">
        <f>SUM(G13:G587)</f>
        <v>66988.94</v>
      </c>
      <c r="H5" s="16">
        <f t="shared" ref="H5:AT5" si="0">SUM(H13:H656)</f>
        <v>66988.94</v>
      </c>
      <c r="I5" s="16">
        <f t="shared" si="0"/>
        <v>30049.22</v>
      </c>
      <c r="J5" s="16">
        <f t="shared" si="0"/>
        <v>0</v>
      </c>
      <c r="K5" s="16">
        <f t="shared" si="0"/>
        <v>35578.35</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1874</v>
      </c>
      <c r="AW5" s="1793"/>
      <c r="AX5" s="1793"/>
      <c r="AY5" s="17" t="s">
        <v>3</v>
      </c>
      <c r="AZ5" s="18">
        <f t="shared" ref="AZ5:BT5" si="1">SUM(AZ13:AZ656)</f>
        <v>66988.94</v>
      </c>
      <c r="BA5" s="18">
        <f t="shared" si="1"/>
        <v>66988.94</v>
      </c>
      <c r="BB5" s="18">
        <f t="shared" si="1"/>
        <v>30049.22</v>
      </c>
      <c r="BC5" s="18">
        <f t="shared" si="1"/>
        <v>35578.35</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1875</v>
      </c>
      <c r="B6" s="2164"/>
      <c r="C6" s="2164"/>
      <c r="D6" s="2165"/>
      <c r="E6" s="16">
        <f>H6+AC6+AT6</f>
        <v>120628.8</v>
      </c>
      <c r="F6" s="16" t="s">
        <v>1</v>
      </c>
      <c r="G6" s="16" t="s">
        <v>2</v>
      </c>
      <c r="H6" s="20">
        <f>SUMIF(I$12:AB$12,"总值",I6:AB6)</f>
        <v>120628.8</v>
      </c>
      <c r="I6" s="16">
        <f t="shared" ref="I6:AB6" si="2">ROUND($A$3*I5/$B$3,2)</f>
        <v>54110.44</v>
      </c>
      <c r="J6" s="16">
        <f t="shared" si="2"/>
        <v>0</v>
      </c>
      <c r="K6" s="16">
        <f t="shared" si="2"/>
        <v>64066.9</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1875</v>
      </c>
      <c r="AW6" s="2164"/>
      <c r="AX6" s="2164"/>
      <c r="AY6" s="21">
        <f>IF(AY3&gt;0,AY3,ROUND($A$3*AZ5/$B$3,2))</f>
        <v>120628.8</v>
      </c>
      <c r="AZ6" s="16" t="s">
        <v>3</v>
      </c>
      <c r="BA6" s="16">
        <f>ROUND($AY$6*BA5/$AZ$5,2)</f>
        <v>120628.8</v>
      </c>
      <c r="BB6" s="16">
        <f>ROUND($AY$6*BB5/$AZ$5,2)</f>
        <v>54110.44</v>
      </c>
      <c r="BC6" s="16">
        <f t="shared" ref="BC6:BH6" si="4">ROUND($AY$6*BC5/$AZ$5,2)</f>
        <v>64066.9</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1876</v>
      </c>
      <c r="B7" s="2099" t="s">
        <v>1877</v>
      </c>
      <c r="C7" s="2099" t="s">
        <v>1878</v>
      </c>
      <c r="D7" s="2099" t="s">
        <v>1879</v>
      </c>
      <c r="E7" s="2099" t="s">
        <v>1880</v>
      </c>
      <c r="F7" s="2099" t="s">
        <v>1881</v>
      </c>
      <c r="G7" s="2168" t="s">
        <v>1882</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6"/>
      <c r="AU7" s="2169" t="s">
        <v>1883</v>
      </c>
      <c r="AV7" s="23" t="s">
        <v>1884</v>
      </c>
      <c r="AW7" s="2156" t="s">
        <v>1885</v>
      </c>
      <c r="AX7" s="23" t="s">
        <v>1878</v>
      </c>
      <c r="AY7" s="1793" t="s">
        <v>1886</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1887</v>
      </c>
      <c r="H8" s="2174" t="s">
        <v>1888</v>
      </c>
      <c r="I8" s="2175"/>
      <c r="J8" s="1808"/>
      <c r="K8" s="1808"/>
      <c r="L8" s="1808"/>
      <c r="M8" s="1808"/>
      <c r="N8" s="1808"/>
      <c r="O8" s="1808"/>
      <c r="P8" s="1808"/>
      <c r="Q8" s="1808"/>
      <c r="R8" s="1808"/>
      <c r="S8" s="1808"/>
      <c r="T8" s="1808"/>
      <c r="U8" s="1808"/>
      <c r="V8" s="2176"/>
      <c r="W8" s="1808"/>
      <c r="X8" s="1808"/>
      <c r="Y8" s="1808"/>
      <c r="Z8" s="1808"/>
      <c r="AA8" s="2176"/>
      <c r="AB8" s="2177"/>
      <c r="AC8" s="979" t="s">
        <v>1889</v>
      </c>
      <c r="AD8" s="2178"/>
      <c r="AE8" s="2170"/>
      <c r="AF8" s="1808"/>
      <c r="AG8" s="1808"/>
      <c r="AH8" s="1808"/>
      <c r="AI8" s="1808"/>
      <c r="AJ8" s="1808"/>
      <c r="AK8" s="1808"/>
      <c r="AL8" s="1808"/>
      <c r="AM8" s="1808"/>
      <c r="AN8" s="1808"/>
      <c r="AO8" s="1808"/>
      <c r="AP8" s="1808"/>
      <c r="AQ8" s="1808"/>
      <c r="AR8" s="1808"/>
      <c r="AS8" s="1808"/>
      <c r="AT8" s="1290" t="s">
        <v>1890</v>
      </c>
      <c r="AU8" s="2172" t="s">
        <v>1891</v>
      </c>
      <c r="AV8" s="1290"/>
      <c r="AW8" s="2155"/>
      <c r="AX8" s="1290"/>
      <c r="AY8" s="2156" t="s">
        <v>1892</v>
      </c>
      <c r="AZ8" s="1807" t="s">
        <v>1893</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9" customFormat="1" ht="12.75">
      <c r="A9" s="2172"/>
      <c r="B9" s="2172"/>
      <c r="C9" s="2172"/>
      <c r="D9" s="2172"/>
      <c r="E9" s="2172"/>
      <c r="F9" s="2172"/>
      <c r="G9" s="1290"/>
      <c r="H9" s="2180" t="s">
        <v>1894</v>
      </c>
      <c r="I9" s="2181" t="s">
        <v>3064</v>
      </c>
      <c r="J9" s="979"/>
      <c r="K9" s="2181" t="s">
        <v>3064</v>
      </c>
      <c r="L9" s="979"/>
      <c r="M9" s="2181" t="s">
        <v>3142</v>
      </c>
      <c r="N9" s="979"/>
      <c r="O9" s="2181"/>
      <c r="P9" s="979"/>
      <c r="Q9" s="2181"/>
      <c r="R9" s="979"/>
      <c r="S9" s="2181"/>
      <c r="T9" s="979"/>
      <c r="U9" s="2181"/>
      <c r="V9" s="979"/>
      <c r="W9" s="2181"/>
      <c r="X9" s="2182"/>
      <c r="Y9" s="2181"/>
      <c r="Z9" s="979"/>
      <c r="AA9" s="2181"/>
      <c r="AB9" s="979"/>
      <c r="AC9" s="2173"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3"/>
      <c r="AT9" s="2172"/>
      <c r="AU9" s="2172" t="s">
        <v>1897</v>
      </c>
      <c r="AV9" s="1290"/>
      <c r="AW9" s="2155"/>
      <c r="AX9" s="1290"/>
      <c r="AY9" s="28"/>
      <c r="AZ9" s="28" t="s">
        <v>1887</v>
      </c>
      <c r="BA9" s="2184" t="s">
        <v>1898</v>
      </c>
      <c r="BB9" s="2185"/>
      <c r="BC9" s="1336"/>
      <c r="BD9" s="1336"/>
      <c r="BE9" s="1336"/>
      <c r="BF9" s="1336"/>
      <c r="BG9" s="1336"/>
      <c r="BH9" s="1336"/>
      <c r="BI9" s="1336"/>
      <c r="BJ9" s="1336"/>
      <c r="BK9" s="2186"/>
      <c r="BL9" s="15" t="s">
        <v>1899</v>
      </c>
      <c r="BM9" s="1808"/>
      <c r="BN9" s="2175"/>
      <c r="BO9" s="1808"/>
      <c r="BP9" s="1808"/>
      <c r="BQ9" s="1808"/>
      <c r="BR9" s="1808"/>
      <c r="BS9" s="1808"/>
      <c r="BT9" s="26"/>
    </row>
    <row r="10" spans="1:72" s="2179" customFormat="1" ht="12.75">
      <c r="A10" s="2172"/>
      <c r="B10" s="2172"/>
      <c r="C10" s="2172"/>
      <c r="D10" s="2172"/>
      <c r="E10" s="2172"/>
      <c r="F10" s="2172"/>
      <c r="G10" s="1290"/>
      <c r="H10" s="28"/>
      <c r="I10" s="2181" t="s">
        <v>6</v>
      </c>
      <c r="J10" s="979"/>
      <c r="K10" s="2187" t="s">
        <v>6</v>
      </c>
      <c r="L10" s="979"/>
      <c r="M10" s="2187" t="s">
        <v>6</v>
      </c>
      <c r="N10" s="979"/>
      <c r="O10" s="2187"/>
      <c r="P10" s="979"/>
      <c r="Q10" s="2187"/>
      <c r="R10" s="979"/>
      <c r="S10" s="2187"/>
      <c r="T10" s="979"/>
      <c r="U10" s="2187"/>
      <c r="V10" s="979"/>
      <c r="W10" s="2187"/>
      <c r="X10" s="979"/>
      <c r="Y10" s="2187"/>
      <c r="Z10" s="979"/>
      <c r="AA10" s="2187"/>
      <c r="AB10" s="979"/>
      <c r="AC10" s="1290"/>
      <c r="AD10" s="15" t="s">
        <v>1900</v>
      </c>
      <c r="AE10" s="2188"/>
      <c r="AF10" s="15" t="s">
        <v>1900</v>
      </c>
      <c r="AG10" s="2188"/>
      <c r="AH10" s="15" t="s">
        <v>1901</v>
      </c>
      <c r="AI10" s="2188"/>
      <c r="AJ10" s="15" t="s">
        <v>1901</v>
      </c>
      <c r="AK10" s="2188"/>
      <c r="AL10" s="15" t="s">
        <v>1902</v>
      </c>
      <c r="AM10" s="1296"/>
      <c r="AN10" s="15" t="s">
        <v>1902</v>
      </c>
      <c r="AO10" s="1296"/>
      <c r="AP10" s="15" t="s">
        <v>1903</v>
      </c>
      <c r="AQ10" s="1296"/>
      <c r="AR10" s="15" t="s">
        <v>1903</v>
      </c>
      <c r="AS10" s="1296"/>
      <c r="AT10" s="2172"/>
      <c r="AU10" s="2172"/>
      <c r="AV10" s="1290"/>
      <c r="AW10" s="2155"/>
      <c r="AX10" s="1290"/>
      <c r="AY10" s="28"/>
      <c r="AZ10" s="28"/>
      <c r="BA10" s="2189" t="s">
        <v>1894</v>
      </c>
      <c r="BB10" s="2190"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7" t="str">
        <f>AD9</f>
        <v>地上</v>
      </c>
      <c r="BN10" s="29" t="str">
        <f>AF9</f>
        <v>地下</v>
      </c>
      <c r="BO10" s="1807" t="str">
        <f>AH9</f>
        <v>地上</v>
      </c>
      <c r="BP10" s="29" t="str">
        <f>AJ9</f>
        <v>地下</v>
      </c>
      <c r="BQ10" s="1807" t="str">
        <f>AL9</f>
        <v>地上</v>
      </c>
      <c r="BR10" s="29" t="str">
        <f>AN9</f>
        <v>地下</v>
      </c>
      <c r="BS10" s="1807" t="str">
        <f>AP9</f>
        <v>地上</v>
      </c>
      <c r="BT10" s="2191" t="str">
        <f>AR9</f>
        <v>地下</v>
      </c>
    </row>
    <row r="11" spans="1:72" s="2179" customFormat="1" ht="12.75">
      <c r="A11" s="2172"/>
      <c r="B11" s="2172"/>
      <c r="C11" s="2172"/>
      <c r="D11" s="2172"/>
      <c r="E11" s="2172"/>
      <c r="F11" s="2172"/>
      <c r="G11" s="1290"/>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0"/>
      <c r="AD11" s="2194" t="s">
        <v>1904</v>
      </c>
      <c r="AE11" s="1809"/>
      <c r="AF11" s="2194" t="s">
        <v>1904</v>
      </c>
      <c r="AG11" s="1809"/>
      <c r="AH11" s="2194" t="s">
        <v>1905</v>
      </c>
      <c r="AI11" s="2195"/>
      <c r="AJ11" s="2194" t="s">
        <v>1905</v>
      </c>
      <c r="AK11" s="1809"/>
      <c r="AL11" s="1807"/>
      <c r="AM11" s="1809"/>
      <c r="AN11" s="1807"/>
      <c r="AO11" s="1809"/>
      <c r="AP11" s="1807"/>
      <c r="AQ11" s="1809"/>
      <c r="AR11" s="1807"/>
      <c r="AS11" s="1809"/>
      <c r="AT11" s="2155"/>
      <c r="AU11" s="2172"/>
      <c r="AV11" s="1290"/>
      <c r="AW11" s="2155"/>
      <c r="AX11" s="1290"/>
      <c r="AY11" s="28"/>
      <c r="AZ11" s="28"/>
      <c r="BA11" s="28"/>
      <c r="BB11" s="2177" t="str">
        <f>I10</f>
        <v>工业</v>
      </c>
      <c r="BC11" s="2177" t="str">
        <f>K10</f>
        <v>工业</v>
      </c>
      <c r="BD11" s="2177" t="str">
        <f>M10</f>
        <v>工业</v>
      </c>
      <c r="BE11" s="2177">
        <f>O10</f>
        <v>0</v>
      </c>
      <c r="BF11" s="2177">
        <f>Q10</f>
        <v>0</v>
      </c>
      <c r="BG11" s="2177">
        <f>S10</f>
        <v>0</v>
      </c>
      <c r="BH11" s="2177">
        <f>U10</f>
        <v>0</v>
      </c>
      <c r="BI11" s="2177">
        <f>W10</f>
        <v>0</v>
      </c>
      <c r="BJ11" s="2177">
        <f>Y10</f>
        <v>0</v>
      </c>
      <c r="BK11" s="2177">
        <f>AA10</f>
        <v>0</v>
      </c>
      <c r="BL11" s="1290"/>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2" t="s">
        <v>1907</v>
      </c>
      <c r="W12" s="11" t="s">
        <v>1906</v>
      </c>
      <c r="X12" s="11" t="s">
        <v>1907</v>
      </c>
      <c r="Y12" s="11" t="s">
        <v>1906</v>
      </c>
      <c r="Z12" s="11" t="s">
        <v>1907</v>
      </c>
      <c r="AA12" s="11" t="s">
        <v>1906</v>
      </c>
      <c r="AB12" s="11" t="s">
        <v>1907</v>
      </c>
      <c r="AC12" s="2199"/>
      <c r="AD12" s="179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7" t="s">
        <v>1907</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0"/>
      <c r="BM12" s="1807" t="str">
        <f>AD11</f>
        <v>（住宅）</v>
      </c>
      <c r="BN12" s="1807" t="str">
        <f>AF11</f>
        <v>（住宅）</v>
      </c>
      <c r="BO12" s="24" t="str">
        <f>AH11</f>
        <v>（住宅、计出让金）</v>
      </c>
      <c r="BP12" s="24" t="str">
        <f>AJ11</f>
        <v>（住宅、计出让金）</v>
      </c>
      <c r="BQ12" s="24">
        <f>AL11</f>
        <v>0</v>
      </c>
      <c r="BR12" s="24">
        <f>AN11</f>
        <v>0</v>
      </c>
      <c r="BS12" s="25">
        <f>AP11</f>
        <v>0</v>
      </c>
      <c r="BT12" s="2196">
        <f>AR11</f>
        <v>0</v>
      </c>
    </row>
    <row r="13" spans="1:72" s="2157" customFormat="1" ht="12.75">
      <c r="A13" s="1270"/>
      <c r="B13" s="1270"/>
      <c r="C13" s="1270"/>
      <c r="D13" s="2203" t="s">
        <v>3065</v>
      </c>
      <c r="E13" s="16">
        <f>IF($C$3="是",ROUND($A$3*G13/$B$3,2),ROUND($A$3*(G13-AT13)/$B$3,2))</f>
        <v>120628.8</v>
      </c>
      <c r="F13" s="32"/>
      <c r="G13" s="33">
        <f>H13+AC13+AT13</f>
        <v>66988.94</v>
      </c>
      <c r="H13" s="20">
        <f>SUMIF(I$12:AB$12,"总值",I13:AB13)</f>
        <v>66988.94</v>
      </c>
      <c r="I13" s="2204">
        <f>面积表!G3</f>
        <v>30049.22</v>
      </c>
      <c r="J13" s="2204"/>
      <c r="K13" s="2204">
        <f>面积表!G15-面积表!G3-M13</f>
        <v>35578.35</v>
      </c>
      <c r="L13" s="2204"/>
      <c r="M13" s="2204">
        <f>面积表!H7</f>
        <v>1361.37</v>
      </c>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6">
        <f>ROUND($AY$6*AZ13/$AZ$5,2)</f>
        <v>120628.8</v>
      </c>
      <c r="AZ13" s="16">
        <f>BA13+BL13</f>
        <v>66988.94</v>
      </c>
      <c r="BA13" s="16">
        <f>SUM(BB13:BK13)</f>
        <v>66988.94</v>
      </c>
      <c r="BB13" s="16">
        <f>IF($D13="是",I13-J13,0)</f>
        <v>30049.22</v>
      </c>
      <c r="BC13" s="16">
        <f>IF($D13="是",K13-L13,0)</f>
        <v>35578.35</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0"/>
      <c r="B14" s="1270"/>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0"/>
      <c r="B15" s="1270"/>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0"/>
      <c r="B16" s="1270"/>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0"/>
      <c r="B17" s="1270"/>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I26" sqref="I26"/>
    </sheetView>
  </sheetViews>
  <sheetFormatPr defaultRowHeight="15.75"/>
  <cols>
    <col min="1" max="6" width="9" style="3299"/>
    <col min="7" max="7" width="10.875" style="3299" customWidth="1"/>
    <col min="8" max="16384" width="9" style="3299"/>
  </cols>
  <sheetData>
    <row r="2" spans="4:11">
      <c r="D2" s="3300" t="s">
        <v>3071</v>
      </c>
      <c r="E2" s="3300" t="s">
        <v>3072</v>
      </c>
      <c r="F2" s="3300" t="s">
        <v>3073</v>
      </c>
      <c r="G2" s="3300" t="s">
        <v>3074</v>
      </c>
      <c r="H2" s="3299">
        <v>-1</v>
      </c>
      <c r="I2" s="3299" t="s">
        <v>3143</v>
      </c>
      <c r="J2" s="3299" t="s">
        <v>3144</v>
      </c>
      <c r="K2" s="3299" t="s">
        <v>3145</v>
      </c>
    </row>
    <row r="3" spans="4:11">
      <c r="D3" s="3299">
        <v>4</v>
      </c>
      <c r="E3" s="3299">
        <v>3</v>
      </c>
      <c r="F3" s="3299" t="s">
        <v>3077</v>
      </c>
      <c r="G3" s="3299">
        <v>30049.22</v>
      </c>
      <c r="I3" s="3299">
        <f>J3</f>
        <v>10016.4</v>
      </c>
      <c r="J3" s="3299">
        <v>10016.4</v>
      </c>
      <c r="K3" s="3299">
        <f>ROUND(G3/3,2)</f>
        <v>10016.41</v>
      </c>
    </row>
    <row r="4" spans="4:11">
      <c r="D4" s="3299">
        <v>5</v>
      </c>
      <c r="E4" s="3299">
        <v>1</v>
      </c>
      <c r="F4" s="3299" t="s">
        <v>3078</v>
      </c>
      <c r="G4" s="3299">
        <v>199.29</v>
      </c>
      <c r="I4" s="3299">
        <f>G4</f>
        <v>199.29</v>
      </c>
    </row>
    <row r="5" spans="4:11">
      <c r="D5" s="3299">
        <v>6</v>
      </c>
      <c r="E5" s="3299">
        <v>1</v>
      </c>
      <c r="F5" s="3299" t="s">
        <v>3078</v>
      </c>
      <c r="G5" s="3299">
        <v>64.44</v>
      </c>
      <c r="I5" s="3299">
        <f>G5</f>
        <v>64.44</v>
      </c>
    </row>
    <row r="6" spans="4:11">
      <c r="D6" s="3299">
        <v>7</v>
      </c>
      <c r="E6" s="3299">
        <v>1</v>
      </c>
      <c r="F6" s="3299" t="s">
        <v>3078</v>
      </c>
      <c r="G6" s="3299">
        <v>250.39</v>
      </c>
      <c r="I6" s="3299">
        <f>G6</f>
        <v>250.39</v>
      </c>
    </row>
    <row r="7" spans="4:11">
      <c r="D7" s="3299">
        <v>1</v>
      </c>
      <c r="E7" s="3299" t="s">
        <v>3079</v>
      </c>
      <c r="F7" s="3299" t="s">
        <v>3075</v>
      </c>
      <c r="G7" s="3299">
        <v>4084.11</v>
      </c>
      <c r="H7" s="3299">
        <f>ROUND(G7/3,2)</f>
        <v>1361.37</v>
      </c>
      <c r="I7" s="3299">
        <f>H7</f>
        <v>1361.37</v>
      </c>
      <c r="J7" s="3299">
        <f>H7</f>
        <v>1361.37</v>
      </c>
    </row>
    <row r="8" spans="4:11">
      <c r="D8" s="3299">
        <v>2</v>
      </c>
      <c r="E8" s="3299">
        <v>1</v>
      </c>
      <c r="F8" s="3299" t="s">
        <v>3075</v>
      </c>
      <c r="G8" s="3299">
        <v>12.2</v>
      </c>
      <c r="I8" s="3299">
        <f>G8</f>
        <v>12.2</v>
      </c>
    </row>
    <row r="9" spans="4:11">
      <c r="D9" s="3299">
        <v>3</v>
      </c>
      <c r="E9" s="3299">
        <v>1</v>
      </c>
      <c r="F9" s="3299" t="s">
        <v>3075</v>
      </c>
      <c r="G9" s="3299">
        <v>279.3</v>
      </c>
      <c r="I9" s="3299">
        <f>G9</f>
        <v>279.3</v>
      </c>
    </row>
    <row r="10" spans="4:11">
      <c r="D10" s="3299">
        <v>8</v>
      </c>
      <c r="E10" s="3299">
        <v>2</v>
      </c>
      <c r="F10" s="3299" t="s">
        <v>3075</v>
      </c>
      <c r="G10" s="3299">
        <v>4941.49</v>
      </c>
      <c r="I10" s="3299">
        <v>2470.7399999999998</v>
      </c>
      <c r="J10" s="3299">
        <f>ROUND(G10/2,2)</f>
        <v>2470.75</v>
      </c>
    </row>
    <row r="11" spans="4:11">
      <c r="D11" s="3299">
        <v>9</v>
      </c>
      <c r="E11" s="3299">
        <v>1</v>
      </c>
      <c r="F11" s="3299" t="s">
        <v>3075</v>
      </c>
      <c r="G11" s="3299">
        <v>510.64</v>
      </c>
      <c r="I11" s="3299">
        <f>G11</f>
        <v>510.64</v>
      </c>
    </row>
    <row r="12" spans="4:11">
      <c r="D12" s="3299">
        <v>10</v>
      </c>
      <c r="E12" s="3299">
        <v>1</v>
      </c>
      <c r="F12" s="3299" t="s">
        <v>3075</v>
      </c>
      <c r="G12" s="3299">
        <v>466.18</v>
      </c>
      <c r="I12" s="3299">
        <f>G12</f>
        <v>466.18</v>
      </c>
    </row>
    <row r="13" spans="4:11">
      <c r="D13" s="3299">
        <v>11</v>
      </c>
      <c r="E13" s="3299">
        <v>1</v>
      </c>
      <c r="F13" s="3299" t="s">
        <v>3075</v>
      </c>
      <c r="G13" s="3299">
        <v>126.07</v>
      </c>
      <c r="I13" s="3299">
        <f>G13</f>
        <v>126.07</v>
      </c>
    </row>
    <row r="14" spans="4:11">
      <c r="D14" s="3299">
        <v>12</v>
      </c>
      <c r="E14" s="3299">
        <v>1</v>
      </c>
      <c r="F14" s="3299" t="s">
        <v>3075</v>
      </c>
      <c r="G14" s="3299">
        <v>26005.61</v>
      </c>
      <c r="I14" s="3299">
        <f>G14</f>
        <v>26005.61</v>
      </c>
    </row>
    <row r="15" spans="4:11">
      <c r="G15" s="3299">
        <f>SUM(G3:G14)</f>
        <v>66988.94</v>
      </c>
      <c r="H15" s="3299">
        <f>H7</f>
        <v>1361.37</v>
      </c>
      <c r="I15" s="3299">
        <f>SUM(I3:I14)</f>
        <v>41762.629999999997</v>
      </c>
      <c r="J15" s="3299">
        <f>J3+J7+J10</f>
        <v>13848.52</v>
      </c>
      <c r="K15" s="3299">
        <f>K3</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1933</v>
      </c>
      <c r="B1" s="1390"/>
      <c r="C1" s="1390"/>
      <c r="D1" s="1390"/>
      <c r="E1" s="1390"/>
      <c r="F1" s="1390"/>
      <c r="G1" s="1390"/>
      <c r="H1" s="1390"/>
      <c r="I1" s="1390"/>
      <c r="J1" s="1390"/>
      <c r="K1" s="1390"/>
      <c r="L1" s="1390"/>
      <c r="M1" s="1390"/>
      <c r="N1" s="1390"/>
      <c r="O1" s="1390"/>
      <c r="P1" s="1390"/>
    </row>
    <row r="2" spans="1:16" ht="15">
      <c r="A2" s="3052" t="s">
        <v>1934</v>
      </c>
      <c r="B2" s="3052"/>
      <c r="C2" s="3052"/>
      <c r="D2" s="965" t="s">
        <v>1910</v>
      </c>
      <c r="E2" s="2217" t="s">
        <v>1911</v>
      </c>
      <c r="F2" s="1390"/>
      <c r="G2" s="2218"/>
      <c r="H2" s="2219"/>
      <c r="I2" s="2220" t="s">
        <v>1935</v>
      </c>
      <c r="J2" s="1390"/>
      <c r="K2" s="1390"/>
      <c r="L2" s="1390"/>
      <c r="M2" s="1390"/>
      <c r="N2" s="1425"/>
      <c r="O2" s="1390"/>
      <c r="P2" s="1390"/>
    </row>
    <row r="3" spans="1:16" ht="15.75" thickBot="1">
      <c r="A3" s="3053" t="s">
        <v>1908</v>
      </c>
      <c r="B3" s="3053"/>
      <c r="C3" s="3053"/>
      <c r="D3" s="46">
        <f>'数据-基础表'!AY6</f>
        <v>120628.8</v>
      </c>
      <c r="E3" s="46">
        <f>'数据-基础表'!AZ5</f>
        <v>66988.94</v>
      </c>
      <c r="F3" s="1390"/>
      <c r="G3" s="1397"/>
      <c r="H3" s="1245" t="s">
        <v>1909</v>
      </c>
      <c r="I3" s="55">
        <f>ROUND('数据-基础表'!B3/'数据-基础表'!A3,2)</f>
        <v>0.56000000000000005</v>
      </c>
      <c r="J3" s="1390"/>
      <c r="K3" s="1390"/>
      <c r="L3" s="1390"/>
      <c r="M3" s="1390"/>
      <c r="N3" s="1425"/>
      <c r="O3" s="1390"/>
      <c r="P3" s="1390"/>
    </row>
    <row r="4" spans="1:16" ht="15">
      <c r="A4" s="3054"/>
      <c r="B4" s="3055"/>
      <c r="C4" s="3056"/>
      <c r="D4" s="2221" t="s">
        <v>1910</v>
      </c>
      <c r="E4" s="2222" t="s">
        <v>1911</v>
      </c>
      <c r="F4" s="1390"/>
      <c r="G4" s="2223" t="s">
        <v>1936</v>
      </c>
      <c r="H4" s="1245" t="s">
        <v>1916</v>
      </c>
      <c r="I4" s="55">
        <f>ROUND(SUMIF('数据-基础表'!I9:AS9,"地上",'数据-基础表'!I5:AS5)/'数据-基础表'!A3,2)</f>
        <v>0.54</v>
      </c>
      <c r="J4" s="1390"/>
      <c r="K4" s="1390"/>
      <c r="L4" s="1390"/>
      <c r="M4" s="1390"/>
      <c r="N4" s="1425"/>
      <c r="O4" s="1390"/>
      <c r="P4" s="1390"/>
    </row>
    <row r="5" spans="1:16">
      <c r="A5" s="47" t="s">
        <v>1912</v>
      </c>
      <c r="B5" s="3057" t="s">
        <v>1913</v>
      </c>
      <c r="C5" s="3057"/>
      <c r="D5" s="48">
        <f>ROUND($D$3*E5/$E$3,2)</f>
        <v>0</v>
      </c>
      <c r="E5" s="49">
        <f>SUMIF('数据-基础表'!$11:$11,"住宅",'数据-基础表'!$5:$5)</f>
        <v>0</v>
      </c>
      <c r="F5" s="1390"/>
      <c r="G5" s="1397"/>
      <c r="H5" s="1245" t="s">
        <v>1909</v>
      </c>
      <c r="I5" s="55">
        <f>ROUND(E31/D31,2)</f>
        <v>0.56000000000000005</v>
      </c>
      <c r="J5" s="1390"/>
      <c r="K5" s="1390"/>
      <c r="L5" s="1390"/>
      <c r="M5" s="1390"/>
      <c r="N5" s="1390"/>
      <c r="O5" s="1390"/>
      <c r="P5" s="1390"/>
    </row>
    <row r="6" spans="1:16" ht="15" thickBot="1">
      <c r="A6" s="2224"/>
      <c r="B6" s="3057" t="s">
        <v>1914</v>
      </c>
      <c r="C6" s="3057"/>
      <c r="D6" s="48">
        <f>ROUND($D$3*E6/$E$3,2)</f>
        <v>120628.8</v>
      </c>
      <c r="E6" s="49">
        <f>E3-E5</f>
        <v>66988.94</v>
      </c>
      <c r="F6" s="1390"/>
      <c r="G6" s="2225" t="s">
        <v>1915</v>
      </c>
      <c r="H6" s="1397" t="s">
        <v>1916</v>
      </c>
      <c r="I6" s="937">
        <f>ROUND(F31/D31,2)</f>
        <v>0.54</v>
      </c>
      <c r="J6" s="1390"/>
      <c r="K6" s="1390"/>
      <c r="L6" s="1390"/>
      <c r="M6" s="1390"/>
      <c r="N6" s="1390"/>
      <c r="O6" s="1390"/>
      <c r="P6" s="1390"/>
    </row>
    <row r="7" spans="1:16" ht="15">
      <c r="A7" s="3049"/>
      <c r="B7" s="3050"/>
      <c r="C7" s="3051"/>
      <c r="D7" s="2221" t="s">
        <v>1910</v>
      </c>
      <c r="E7" s="2226" t="s">
        <v>1917</v>
      </c>
      <c r="F7" s="1390"/>
      <c r="G7" s="2218" t="s">
        <v>1918</v>
      </c>
      <c r="H7" s="64"/>
      <c r="I7" s="419"/>
      <c r="J7" s="1390"/>
      <c r="K7" s="1390"/>
      <c r="L7" s="1390"/>
      <c r="M7" s="1390"/>
      <c r="N7" s="1390"/>
      <c r="O7" s="1390"/>
      <c r="P7" s="1390"/>
    </row>
    <row r="8" spans="1:16">
      <c r="A8" s="47" t="s">
        <v>1919</v>
      </c>
      <c r="B8" s="50" t="s">
        <v>1920</v>
      </c>
      <c r="C8" s="48" t="s">
        <v>1921</v>
      </c>
      <c r="D8" s="48">
        <f t="shared" ref="D8:D15" si="0">ROUND($D$3*E8/$E$3,2)</f>
        <v>118177.34</v>
      </c>
      <c r="E8" s="51">
        <f>SUMIF('数据-基础表'!BB10:BK10,"地上",'数据-基础表'!BB5:BK5)</f>
        <v>65627.570000000007</v>
      </c>
      <c r="F8" s="1390"/>
      <c r="G8" s="2227"/>
      <c r="H8" s="2227"/>
      <c r="I8" s="1390"/>
      <c r="J8" s="1390"/>
      <c r="K8" s="1390"/>
      <c r="L8" s="1390"/>
      <c r="M8" s="1390"/>
      <c r="N8" s="1390"/>
      <c r="O8" s="1390"/>
      <c r="P8" s="1390"/>
    </row>
    <row r="9" spans="1:16">
      <c r="A9" s="2228"/>
      <c r="B9" s="2229"/>
      <c r="C9" s="48" t="s">
        <v>1922</v>
      </c>
      <c r="D9" s="48">
        <f t="shared" si="0"/>
        <v>0</v>
      </c>
      <c r="E9" s="52">
        <v>0</v>
      </c>
      <c r="F9" s="1390"/>
      <c r="G9" s="2227"/>
      <c r="H9" s="2227"/>
      <c r="I9" s="1390"/>
      <c r="J9" s="1390"/>
      <c r="K9" s="1390"/>
      <c r="L9" s="1390"/>
      <c r="M9" s="1390"/>
      <c r="N9" s="1390"/>
      <c r="O9" s="1390"/>
      <c r="P9" s="1390"/>
    </row>
    <row r="10" spans="1:16">
      <c r="A10" s="2228"/>
      <c r="B10" s="2229"/>
      <c r="C10" s="48" t="s">
        <v>1931</v>
      </c>
      <c r="D10" s="48">
        <f t="shared" si="0"/>
        <v>0</v>
      </c>
      <c r="E10" s="51">
        <f>SUMPRODUCT(('数据-基础表'!BB10:BK10="地下")*('数据-基础表'!BB11:BK11="商业")*('数据-基础表'!BB5:BK5))</f>
        <v>0</v>
      </c>
      <c r="F10" s="1390"/>
      <c r="G10" s="2227"/>
      <c r="H10" s="2227"/>
      <c r="I10" s="1390"/>
      <c r="J10" s="1390"/>
      <c r="K10" s="1390"/>
      <c r="L10" s="1390"/>
      <c r="M10" s="1390"/>
      <c r="N10" s="1390"/>
      <c r="O10" s="1390"/>
      <c r="P10" s="1390"/>
    </row>
    <row r="11" spans="1:16">
      <c r="A11" s="2228"/>
      <c r="B11" s="2229"/>
      <c r="C11" s="48" t="s">
        <v>1923</v>
      </c>
      <c r="D11" s="48">
        <f t="shared" si="0"/>
        <v>0</v>
      </c>
      <c r="E11" s="51">
        <f>SUMPRODUCT(('数据-基础表'!BB10:BK10="地下")*('数据-基础表'!BB11:BK11="办公")*('数据-基础表'!BB5:BK5))+'数据-基础表'!BP5</f>
        <v>0</v>
      </c>
      <c r="F11" s="1390"/>
      <c r="G11" s="2227"/>
      <c r="H11" s="2227"/>
      <c r="I11" s="1390"/>
      <c r="J11" s="1390"/>
      <c r="K11" s="1390"/>
      <c r="L11" s="1390"/>
      <c r="M11" s="1390"/>
      <c r="N11" s="1390"/>
      <c r="O11" s="1390"/>
      <c r="P11" s="1390"/>
    </row>
    <row r="12" spans="1:16">
      <c r="A12" s="2228"/>
      <c r="B12" s="2229"/>
      <c r="C12" s="48" t="s">
        <v>1924</v>
      </c>
      <c r="D12" s="48">
        <f t="shared" si="0"/>
        <v>0</v>
      </c>
      <c r="E12" s="51">
        <f>SUMPRODUCT(('数据-基础表'!BB10:BK10="地下")*('数据-基础表'!BB11:BK11="仓储")*('数据-基础表'!BB5:BK5))</f>
        <v>0</v>
      </c>
      <c r="F12" s="1390"/>
      <c r="G12" s="2227"/>
      <c r="H12" s="2227"/>
      <c r="I12" s="1390"/>
      <c r="J12" s="1390"/>
      <c r="K12" s="1390"/>
      <c r="L12" s="1390"/>
      <c r="M12" s="1390"/>
      <c r="N12" s="1390"/>
      <c r="O12" s="1390"/>
      <c r="P12" s="1390"/>
    </row>
    <row r="13" spans="1:16">
      <c r="A13" s="2228"/>
      <c r="B13" s="2229"/>
      <c r="C13" s="48" t="s">
        <v>1925</v>
      </c>
      <c r="D13" s="48">
        <f t="shared" si="0"/>
        <v>0</v>
      </c>
      <c r="E13" s="51">
        <f>SUMPRODUCT(('数据-基础表'!BB10:BK10="地下")*('数据-基础表'!BB11:BK11="车库")*('数据-基础表'!BB5:BK5))</f>
        <v>0</v>
      </c>
      <c r="F13" s="1390"/>
      <c r="G13" s="2227"/>
      <c r="H13" s="2227"/>
      <c r="I13" s="1390"/>
      <c r="J13" s="1390"/>
      <c r="K13" s="1390"/>
      <c r="L13" s="1390"/>
      <c r="M13" s="1390"/>
      <c r="N13" s="1390"/>
      <c r="O13" s="1390"/>
      <c r="P13" s="1390"/>
    </row>
    <row r="14" spans="1:16">
      <c r="A14" s="2228"/>
      <c r="B14" s="2229"/>
      <c r="C14" s="48" t="s">
        <v>1937</v>
      </c>
      <c r="D14" s="48">
        <f t="shared" si="0"/>
        <v>0</v>
      </c>
      <c r="E14" s="51">
        <f>SUMPRODUCT(('数据-基础表'!BB10:BK10="地下")*('数据-基础表'!BB11:BK11="车库—商业")*('数据-基础表'!BB5:BK5))</f>
        <v>0</v>
      </c>
      <c r="F14" s="1390"/>
      <c r="G14" s="2227"/>
      <c r="H14" s="2227"/>
      <c r="I14" s="1390"/>
      <c r="J14" s="1390"/>
      <c r="K14" s="1390"/>
      <c r="L14" s="1390"/>
      <c r="M14" s="1390"/>
      <c r="N14" s="1390"/>
      <c r="O14" s="1390"/>
      <c r="P14" s="1390"/>
    </row>
    <row r="15" spans="1:16" ht="15" thickBot="1">
      <c r="A15" s="2228"/>
      <c r="B15" s="2229"/>
      <c r="C15" s="48" t="s">
        <v>1932</v>
      </c>
      <c r="D15" s="48">
        <f t="shared" si="0"/>
        <v>0</v>
      </c>
      <c r="E15" s="51">
        <f>SUMPRODUCT(('数据-基础表'!BB10:BK10="地下")*('数据-基础表'!BB11:BK11="车库—办公")*('数据-基础表'!BB5:BK5))</f>
        <v>0</v>
      </c>
      <c r="F15" s="1390"/>
      <c r="G15" s="2227"/>
      <c r="H15" s="2227"/>
      <c r="I15" s="1390"/>
      <c r="J15" s="1390"/>
      <c r="K15" s="1390"/>
      <c r="L15" s="1390"/>
      <c r="M15" s="1390"/>
      <c r="N15" s="1390"/>
      <c r="O15" s="1390"/>
      <c r="P15" s="1390"/>
    </row>
    <row r="16" spans="1:16" ht="15.75" thickBot="1">
      <c r="A16" s="2224"/>
      <c r="B16" s="2229"/>
      <c r="C16" s="50" t="s">
        <v>1926</v>
      </c>
      <c r="D16" s="50">
        <f>SUM(D8:D15)</f>
        <v>118177.34</v>
      </c>
      <c r="E16" s="53">
        <f>SUM(E8:E15)</f>
        <v>65627.570000000007</v>
      </c>
      <c r="F16" s="1390"/>
      <c r="G16" s="2227"/>
      <c r="H16" s="2230" t="s">
        <v>1938</v>
      </c>
      <c r="I16" s="2231"/>
      <c r="J16" s="1390"/>
      <c r="K16" s="3046" t="s">
        <v>1938</v>
      </c>
      <c r="L16" s="3047"/>
      <c r="M16" s="3047"/>
      <c r="N16" s="3047"/>
      <c r="O16" s="3047"/>
      <c r="P16" s="3048"/>
    </row>
    <row r="17" spans="1:19" ht="15">
      <c r="A17" s="2232" t="s">
        <v>1939</v>
      </c>
      <c r="B17" s="2233" t="s">
        <v>1940</v>
      </c>
      <c r="C17" s="2234" t="s">
        <v>1941</v>
      </c>
      <c r="D17" s="2235" t="s">
        <v>1929</v>
      </c>
      <c r="E17" s="2236" t="s">
        <v>1930</v>
      </c>
      <c r="F17" s="2237"/>
      <c r="G17" s="2238"/>
      <c r="H17" s="2239" t="s">
        <v>1942</v>
      </c>
      <c r="I17" s="2240" t="s">
        <v>1927</v>
      </c>
      <c r="J17" s="1390"/>
      <c r="K17" s="3043" t="s">
        <v>1943</v>
      </c>
      <c r="L17" s="3044"/>
      <c r="M17" s="3045"/>
      <c r="N17" s="3043" t="s">
        <v>1944</v>
      </c>
      <c r="O17" s="3044"/>
      <c r="P17" s="3045"/>
      <c r="R17" s="2218" t="s">
        <v>1945</v>
      </c>
      <c r="S17" s="64"/>
    </row>
    <row r="18" spans="1:19" ht="15">
      <c r="A18" s="2228"/>
      <c r="B18" s="2241"/>
      <c r="C18" s="2242"/>
      <c r="D18" s="2243"/>
      <c r="E18" s="2244" t="s">
        <v>1946</v>
      </c>
      <c r="F18" s="2245" t="s">
        <v>1947</v>
      </c>
      <c r="G18" s="2246" t="s">
        <v>1948</v>
      </c>
      <c r="H18" s="1260" t="s">
        <v>1949</v>
      </c>
      <c r="I18" s="2247" t="s">
        <v>1950</v>
      </c>
      <c r="J18" s="1390"/>
      <c r="K18" s="1260" t="s">
        <v>1951</v>
      </c>
      <c r="L18" s="2248" t="s">
        <v>1952</v>
      </c>
      <c r="M18" s="1044" t="s">
        <v>1953</v>
      </c>
      <c r="N18" s="1260" t="s">
        <v>1951</v>
      </c>
      <c r="O18" s="2248" t="s">
        <v>1952</v>
      </c>
      <c r="P18" s="1044" t="s">
        <v>1953</v>
      </c>
      <c r="R18" s="1245" t="s">
        <v>1954</v>
      </c>
      <c r="S18" s="1245" t="s">
        <v>1955</v>
      </c>
    </row>
    <row r="19" spans="1:19">
      <c r="A19" s="2249"/>
      <c r="B19" s="50" t="s">
        <v>1928</v>
      </c>
      <c r="C19" s="3298" t="s">
        <v>3066</v>
      </c>
      <c r="D19" s="48">
        <f>ROUND($D$3*E19/$E$3,2)</f>
        <v>54110.44</v>
      </c>
      <c r="E19" s="56">
        <f t="shared" ref="E19:E26" si="1">SUM(F19:G19)</f>
        <v>30049.22</v>
      </c>
      <c r="F19" s="57">
        <f>'数据-基础表'!I13</f>
        <v>30049.22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1"/>
      <c r="O19" s="2252"/>
      <c r="P19" s="1401">
        <f>N19+O19</f>
        <v>0</v>
      </c>
      <c r="R19" s="1245">
        <f t="shared" ref="R19:S26" si="5">D19+H19</f>
        <v>54110.44</v>
      </c>
      <c r="S19" s="1246">
        <f t="shared" si="5"/>
        <v>30049.22</v>
      </c>
    </row>
    <row r="20" spans="1:19">
      <c r="A20" s="2253"/>
      <c r="B20" s="50" t="s">
        <v>1956</v>
      </c>
      <c r="C20" s="2250" t="s">
        <v>3080</v>
      </c>
      <c r="D20" s="48">
        <f t="shared" ref="D20:D26" si="6">ROUND($D$3*E20/$E$3,2)</f>
        <v>66518.36</v>
      </c>
      <c r="E20" s="56">
        <f t="shared" si="1"/>
        <v>36939.72</v>
      </c>
      <c r="F20" s="57">
        <f>'数据-基础表'!K13</f>
        <v>35578.35</v>
      </c>
      <c r="G20" s="58">
        <f>'数据-基础表'!M13</f>
        <v>1361.37</v>
      </c>
      <c r="H20" s="722">
        <f t="shared" ref="H20:H26" si="7">ROUND($D$3*I20/$E$3,2)</f>
        <v>0</v>
      </c>
      <c r="I20" s="51">
        <f t="shared" si="2"/>
        <v>0</v>
      </c>
      <c r="J20" s="1390"/>
      <c r="K20" s="1389">
        <f t="shared" si="3"/>
        <v>0</v>
      </c>
      <c r="L20" s="1245">
        <f t="shared" si="4"/>
        <v>0</v>
      </c>
      <c r="M20" s="1401">
        <f t="shared" ref="M20:M26" si="8">K20+L20</f>
        <v>0</v>
      </c>
      <c r="N20" s="2251"/>
      <c r="O20" s="2252"/>
      <c r="P20" s="1401">
        <f t="shared" ref="P20:P26" si="9">N20+O20</f>
        <v>0</v>
      </c>
      <c r="R20" s="1245">
        <f t="shared" si="5"/>
        <v>66518.36</v>
      </c>
      <c r="S20" s="1246">
        <f t="shared" si="5"/>
        <v>36939.72</v>
      </c>
    </row>
    <row r="21" spans="1:19">
      <c r="A21" s="2253"/>
      <c r="B21" s="50" t="s">
        <v>1956</v>
      </c>
      <c r="C21" s="2250"/>
      <c r="D21" s="48">
        <f t="shared" si="6"/>
        <v>0</v>
      </c>
      <c r="E21" s="56">
        <f t="shared" si="1"/>
        <v>0</v>
      </c>
      <c r="F21" s="57"/>
      <c r="G21" s="58"/>
      <c r="H21" s="722">
        <f t="shared" si="7"/>
        <v>0</v>
      </c>
      <c r="I21" s="51">
        <f t="shared" si="2"/>
        <v>0</v>
      </c>
      <c r="J21" s="1390"/>
      <c r="K21" s="1389">
        <f t="shared" si="3"/>
        <v>0</v>
      </c>
      <c r="L21" s="1245">
        <f t="shared" si="4"/>
        <v>0</v>
      </c>
      <c r="M21" s="1401">
        <f t="shared" si="8"/>
        <v>0</v>
      </c>
      <c r="N21" s="2251"/>
      <c r="O21" s="2252"/>
      <c r="P21" s="1401">
        <f t="shared" si="9"/>
        <v>0</v>
      </c>
      <c r="R21" s="1245">
        <f t="shared" si="5"/>
        <v>0</v>
      </c>
      <c r="S21" s="1246">
        <f t="shared" si="5"/>
        <v>0</v>
      </c>
    </row>
    <row r="22" spans="1:19">
      <c r="A22" s="2253"/>
      <c r="B22" s="50" t="s">
        <v>1956</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1"/>
      <c r="O22" s="2252"/>
      <c r="P22" s="1401">
        <f t="shared" si="9"/>
        <v>0</v>
      </c>
      <c r="R22" s="1245">
        <f t="shared" si="5"/>
        <v>0</v>
      </c>
      <c r="S22" s="1246">
        <f t="shared" si="5"/>
        <v>0</v>
      </c>
    </row>
    <row r="23" spans="1:19">
      <c r="A23" s="2253"/>
      <c r="B23" s="50" t="s">
        <v>1956</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1"/>
      <c r="O23" s="2252"/>
      <c r="P23" s="1401">
        <f t="shared" si="9"/>
        <v>0</v>
      </c>
      <c r="R23" s="1245">
        <f t="shared" si="5"/>
        <v>0</v>
      </c>
      <c r="S23" s="1246">
        <f t="shared" si="5"/>
        <v>0</v>
      </c>
    </row>
    <row r="24" spans="1:19">
      <c r="A24" s="2253"/>
      <c r="B24" s="50" t="s">
        <v>1956</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1"/>
      <c r="O24" s="2252"/>
      <c r="P24" s="1401">
        <f t="shared" si="9"/>
        <v>0</v>
      </c>
      <c r="R24" s="1245">
        <f t="shared" si="5"/>
        <v>0</v>
      </c>
      <c r="S24" s="1246">
        <f t="shared" si="5"/>
        <v>0</v>
      </c>
    </row>
    <row r="25" spans="1:19">
      <c r="A25" s="2253"/>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1"/>
      <c r="O25" s="2252"/>
      <c r="P25" s="1401">
        <f t="shared" si="9"/>
        <v>0</v>
      </c>
      <c r="R25" s="1245">
        <f t="shared" si="5"/>
        <v>0</v>
      </c>
      <c r="S25" s="1246">
        <f t="shared" si="5"/>
        <v>0</v>
      </c>
    </row>
    <row r="26" spans="1:19">
      <c r="A26" s="2253"/>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4"/>
      <c r="O26" s="2255"/>
      <c r="P26" s="67">
        <f t="shared" si="9"/>
        <v>0</v>
      </c>
      <c r="R26" s="1245">
        <f t="shared" si="5"/>
        <v>0</v>
      </c>
      <c r="S26" s="1246">
        <f t="shared" si="5"/>
        <v>0</v>
      </c>
    </row>
    <row r="27" spans="1:19" ht="15.75" thickBot="1">
      <c r="A27" s="2253"/>
      <c r="B27" s="48"/>
      <c r="C27" s="2256" t="s">
        <v>1957</v>
      </c>
      <c r="D27" s="1391">
        <f>SUM(D19:D26)</f>
        <v>120628.8</v>
      </c>
      <c r="E27" s="1392">
        <f>IF(SUM(E19:E26)='数据-基础表'!BA5,SUM(E19:E26),IF(F27="地上面积有误","面积有误","地下面积有误"))</f>
        <v>66988.94</v>
      </c>
      <c r="F27" s="1391">
        <f>IF(SUM(F19:F26)=E8,SUM(F19:F26),"地上面积有误")</f>
        <v>65627.570000000007</v>
      </c>
      <c r="G27" s="1393">
        <f>SUM(G19:G26)</f>
        <v>1361.37</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120628.8</v>
      </c>
      <c r="S27" s="1245">
        <f>IF(SUM(S19:S26)=$E$3,SUM(S19:S26),SUM(S19:S26)&amp;"误差"&amp;ROUND(SUM(S19:S26)-E3,2))</f>
        <v>66988.94</v>
      </c>
    </row>
    <row r="28" spans="1:19">
      <c r="A28" s="2253"/>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3"/>
      <c r="B29" s="50" t="s">
        <v>1958</v>
      </c>
      <c r="C29" s="2257"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3"/>
      <c r="B30" s="50"/>
      <c r="C30" s="2258"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59"/>
      <c r="B31" s="2260"/>
      <c r="C31" s="1005" t="s">
        <v>1961</v>
      </c>
      <c r="D31" s="727">
        <f>D27+D30</f>
        <v>120628.8</v>
      </c>
      <c r="E31" s="727">
        <f>E27+E30</f>
        <v>66988.94</v>
      </c>
      <c r="F31" s="728">
        <f>F27+F30</f>
        <v>65627.570000000007</v>
      </c>
      <c r="G31" s="729">
        <f>G27+G30</f>
        <v>1361.37</v>
      </c>
      <c r="H31" s="1390"/>
      <c r="I31" s="1390"/>
      <c r="J31" s="1390"/>
      <c r="K31" s="1390"/>
      <c r="L31" s="1390"/>
      <c r="M31" s="1390"/>
      <c r="N31" s="1390"/>
      <c r="O31" s="1390"/>
      <c r="P31" s="1390"/>
    </row>
    <row r="32" spans="1:19">
      <c r="A32" s="2223"/>
      <c r="B32" s="2223" t="s">
        <v>1962</v>
      </c>
      <c r="C32" s="2223"/>
      <c r="D32" s="2223"/>
      <c r="E32" s="1272">
        <f>SUMIF(C19:C26,"*住宅*",E19:E26)</f>
        <v>0</v>
      </c>
      <c r="F32" s="2223"/>
      <c r="G32" s="2223"/>
      <c r="H32" s="1390"/>
      <c r="I32" s="1390"/>
      <c r="J32" s="1390"/>
      <c r="K32" s="1390"/>
      <c r="L32" s="1390"/>
      <c r="M32" s="1390"/>
      <c r="N32" s="1390"/>
      <c r="O32" s="1390"/>
      <c r="P32" s="1390"/>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5" sqref="E25"/>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10"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30"/>
      <c r="C1" s="1579"/>
      <c r="D1" s="2263"/>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6" t="s">
        <v>1964</v>
      </c>
      <c r="B2" s="1264">
        <f>项目基本情况!D3</f>
        <v>44005</v>
      </c>
      <c r="C2" s="2267"/>
      <c r="D2" s="2268"/>
      <c r="E2" s="2267"/>
      <c r="F2" s="2267"/>
      <c r="G2" s="2267"/>
      <c r="H2" s="2267"/>
      <c r="I2" s="2267"/>
      <c r="J2" s="2267"/>
      <c r="K2" s="1425"/>
      <c r="L2" s="1425"/>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0" customFormat="1" ht="15" thickBot="1">
      <c r="A3" s="2018"/>
      <c r="B3" s="2270"/>
      <c r="C3" s="2267"/>
      <c r="D3" s="2268"/>
      <c r="E3" s="2267"/>
      <c r="F3" s="2267"/>
      <c r="G3" s="2267"/>
      <c r="H3" s="2267"/>
      <c r="I3" s="2267"/>
      <c r="J3" s="2267"/>
      <c r="K3" s="1425"/>
      <c r="L3" s="1425"/>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0"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4" t="s">
        <v>1969</v>
      </c>
      <c r="AA4" s="2234"/>
      <c r="AB4" s="2234"/>
      <c r="AC4" s="2234"/>
      <c r="AD4" s="2234"/>
      <c r="AE4" s="2232" t="s">
        <v>1970</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1" customFormat="1" ht="42">
      <c r="A5" s="2279" t="s">
        <v>1971</v>
      </c>
      <c r="B5" s="2280" t="s">
        <v>1972</v>
      </c>
      <c r="C5" s="2281" t="s">
        <v>1973</v>
      </c>
      <c r="D5" s="2282" t="s">
        <v>1974</v>
      </c>
      <c r="E5" s="1266" t="s">
        <v>1975</v>
      </c>
      <c r="F5" s="2283" t="s">
        <v>1976</v>
      </c>
      <c r="G5" s="1266" t="s">
        <v>1977</v>
      </c>
      <c r="H5" s="1266" t="s">
        <v>1978</v>
      </c>
      <c r="I5" s="1266" t="s">
        <v>1979</v>
      </c>
      <c r="J5" s="2284" t="s">
        <v>1980</v>
      </c>
      <c r="K5" s="2285" t="s">
        <v>1981</v>
      </c>
      <c r="L5" s="2286" t="s">
        <v>1982</v>
      </c>
      <c r="M5" s="2287" t="s">
        <v>1983</v>
      </c>
      <c r="N5" s="2288" t="s">
        <v>3067</v>
      </c>
      <c r="O5" s="2286" t="s">
        <v>1984</v>
      </c>
      <c r="P5" s="2289" t="s">
        <v>1985</v>
      </c>
      <c r="Q5" s="69" t="s">
        <v>1986</v>
      </c>
      <c r="R5" s="2290" t="s">
        <v>1987</v>
      </c>
      <c r="S5" s="2291" t="s">
        <v>1988</v>
      </c>
      <c r="T5" s="2292" t="s">
        <v>1989</v>
      </c>
      <c r="U5" s="1265" t="s">
        <v>1990</v>
      </c>
      <c r="V5" s="1266" t="s">
        <v>1991</v>
      </c>
      <c r="W5" s="1266" t="s">
        <v>1992</v>
      </c>
      <c r="X5" s="71"/>
      <c r="Y5" s="70" t="s">
        <v>1993</v>
      </c>
      <c r="Z5" s="2293" t="s">
        <v>1990</v>
      </c>
      <c r="AA5" s="1266" t="s">
        <v>1991</v>
      </c>
      <c r="AB5" s="1266" t="s">
        <v>1992</v>
      </c>
      <c r="AC5" s="71"/>
      <c r="AD5" s="71" t="s">
        <v>1993</v>
      </c>
      <c r="AE5" s="1265" t="s">
        <v>1994</v>
      </c>
      <c r="AF5" s="1266" t="s">
        <v>1995</v>
      </c>
      <c r="AG5" s="70" t="s">
        <v>1996</v>
      </c>
      <c r="AH5" s="1265" t="s">
        <v>1997</v>
      </c>
      <c r="AI5" s="2293" t="s">
        <v>1998</v>
      </c>
      <c r="AJ5" s="2293" t="s">
        <v>1999</v>
      </c>
      <c r="AK5" s="1266" t="s">
        <v>2000</v>
      </c>
      <c r="AL5" s="1266" t="s">
        <v>2001</v>
      </c>
      <c r="AM5" s="70" t="s">
        <v>2002</v>
      </c>
      <c r="AN5" s="2294" t="s">
        <v>2003</v>
      </c>
      <c r="AO5" s="2064" t="s">
        <v>2004</v>
      </c>
      <c r="AP5" s="1247" t="s">
        <v>2005</v>
      </c>
      <c r="AQ5" s="2295" t="s">
        <v>2006</v>
      </c>
      <c r="AR5" s="2295"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0" customFormat="1" ht="14.25">
      <c r="A6" s="2296" t="str">
        <f>'数据-汇总表'!C19</f>
        <v>工业</v>
      </c>
      <c r="B6" s="2297" t="str">
        <f>IF(A6=0,"","经营性")</f>
        <v>经营性</v>
      </c>
      <c r="C6" s="2298" t="s">
        <v>6</v>
      </c>
      <c r="D6" s="1049">
        <f>SUMIF(项目基本情况!D$12:I$12,C6,项目基本情况!D$14:I$14)</f>
        <v>50</v>
      </c>
      <c r="E6" s="1046">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800">
        <f ca="1">基准地价修正!G20</f>
        <v>4.8000000000000001E-2</v>
      </c>
      <c r="I6" s="800">
        <v>5.5E-2</v>
      </c>
      <c r="J6" s="74">
        <v>0.08</v>
      </c>
      <c r="K6" s="1249">
        <f>SUMIF('数据-汇总表'!C$19:C$33,A6,'数据-汇总表'!E$19:E$33)</f>
        <v>30049.22</v>
      </c>
      <c r="L6" s="3307">
        <v>2500</v>
      </c>
      <c r="M6" s="75">
        <f t="shared" ref="M6:M14" si="0">ROUND(K6*L6/10000,0)</f>
        <v>7512</v>
      </c>
      <c r="N6" s="799">
        <v>0.83</v>
      </c>
      <c r="O6" s="75" t="str">
        <f>IF($N$5="成新度","——",ROUND(M6*N6,0))</f>
        <v>——</v>
      </c>
      <c r="P6" s="76" t="str">
        <f>IF($N$5="成新度","——",M6-O6)</f>
        <v>——</v>
      </c>
      <c r="Q6" s="802">
        <v>0.15</v>
      </c>
      <c r="R6" s="77">
        <f ca="1">SUMIF('数据-汇总表'!C$19:C$33,A6,'数据-汇总表'!R$19:R$27)</f>
        <v>54110.44</v>
      </c>
      <c r="S6" s="54">
        <f>IF('数据-汇总表'!$I$17="按面积比例",SUMIF('数据-汇总表'!C$19:C$33,A6,'数据-汇总表'!K$19:K$33),SUMIF('数据-汇总表'!C$19:C$33,A6,'数据-汇总表'!N$19:N$33))</f>
        <v>0</v>
      </c>
      <c r="T6" s="1441">
        <f>ROUND($L$14*S6/10000,0)</f>
        <v>0</v>
      </c>
      <c r="U6" s="78">
        <v>1.3</v>
      </c>
      <c r="V6" s="79">
        <v>1.4999999999999999E-2</v>
      </c>
      <c r="W6" s="79">
        <v>0.1</v>
      </c>
      <c r="X6" s="1259"/>
      <c r="Y6" s="80">
        <f>N6</f>
        <v>0.83</v>
      </c>
      <c r="Z6" s="81"/>
      <c r="AA6" s="74"/>
      <c r="AB6" s="74"/>
      <c r="AC6" s="1259"/>
      <c r="AD6" s="82"/>
      <c r="AE6" s="1260">
        <f ca="1">IF(AN6="",0,SUMIF(INDIRECT("'"&amp;AN6&amp;"'"&amp;"!E:E"),$AE$5,INDIRECT("'"&amp;AN6&amp;"'"&amp;"!F:F")))</f>
        <v>33.049999999999997</v>
      </c>
      <c r="AF6" s="1794"/>
      <c r="AG6" s="146">
        <f>IF(AF6="",0,AE6-AF6)</f>
        <v>0</v>
      </c>
      <c r="AH6" s="83"/>
      <c r="AI6" s="85">
        <v>365</v>
      </c>
      <c r="AJ6" s="86"/>
      <c r="AK6" s="87">
        <v>1.4999999999999999E-2</v>
      </c>
      <c r="AL6" s="88">
        <v>1.5E-3</v>
      </c>
      <c r="AM6" s="89">
        <v>0.01</v>
      </c>
      <c r="AN6" s="2299" t="s">
        <v>3068</v>
      </c>
      <c r="AO6" s="55">
        <f ca="1">SUMIF(INDIRECT("'"&amp;AN6&amp;"'"&amp;"!A:A"),"总价",INDIRECT("'"&amp;AN6&amp;"'"&amp;"!B:B"))</f>
        <v>15633</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0" customFormat="1" ht="14.25">
      <c r="A7" s="2296" t="str">
        <f>'数据-汇总表'!C20</f>
        <v>工业2</v>
      </c>
      <c r="B7" s="2297" t="str">
        <f t="shared" ref="B7:B13" si="1">IF(A7=0,"","经营性")</f>
        <v>经营性</v>
      </c>
      <c r="C7" s="2298" t="s">
        <v>6</v>
      </c>
      <c r="D7" s="1049">
        <f>SUMIF(项目基本情况!D$12:I$12,C7,项目基本情况!D$14:I$14)</f>
        <v>50</v>
      </c>
      <c r="E7" s="1046">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800">
        <f ca="1">H6</f>
        <v>4.8000000000000001E-2</v>
      </c>
      <c r="I7" s="800">
        <f>I6</f>
        <v>5.5E-2</v>
      </c>
      <c r="J7" s="74">
        <f>J6</f>
        <v>0.08</v>
      </c>
      <c r="K7" s="1249">
        <f>SUMIF('数据-汇总表'!C$19:C$33,A7,'数据-汇总表'!E$19:E$33)</f>
        <v>36939.72</v>
      </c>
      <c r="L7" s="3307">
        <f>L6</f>
        <v>2500</v>
      </c>
      <c r="M7" s="75">
        <f t="shared" si="0"/>
        <v>9235</v>
      </c>
      <c r="N7" s="799">
        <v>0.79</v>
      </c>
      <c r="O7" s="75" t="str">
        <f t="shared" ref="O7:O14" si="3">IF($N$5="成新度","——",ROUND(M7*N7,0))</f>
        <v>——</v>
      </c>
      <c r="P7" s="76" t="str">
        <f t="shared" ref="P7:P14" si="4">IF($N$5="成新度","——",M7-O7)</f>
        <v>——</v>
      </c>
      <c r="Q7" s="802">
        <f>Q6</f>
        <v>0.15</v>
      </c>
      <c r="R7" s="77">
        <f ca="1">SUMIF('数据-汇总表'!C$19:C$33,A7,'数据-汇总表'!R$19:R$27)</f>
        <v>66518.36</v>
      </c>
      <c r="S7" s="54">
        <f>IF('数据-汇总表'!$I$17="按面积比例",SUMIF('数据-汇总表'!C$19:C$33,A7,'数据-汇总表'!K$19:K$33),SUMIF('数据-汇总表'!C$19:C$33,A7,'数据-汇总表'!N$19:N$33))</f>
        <v>0</v>
      </c>
      <c r="T7" s="1441">
        <f t="shared" ref="T7:T13" si="5">ROUND($L$14*S7/10000,0)</f>
        <v>0</v>
      </c>
      <c r="U7" s="78">
        <f>U6</f>
        <v>1.3</v>
      </c>
      <c r="V7" s="79">
        <f>V6</f>
        <v>1.4999999999999999E-2</v>
      </c>
      <c r="W7" s="79">
        <f>W6</f>
        <v>0.1</v>
      </c>
      <c r="X7" s="1259"/>
      <c r="Y7" s="80">
        <f>N7</f>
        <v>0.79</v>
      </c>
      <c r="Z7" s="81"/>
      <c r="AA7" s="74"/>
      <c r="AB7" s="74"/>
      <c r="AC7" s="1259"/>
      <c r="AD7" s="82"/>
      <c r="AE7" s="1260">
        <f t="shared" ref="AE7:AE13" ca="1" si="6">IF(AN7="",0,SUMIF(INDIRECT("'"&amp;AN7&amp;"'"&amp;"!E:E"),$AE$5,INDIRECT("'"&amp;AN7&amp;"'"&amp;"!F:F")))</f>
        <v>33.049999999999997</v>
      </c>
      <c r="AF7" s="1794"/>
      <c r="AG7" s="146">
        <f t="shared" ref="AG7:AG13" si="7">IF(AF7="",0,AE7-AF7)</f>
        <v>0</v>
      </c>
      <c r="AH7" s="83"/>
      <c r="AI7" s="85">
        <v>365</v>
      </c>
      <c r="AJ7" s="86"/>
      <c r="AK7" s="87">
        <f>AK6</f>
        <v>1.4999999999999999E-2</v>
      </c>
      <c r="AL7" s="88">
        <f>AL6</f>
        <v>1.5E-3</v>
      </c>
      <c r="AM7" s="89">
        <f>AM6</f>
        <v>0.01</v>
      </c>
      <c r="AN7" s="2299" t="s">
        <v>3084</v>
      </c>
      <c r="AO7" s="55">
        <f t="shared" ref="AO7:AO13" ca="1" si="8">SUMIF(INDIRECT("'"&amp;AN7&amp;"'"&amp;"!A:A"),"总价",INDIRECT("'"&amp;AN7&amp;"'"&amp;"!B:B"))</f>
        <v>19239</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0" customFormat="1" ht="14.25">
      <c r="A8" s="2296">
        <f>'数据-汇总表'!C21</f>
        <v>0</v>
      </c>
      <c r="B8" s="2297" t="str">
        <f t="shared" si="1"/>
        <v/>
      </c>
      <c r="C8" s="2298"/>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794"/>
      <c r="AG8" s="146">
        <f t="shared" si="7"/>
        <v>0</v>
      </c>
      <c r="AH8" s="806"/>
      <c r="AI8" s="85"/>
      <c r="AJ8" s="86"/>
      <c r="AK8" s="807"/>
      <c r="AL8" s="808"/>
      <c r="AM8" s="80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0" customFormat="1" ht="14.25">
      <c r="A9" s="2296">
        <f>'数据-汇总表'!C22</f>
        <v>0</v>
      </c>
      <c r="B9" s="2297" t="str">
        <f t="shared" si="1"/>
        <v/>
      </c>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794"/>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0"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794"/>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0"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794"/>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0"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794"/>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0"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794"/>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0" customFormat="1" ht="14.25">
      <c r="A14" s="2301" t="s">
        <v>2008</v>
      </c>
      <c r="B14" s="2297" t="s">
        <v>2009</v>
      </c>
      <c r="C14" s="2302" t="s">
        <v>2008</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05"/>
      <c r="AJ14" s="771"/>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0" customFormat="1" ht="27">
      <c r="A15" s="2301" t="s">
        <v>2010</v>
      </c>
      <c r="B15" s="2297" t="s">
        <v>2009</v>
      </c>
      <c r="C15" s="2302"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05"/>
      <c r="AJ15" s="771"/>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0" customFormat="1" ht="15.75" thickBot="1">
      <c r="A16" s="2303" t="s">
        <v>2012</v>
      </c>
      <c r="B16" s="97"/>
      <c r="C16" s="1003"/>
      <c r="D16" s="2304"/>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2500</v>
      </c>
      <c r="M16" s="102">
        <f>SUM(M6:M14)</f>
        <v>16747</v>
      </c>
      <c r="N16" s="103">
        <f>ROUND(SUMPRODUCT(M6:M14,N6:N14)/M16,3)</f>
        <v>0.80800000000000005</v>
      </c>
      <c r="O16" s="102">
        <f>SUM(O6:O14)</f>
        <v>0</v>
      </c>
      <c r="P16" s="102">
        <f>SUM(P6:P14)</f>
        <v>0</v>
      </c>
      <c r="Q16" s="104">
        <f>ROUND(SUMPRODUCT(Q6:Q13,K6:K13)/SUMPRODUCT((Q6:Q13&gt;0)*(K6:K13)),2)</f>
        <v>0.15</v>
      </c>
      <c r="R16" s="1253">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9"/>
      <c r="D17" s="2263"/>
      <c r="E17" s="2263"/>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0"/>
      <c r="C18" s="2267"/>
      <c r="D18" s="2268"/>
      <c r="E18" s="2267"/>
      <c r="F18" s="2267"/>
      <c r="G18" s="2267"/>
      <c r="H18" s="2267"/>
      <c r="I18" s="2267"/>
      <c r="J18" s="2267"/>
      <c r="K18" s="167"/>
      <c r="L18" s="167"/>
      <c r="M18" s="1579"/>
      <c r="N18" s="1579">
        <v>2006</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2014</v>
      </c>
      <c r="B19" s="112">
        <v>0</v>
      </c>
      <c r="C19" s="2267" t="s">
        <v>2015</v>
      </c>
      <c r="D19" s="2268"/>
      <c r="E19" s="2267"/>
      <c r="F19" s="2267"/>
      <c r="G19" s="2267"/>
      <c r="H19" s="2267"/>
      <c r="I19" s="2267"/>
      <c r="J19" s="2267"/>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2016</v>
      </c>
      <c r="B20" s="113">
        <v>1.5</v>
      </c>
      <c r="C20" s="2267" t="s">
        <v>2017</v>
      </c>
      <c r="D20" s="2268"/>
      <c r="E20" s="2267"/>
      <c r="F20" s="2267"/>
      <c r="G20" s="2267"/>
      <c r="H20" s="2267"/>
      <c r="I20" s="2267"/>
      <c r="J20" s="2267"/>
      <c r="K20" s="167"/>
      <c r="L20" s="167"/>
      <c r="M20" s="1579"/>
      <c r="N20" s="1579"/>
      <c r="O20" s="1579"/>
      <c r="P20" s="1579"/>
      <c r="Q20" s="1579"/>
      <c r="R20" s="1579"/>
      <c r="S20" s="1579"/>
      <c r="T20" s="1579"/>
      <c r="U20" s="1579">
        <v>1</v>
      </c>
      <c r="V20" s="1579">
        <f>面积表!I15</f>
        <v>41762.629999999997</v>
      </c>
      <c r="W20" s="1579">
        <v>1.6</v>
      </c>
      <c r="X20" s="1579">
        <v>1</v>
      </c>
      <c r="Y20" s="1579"/>
      <c r="Z20" s="1579"/>
      <c r="AA20" s="1579"/>
      <c r="AB20" s="1579"/>
      <c r="AC20" s="1579"/>
      <c r="AD20" s="1579"/>
      <c r="AE20" s="1579"/>
      <c r="AF20" s="1579"/>
      <c r="AG20" s="1579"/>
      <c r="AH20" s="1579"/>
      <c r="AI20" s="1579"/>
      <c r="AJ20" s="1579"/>
      <c r="AK20" s="1579"/>
      <c r="AL20" s="1579"/>
      <c r="AM20" s="1579"/>
    </row>
    <row r="21" spans="1:67" ht="14.25">
      <c r="A21" s="2308" t="s">
        <v>2018</v>
      </c>
      <c r="B21" s="113">
        <v>1.5</v>
      </c>
      <c r="C21" s="2267"/>
      <c r="D21" s="2268"/>
      <c r="E21" s="2267"/>
      <c r="F21" s="2267"/>
      <c r="G21" s="2267"/>
      <c r="H21" s="2267"/>
      <c r="I21" s="2267"/>
      <c r="J21" s="2267"/>
      <c r="K21" s="167"/>
      <c r="L21" s="167"/>
      <c r="M21" s="1579"/>
      <c r="N21" s="1579">
        <v>0.85</v>
      </c>
      <c r="O21" s="1579"/>
      <c r="P21" s="1579"/>
      <c r="Q21" s="1579"/>
      <c r="R21" s="1579"/>
      <c r="S21" s="1579"/>
      <c r="T21" s="1579"/>
      <c r="U21" s="1579">
        <v>2</v>
      </c>
      <c r="V21" s="1579">
        <f>面积表!J15</f>
        <v>13848.52</v>
      </c>
      <c r="W21" s="1579">
        <f>X21*$W$20</f>
        <v>1.4400000000000002</v>
      </c>
      <c r="X21" s="1579">
        <v>0.9</v>
      </c>
      <c r="Y21" s="1579"/>
      <c r="Z21" s="1579"/>
      <c r="AA21" s="1579"/>
      <c r="AB21" s="1579"/>
      <c r="AC21" s="1579"/>
      <c r="AD21" s="1579"/>
      <c r="AE21" s="1579"/>
      <c r="AF21" s="1579"/>
      <c r="AG21" s="1579"/>
      <c r="AH21" s="1579"/>
      <c r="AI21" s="1579"/>
      <c r="AJ21" s="1579"/>
      <c r="AK21" s="1579"/>
      <c r="AL21" s="1579"/>
      <c r="AM21" s="1579"/>
    </row>
    <row r="22" spans="1:67" ht="14.25">
      <c r="A22" s="2307" t="s">
        <v>2019</v>
      </c>
      <c r="B22" s="114">
        <f>B19+B20</f>
        <v>1.5</v>
      </c>
      <c r="C22" s="2267"/>
      <c r="D22" s="2268"/>
      <c r="E22" s="2267"/>
      <c r="F22" s="2267"/>
      <c r="G22" s="2267"/>
      <c r="H22" s="2267"/>
      <c r="I22" s="2267"/>
      <c r="J22" s="2267"/>
      <c r="K22" s="167"/>
      <c r="L22" s="167"/>
      <c r="M22" s="1579"/>
      <c r="N22" s="1579">
        <f>ROUND(1-(1+0.02)*(2020-N18)/70,2)</f>
        <v>0.8</v>
      </c>
      <c r="O22" s="1579">
        <f>(N21+N22)/2</f>
        <v>0.82499999999999996</v>
      </c>
      <c r="P22" s="1579"/>
      <c r="Q22" s="1579"/>
      <c r="R22" s="1579"/>
      <c r="S22" s="1579"/>
      <c r="T22" s="1579"/>
      <c r="U22" s="1579">
        <v>3</v>
      </c>
      <c r="V22" s="1579">
        <f>面积表!K15</f>
        <v>10016.41</v>
      </c>
      <c r="W22" s="1579">
        <f t="shared" ref="W22:W23" si="12">X22*$W$20</f>
        <v>1.2800000000000002</v>
      </c>
      <c r="X22" s="1579">
        <v>0.8</v>
      </c>
      <c r="Y22" s="1579"/>
      <c r="Z22" s="1579"/>
      <c r="AA22" s="1579"/>
      <c r="AB22" s="1579"/>
      <c r="AC22" s="1579"/>
      <c r="AD22" s="1579"/>
      <c r="AE22" s="1579"/>
      <c r="AF22" s="1579"/>
      <c r="AG22" s="1579"/>
      <c r="AH22" s="1579"/>
      <c r="AI22" s="1579"/>
      <c r="AJ22" s="1579"/>
      <c r="AK22" s="1579"/>
      <c r="AL22" s="1579"/>
      <c r="AM22" s="1579"/>
    </row>
    <row r="23" spans="1:67" ht="14.25">
      <c r="A23" s="2308" t="s">
        <v>2020</v>
      </c>
      <c r="B23" s="114">
        <f>B19+B21</f>
        <v>1.5</v>
      </c>
      <c r="C23" s="2267"/>
      <c r="D23" s="2268"/>
      <c r="E23" s="2267"/>
      <c r="F23" s="2267"/>
      <c r="G23" s="2267"/>
      <c r="H23" s="2267"/>
      <c r="I23" s="2267"/>
      <c r="J23" s="2267"/>
      <c r="K23" s="167"/>
      <c r="L23" s="167"/>
      <c r="M23" s="1579"/>
      <c r="N23" s="1579">
        <f>ROUND(1-(1-0.02)*(2020-N18)/50,2)</f>
        <v>0.73</v>
      </c>
      <c r="O23" s="1579">
        <f>(N21+N23)/2</f>
        <v>0.79</v>
      </c>
      <c r="P23" s="1579"/>
      <c r="Q23" s="1579"/>
      <c r="R23" s="1579"/>
      <c r="S23" s="1579"/>
      <c r="T23" s="1579"/>
      <c r="U23" s="1579">
        <v>-1</v>
      </c>
      <c r="V23" s="1579">
        <f>面积表!H15</f>
        <v>1361.37</v>
      </c>
      <c r="W23" s="1579">
        <f t="shared" si="12"/>
        <v>0.8</v>
      </c>
      <c r="X23" s="1579">
        <v>0.5</v>
      </c>
      <c r="Y23" s="1579"/>
      <c r="Z23" s="1579"/>
      <c r="AA23" s="1579"/>
      <c r="AB23" s="1579"/>
      <c r="AC23" s="1579"/>
      <c r="AD23" s="1579"/>
      <c r="AE23" s="1579"/>
      <c r="AF23" s="1579"/>
      <c r="AG23" s="1579"/>
      <c r="AH23" s="1579"/>
      <c r="AI23" s="1579"/>
      <c r="AJ23" s="1579"/>
      <c r="AK23" s="1579"/>
      <c r="AL23" s="1579"/>
      <c r="AM23" s="1579"/>
    </row>
    <row r="24" spans="1:67" ht="15" thickBot="1">
      <c r="A24" s="2309" t="s">
        <v>2021</v>
      </c>
      <c r="B24" s="115">
        <f>B20-B21</f>
        <v>0</v>
      </c>
      <c r="C24" s="2267"/>
      <c r="D24" s="2268"/>
      <c r="E24" s="2267"/>
      <c r="F24" s="2267"/>
      <c r="G24" s="2267"/>
      <c r="H24" s="2267"/>
      <c r="I24" s="2267"/>
      <c r="J24" s="2267"/>
      <c r="K24" s="167"/>
      <c r="L24" s="167"/>
      <c r="M24" s="1579"/>
      <c r="N24" s="1579"/>
      <c r="O24" s="1579"/>
      <c r="P24" s="1579"/>
      <c r="Q24" s="1579"/>
      <c r="R24" s="1579"/>
      <c r="S24" s="1579"/>
      <c r="T24" s="1579"/>
      <c r="U24" s="1579"/>
      <c r="V24" s="1579"/>
      <c r="W24" s="1579">
        <f>(V20*W20+V21*W21+V22*W22+V23*W23)/K16</f>
        <v>1.5028178920281468</v>
      </c>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70"/>
      <c r="C25" s="2267"/>
      <c r="D25" s="2268"/>
      <c r="E25" s="2267"/>
      <c r="F25" s="2267"/>
      <c r="G25" s="2267"/>
      <c r="H25" s="2267"/>
      <c r="I25" s="2267"/>
      <c r="J25" s="2267"/>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6" t="s">
        <v>2022</v>
      </c>
      <c r="B26" s="2310" t="s">
        <v>2023</v>
      </c>
      <c r="C26" s="2311" t="s">
        <v>2024</v>
      </c>
      <c r="D26" s="2268"/>
      <c r="E26" s="2267"/>
      <c r="F26" s="2267"/>
      <c r="G26" s="2267"/>
      <c r="H26" s="2267"/>
      <c r="I26" s="2267"/>
      <c r="J26" s="2267"/>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2025</v>
      </c>
      <c r="B27" s="116">
        <v>160</v>
      </c>
      <c r="C27" s="1754" t="s">
        <v>2026</v>
      </c>
      <c r="D27" s="2313"/>
      <c r="E27" s="1425"/>
      <c r="F27" s="1425"/>
      <c r="G27" s="2267"/>
      <c r="H27" s="2267"/>
      <c r="I27" s="2267"/>
      <c r="J27" s="2267"/>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2027</v>
      </c>
      <c r="B28" s="119">
        <v>200</v>
      </c>
      <c r="C28" s="2316"/>
      <c r="D28" s="2313"/>
      <c r="E28" s="1425"/>
      <c r="F28" s="1425"/>
      <c r="G28" s="2267"/>
      <c r="H28" s="2267"/>
      <c r="I28" s="2267"/>
      <c r="J28" s="2267"/>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2028</v>
      </c>
      <c r="B29" s="121"/>
      <c r="C29" s="1754" t="s">
        <v>2029</v>
      </c>
      <c r="D29" s="2313"/>
      <c r="E29" s="1425"/>
      <c r="F29" s="1425"/>
      <c r="G29" s="2267"/>
      <c r="H29" s="2267"/>
      <c r="I29" s="2267"/>
      <c r="J29" s="2267"/>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2030</v>
      </c>
      <c r="B30" s="723">
        <v>200</v>
      </c>
      <c r="C30" s="2316"/>
      <c r="D30" s="2313"/>
      <c r="E30" s="1425"/>
      <c r="F30" s="1425"/>
      <c r="G30" s="2267"/>
      <c r="H30" s="2267"/>
      <c r="I30" s="2267"/>
      <c r="J30" s="2267"/>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2031</v>
      </c>
      <c r="B31" s="120">
        <f>B30-B32</f>
        <v>200</v>
      </c>
      <c r="C31" s="1754"/>
      <c r="D31" s="2313"/>
      <c r="E31" s="1425"/>
      <c r="F31" s="1425"/>
      <c r="G31" s="2267"/>
      <c r="H31" s="2267"/>
      <c r="I31" s="2267"/>
      <c r="J31" s="2267"/>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2032</v>
      </c>
      <c r="B32" s="724">
        <v>0</v>
      </c>
      <c r="C32" s="2316"/>
      <c r="D32" s="2268"/>
      <c r="E32" s="2267"/>
      <c r="F32" s="2267"/>
      <c r="G32" s="2267"/>
      <c r="H32" s="2267"/>
      <c r="I32" s="2267"/>
      <c r="J32" s="2267"/>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2033</v>
      </c>
      <c r="B33" s="3304">
        <v>0.05</v>
      </c>
      <c r="C33" s="1753" t="s">
        <v>2034</v>
      </c>
      <c r="D33" s="2268"/>
      <c r="E33" s="2267"/>
      <c r="F33" s="2267"/>
      <c r="G33" s="2267"/>
      <c r="H33" s="2267"/>
      <c r="I33" s="2267"/>
      <c r="J33" s="2267"/>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2035</v>
      </c>
      <c r="B34" s="122">
        <v>0</v>
      </c>
      <c r="C34" s="1753" t="s">
        <v>2036</v>
      </c>
      <c r="D34" s="2268" t="s">
        <v>2037</v>
      </c>
      <c r="E34" s="730"/>
      <c r="F34" s="2267"/>
      <c r="G34" s="2267"/>
      <c r="H34" s="2267"/>
      <c r="I34" s="2267"/>
      <c r="J34" s="2267"/>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2038</v>
      </c>
      <c r="B35" s="119">
        <v>200</v>
      </c>
      <c r="C35" s="1753" t="s">
        <v>2039</v>
      </c>
      <c r="D35" s="2313"/>
      <c r="E35" s="1425"/>
      <c r="F35" s="1425"/>
      <c r="G35" s="2267"/>
      <c r="H35" s="2267"/>
      <c r="I35" s="2267"/>
      <c r="J35" s="2267"/>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2040</v>
      </c>
      <c r="B36" s="123">
        <v>1.4999999999999999E-2</v>
      </c>
      <c r="C36" s="1753" t="s">
        <v>2041</v>
      </c>
      <c r="D36" s="2268"/>
      <c r="E36" s="2267"/>
      <c r="F36" s="2267"/>
      <c r="G36" s="2267"/>
      <c r="H36" s="2267"/>
      <c r="I36" s="2267"/>
      <c r="J36" s="2267"/>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2042</v>
      </c>
      <c r="B37" s="3305">
        <v>0.02</v>
      </c>
      <c r="C37" s="1753" t="s">
        <v>2043</v>
      </c>
      <c r="D37" s="2268"/>
      <c r="E37" s="2267"/>
      <c r="F37" s="2267"/>
      <c r="G37" s="2267"/>
      <c r="H37" s="2267"/>
      <c r="I37" s="2267"/>
      <c r="J37" s="2267"/>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2044</v>
      </c>
      <c r="B38" s="3306">
        <v>0.02</v>
      </c>
      <c r="C38" s="1753" t="s">
        <v>2043</v>
      </c>
      <c r="D38" s="2268"/>
      <c r="E38" s="2267"/>
      <c r="F38" s="2267"/>
      <c r="G38" s="2267"/>
      <c r="H38" s="2267"/>
      <c r="I38" s="2267"/>
      <c r="J38" s="2267"/>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2045</v>
      </c>
      <c r="B39" s="361">
        <f ca="1">存贷款利率!I1</f>
        <v>1.4999999999999999E-2</v>
      </c>
      <c r="C39" s="1753"/>
      <c r="D39" s="2268"/>
      <c r="E39" s="2267"/>
      <c r="F39" s="2267"/>
      <c r="G39" s="2267"/>
      <c r="H39" s="2267"/>
      <c r="I39" s="2267"/>
      <c r="J39" s="2267"/>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2046</v>
      </c>
      <c r="B40" s="1298">
        <f ca="1">存贷款利率!G1</f>
        <v>4.7500000000000001E-2</v>
      </c>
      <c r="C40" s="1753" t="s">
        <v>2047</v>
      </c>
      <c r="D40" s="1579"/>
      <c r="E40" s="2268"/>
      <c r="F40" s="2267"/>
      <c r="G40" s="2267"/>
      <c r="H40" s="2267"/>
      <c r="I40" s="2267"/>
      <c r="J40" s="2267"/>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2048</v>
      </c>
      <c r="B41" s="124">
        <f>B42+B43</f>
        <v>5.5000000000000007E-2</v>
      </c>
      <c r="C41" s="1754"/>
      <c r="D41" s="1579"/>
      <c r="E41" s="2268"/>
      <c r="F41" s="2267"/>
      <c r="G41" s="2267"/>
      <c r="H41" s="2267"/>
      <c r="I41" s="2267"/>
      <c r="J41" s="2267"/>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2049</v>
      </c>
      <c r="B42" s="125">
        <v>0.05</v>
      </c>
      <c r="C42" s="2321">
        <f>IF(B2&lt;DATE(2016,5,1),0,B42)</f>
        <v>0.05</v>
      </c>
      <c r="D42" s="2268"/>
      <c r="E42" s="2267"/>
      <c r="F42" s="2267"/>
      <c r="G42" s="2267"/>
      <c r="H42" s="2267"/>
      <c r="I42" s="2267"/>
      <c r="J42" s="2267"/>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2050</v>
      </c>
      <c r="B43" s="126">
        <f>B42*(B44+B45+B46)+B47</f>
        <v>5.000000000000001E-3</v>
      </c>
      <c r="C43" s="1754"/>
      <c r="D43" s="2268"/>
      <c r="E43" s="2267"/>
      <c r="F43" s="2267"/>
      <c r="G43" s="2267"/>
      <c r="H43" s="2267"/>
      <c r="I43" s="2267"/>
      <c r="J43" s="2267"/>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2051</v>
      </c>
      <c r="B44" s="127">
        <v>0.05</v>
      </c>
      <c r="C44" s="1753" t="s">
        <v>2052</v>
      </c>
      <c r="D44" s="2268"/>
      <c r="E44" s="2267"/>
      <c r="F44" s="2267"/>
      <c r="G44" s="2267"/>
      <c r="H44" s="2267"/>
      <c r="I44" s="2267"/>
      <c r="J44" s="2267"/>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2053</v>
      </c>
      <c r="B45" s="125">
        <v>0.03</v>
      </c>
      <c r="C45" s="1754" t="s">
        <v>2054</v>
      </c>
      <c r="D45" s="2268"/>
      <c r="E45" s="2267"/>
      <c r="F45" s="2267"/>
      <c r="G45" s="2267"/>
      <c r="H45" s="2267"/>
      <c r="I45" s="2267"/>
      <c r="J45" s="2267"/>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2055</v>
      </c>
      <c r="B46" s="125">
        <v>0.02</v>
      </c>
      <c r="C46" s="1754" t="s">
        <v>2056</v>
      </c>
      <c r="D46" s="2268"/>
      <c r="E46" s="2267"/>
      <c r="F46" s="2267"/>
      <c r="G46" s="2267"/>
      <c r="H46" s="2267"/>
      <c r="I46" s="2267"/>
      <c r="J46" s="2267"/>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2057</v>
      </c>
      <c r="B47" s="128"/>
      <c r="C47" s="1754" t="s">
        <v>2058</v>
      </c>
      <c r="D47" s="2268"/>
      <c r="E47" s="2267"/>
      <c r="F47" s="2267"/>
      <c r="G47" s="2267"/>
      <c r="H47" s="2267"/>
      <c r="I47" s="2267"/>
      <c r="J47" s="2267"/>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2059</v>
      </c>
      <c r="B48" s="129">
        <v>0.03</v>
      </c>
      <c r="C48" s="1761" t="s">
        <v>2060</v>
      </c>
      <c r="D48" s="2268"/>
      <c r="E48" s="2267"/>
      <c r="F48" s="2267"/>
      <c r="G48" s="2267"/>
      <c r="H48" s="2267"/>
      <c r="I48" s="2267"/>
      <c r="J48" s="2267"/>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2061</v>
      </c>
      <c r="B49" s="125">
        <v>5.0000000000000001E-4</v>
      </c>
      <c r="C49" s="1761" t="s">
        <v>2062</v>
      </c>
      <c r="D49" s="2268"/>
      <c r="E49" s="2267"/>
      <c r="F49" s="2267"/>
      <c r="G49" s="2267"/>
      <c r="H49" s="2267"/>
      <c r="I49" s="2267"/>
      <c r="J49" s="2267"/>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2063</v>
      </c>
      <c r="B50" s="130">
        <v>1.2E-2</v>
      </c>
      <c r="C50" s="1425"/>
      <c r="D50" s="2268"/>
      <c r="E50" s="2267"/>
      <c r="F50" s="2267"/>
      <c r="G50" s="2267"/>
      <c r="H50" s="2267"/>
      <c r="I50" s="2267"/>
      <c r="J50" s="2267"/>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2064</v>
      </c>
      <c r="B51" s="131">
        <v>0.12</v>
      </c>
      <c r="C51" s="1425"/>
      <c r="D51" s="2268"/>
      <c r="E51" s="2267"/>
      <c r="F51" s="2267"/>
      <c r="G51" s="2267"/>
      <c r="H51" s="2267"/>
      <c r="I51" s="2267"/>
      <c r="J51" s="2267"/>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2065</v>
      </c>
      <c r="B52" s="132">
        <f>SUMIF(A54:A63,B53,B54:B63)</f>
        <v>1.5</v>
      </c>
      <c r="C52" s="1425"/>
      <c r="D52" s="2268"/>
      <c r="E52" s="2267"/>
      <c r="F52" s="2267"/>
      <c r="G52" s="2267"/>
      <c r="H52" s="2267"/>
      <c r="I52" s="2267"/>
      <c r="J52" s="2267"/>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2066</v>
      </c>
      <c r="B53" s="2326" t="s">
        <v>56</v>
      </c>
      <c r="C53" s="1425" t="s">
        <v>2067</v>
      </c>
      <c r="D53" s="2327" t="s">
        <v>2068</v>
      </c>
      <c r="E53" s="2267"/>
      <c r="F53" s="2267"/>
      <c r="G53" s="2267"/>
      <c r="H53" s="2267"/>
      <c r="I53" s="2267"/>
      <c r="J53" s="2267"/>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2069</v>
      </c>
      <c r="B54" s="84"/>
      <c r="C54" s="1425">
        <v>30</v>
      </c>
      <c r="D54" s="2268"/>
      <c r="E54" s="2267"/>
      <c r="F54" s="2267"/>
      <c r="G54" s="2267"/>
      <c r="H54" s="2267"/>
      <c r="I54" s="2267"/>
      <c r="J54" s="2267"/>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2070</v>
      </c>
      <c r="B55" s="84"/>
      <c r="C55" s="1425">
        <v>24</v>
      </c>
      <c r="D55" s="2268"/>
      <c r="E55" s="2267"/>
      <c r="F55" s="2267"/>
      <c r="G55" s="2267"/>
      <c r="H55" s="2267"/>
      <c r="I55" s="2329"/>
      <c r="J55" s="2267"/>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2071</v>
      </c>
      <c r="B56" s="84"/>
      <c r="C56" s="1425">
        <v>18</v>
      </c>
      <c r="D56" s="2268"/>
      <c r="E56" s="2267"/>
      <c r="F56" s="2267"/>
      <c r="G56" s="2267"/>
      <c r="H56" s="2267"/>
      <c r="I56" s="2267"/>
      <c r="J56" s="2267"/>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2072</v>
      </c>
      <c r="B57" s="84"/>
      <c r="C57" s="1425">
        <v>12</v>
      </c>
      <c r="D57" s="2268"/>
      <c r="E57" s="2267"/>
      <c r="F57" s="2267"/>
      <c r="G57" s="2267"/>
      <c r="H57" s="2267"/>
      <c r="I57" s="2267"/>
      <c r="J57" s="2267"/>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2073</v>
      </c>
      <c r="B58" s="84"/>
      <c r="C58" s="1425">
        <v>3</v>
      </c>
      <c r="D58" s="2268"/>
      <c r="E58" s="2267"/>
      <c r="F58" s="2267"/>
      <c r="G58" s="2267"/>
      <c r="H58" s="2267"/>
      <c r="I58" s="2267"/>
      <c r="J58" s="2267"/>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2074</v>
      </c>
      <c r="B59" s="84">
        <v>1.5</v>
      </c>
      <c r="C59" s="1425">
        <v>1.5</v>
      </c>
      <c r="D59" s="2268"/>
      <c r="E59" s="2267"/>
      <c r="F59" s="2267"/>
      <c r="G59" s="2267"/>
      <c r="H59" s="2267"/>
      <c r="I59" s="2267"/>
      <c r="J59" s="2267"/>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2075</v>
      </c>
      <c r="B60" s="84"/>
      <c r="C60" s="2267"/>
      <c r="D60" s="2268"/>
      <c r="E60" s="2267"/>
      <c r="F60" s="2267"/>
      <c r="G60" s="2267"/>
      <c r="H60" s="2267"/>
      <c r="I60" s="2267"/>
      <c r="J60" s="2267"/>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2076</v>
      </c>
      <c r="B61" s="84"/>
      <c r="C61" s="2267"/>
      <c r="D61" s="2268"/>
      <c r="E61" s="2267"/>
      <c r="F61" s="2267"/>
      <c r="G61" s="2267"/>
      <c r="H61" s="2267"/>
      <c r="I61" s="2267"/>
      <c r="J61" s="2267"/>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2077</v>
      </c>
      <c r="B62" s="84"/>
      <c r="C62" s="2267"/>
      <c r="D62" s="2268"/>
      <c r="E62" s="2267"/>
      <c r="F62" s="2267"/>
      <c r="G62" s="2267"/>
      <c r="H62" s="2267"/>
      <c r="I62" s="2267"/>
      <c r="J62" s="2267"/>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2078</v>
      </c>
      <c r="B63" s="133"/>
      <c r="C63" s="2267"/>
      <c r="D63" s="2268"/>
      <c r="E63" s="2267"/>
      <c r="F63" s="2267"/>
      <c r="G63" s="2267"/>
      <c r="H63" s="2267"/>
      <c r="I63" s="2267"/>
      <c r="J63" s="2267"/>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6"/>
      <c r="L64" s="796"/>
    </row>
    <row r="65" spans="1:12" s="962" customFormat="1">
      <c r="A65" s="2331"/>
      <c r="D65" s="2332"/>
      <c r="K65" s="796"/>
      <c r="L65" s="796"/>
    </row>
    <row r="66" spans="1:12" s="962" customFormat="1">
      <c r="A66" s="2331"/>
      <c r="D66" s="2332"/>
      <c r="K66" s="796"/>
      <c r="L66" s="796"/>
    </row>
    <row r="67" spans="1:12" s="962" customFormat="1">
      <c r="A67" s="2331"/>
      <c r="D67" s="2332"/>
      <c r="K67" s="796"/>
      <c r="L67" s="796"/>
    </row>
    <row r="68" spans="1:12" s="962" customFormat="1">
      <c r="A68" s="2331"/>
      <c r="D68" s="2332"/>
      <c r="K68" s="796"/>
      <c r="L68" s="796"/>
    </row>
    <row r="69" spans="1:12" s="962" customFormat="1">
      <c r="A69" s="2331"/>
      <c r="D69" s="2332"/>
      <c r="K69" s="796"/>
      <c r="L69" s="796"/>
    </row>
    <row r="70" spans="1:12" s="962" customFormat="1">
      <c r="A70" s="2331"/>
      <c r="D70" s="2332"/>
      <c r="K70" s="796"/>
      <c r="L70" s="796"/>
    </row>
    <row r="71" spans="1:12" s="962" customFormat="1">
      <c r="A71" s="2331"/>
      <c r="D71" s="2332"/>
      <c r="K71" s="796"/>
      <c r="L71" s="796"/>
    </row>
    <row r="72" spans="1:12" s="962" customFormat="1">
      <c r="A72" s="2331"/>
      <c r="D72" s="2332"/>
      <c r="K72" s="796"/>
      <c r="L72" s="796"/>
    </row>
    <row r="73" spans="1:12" s="962" customFormat="1">
      <c r="A73" s="2331"/>
      <c r="D73" s="2332"/>
      <c r="K73" s="796"/>
      <c r="L73" s="796"/>
    </row>
    <row r="74" spans="1:12" s="962" customFormat="1">
      <c r="A74" s="2331"/>
      <c r="D74" s="2332"/>
      <c r="K74" s="796"/>
      <c r="L74" s="796"/>
    </row>
    <row r="75" spans="1:12" s="962" customFormat="1">
      <c r="A75" s="2331"/>
      <c r="D75" s="2332"/>
      <c r="K75" s="796"/>
      <c r="L75" s="796"/>
    </row>
    <row r="76" spans="1:12" s="962" customFormat="1">
      <c r="A76" s="2331"/>
      <c r="D76" s="2332"/>
      <c r="K76" s="796"/>
      <c r="L76" s="796"/>
    </row>
    <row r="77" spans="1:12" s="962" customFormat="1">
      <c r="A77" s="2331"/>
      <c r="D77" s="2332"/>
      <c r="K77" s="796"/>
      <c r="L77" s="796"/>
    </row>
    <row r="78" spans="1:12" s="962" customFormat="1">
      <c r="A78" s="2331"/>
      <c r="D78" s="2332"/>
      <c r="K78" s="796"/>
      <c r="L78" s="796"/>
    </row>
    <row r="79" spans="1:12" s="962" customFormat="1">
      <c r="A79" s="2331"/>
      <c r="D79" s="2332"/>
      <c r="K79" s="796"/>
      <c r="L79" s="796"/>
    </row>
    <row r="80" spans="1:12" s="962" customFormat="1">
      <c r="A80" s="2331"/>
      <c r="D80" s="2332"/>
      <c r="K80" s="796"/>
      <c r="L80" s="796"/>
    </row>
    <row r="81" spans="1:12" s="962" customFormat="1">
      <c r="A81" s="2331"/>
      <c r="D81" s="2332"/>
      <c r="K81" s="796"/>
      <c r="L81" s="796"/>
    </row>
    <row r="82" spans="1:12" s="962" customFormat="1">
      <c r="A82" s="2331"/>
      <c r="D82" s="2332"/>
      <c r="K82" s="796"/>
      <c r="L82" s="796"/>
    </row>
    <row r="83" spans="1:12" s="962" customFormat="1">
      <c r="A83" s="2331"/>
      <c r="D83" s="2332"/>
      <c r="K83" s="796"/>
      <c r="L83" s="796"/>
    </row>
    <row r="84" spans="1:12" s="962" customFormat="1">
      <c r="A84" s="2331"/>
      <c r="D84" s="2332"/>
      <c r="K84" s="796"/>
      <c r="L84" s="796"/>
    </row>
    <row r="85" spans="1:12" s="962" customFormat="1">
      <c r="A85" s="2331"/>
      <c r="D85" s="2332"/>
      <c r="K85" s="796"/>
      <c r="L85" s="796"/>
    </row>
    <row r="86" spans="1:12" s="962" customFormat="1">
      <c r="A86" s="2331"/>
      <c r="D86" s="2332"/>
      <c r="K86" s="796"/>
      <c r="L86" s="796"/>
    </row>
    <row r="87" spans="1:12" s="962" customFormat="1">
      <c r="A87" s="2331"/>
      <c r="D87" s="2332"/>
      <c r="K87" s="796"/>
      <c r="L87" s="796"/>
    </row>
    <row r="88" spans="1:12" s="962" customFormat="1">
      <c r="A88" s="2331"/>
      <c r="D88" s="2332"/>
      <c r="K88" s="796"/>
      <c r="L88" s="796"/>
    </row>
    <row r="89" spans="1:12" s="962" customFormat="1">
      <c r="A89" s="2331"/>
      <c r="D89" s="2332"/>
      <c r="K89" s="796"/>
      <c r="L89" s="796"/>
    </row>
    <row r="90" spans="1:12" s="962" customFormat="1">
      <c r="A90" s="2331"/>
      <c r="D90" s="2332"/>
      <c r="K90" s="796"/>
      <c r="L90" s="796"/>
    </row>
    <row r="91" spans="1:12" s="962" customFormat="1">
      <c r="A91" s="2331"/>
      <c r="D91" s="2332"/>
      <c r="K91" s="796"/>
      <c r="L91" s="796"/>
    </row>
    <row r="92" spans="1:12" s="962" customFormat="1">
      <c r="A92" s="2331"/>
      <c r="D92" s="2332"/>
      <c r="K92" s="796"/>
      <c r="L92" s="796"/>
    </row>
    <row r="93" spans="1:12" s="962" customFormat="1">
      <c r="A93" s="2331"/>
      <c r="D93" s="2332"/>
      <c r="K93" s="796"/>
      <c r="L93" s="796"/>
    </row>
    <row r="94" spans="1:12" s="962" customFormat="1">
      <c r="A94" s="2331"/>
      <c r="D94" s="2332"/>
      <c r="K94" s="796"/>
      <c r="L94" s="796"/>
    </row>
    <row r="95" spans="1:12" s="962" customFormat="1">
      <c r="A95" s="2331"/>
      <c r="D95" s="2332"/>
      <c r="K95" s="796"/>
      <c r="L95" s="796"/>
    </row>
    <row r="96" spans="1:12" s="962" customFormat="1">
      <c r="A96" s="2331"/>
      <c r="D96" s="2332"/>
      <c r="K96" s="796"/>
      <c r="L96" s="796"/>
    </row>
    <row r="97" spans="1:12" s="962" customFormat="1">
      <c r="A97" s="2331"/>
      <c r="D97" s="2332"/>
      <c r="K97" s="796"/>
      <c r="L97" s="796"/>
    </row>
    <row r="98" spans="1:12" s="962" customFormat="1">
      <c r="A98" s="2331"/>
      <c r="D98" s="2332"/>
      <c r="K98" s="796"/>
      <c r="L98" s="796"/>
    </row>
    <row r="99" spans="1:12" s="962" customFormat="1">
      <c r="A99" s="2331"/>
      <c r="D99" s="2332"/>
      <c r="K99" s="796"/>
      <c r="L99" s="796"/>
    </row>
    <row r="100" spans="1:12" s="962" customFormat="1">
      <c r="A100" s="2331"/>
      <c r="D100" s="2332"/>
      <c r="K100" s="796"/>
      <c r="L100" s="796"/>
    </row>
    <row r="101" spans="1:12" s="962" customFormat="1">
      <c r="A101" s="2331"/>
      <c r="D101" s="2332"/>
      <c r="K101" s="796"/>
      <c r="L101" s="796"/>
    </row>
    <row r="102" spans="1:12" s="962" customFormat="1">
      <c r="A102" s="2331"/>
      <c r="D102" s="2332"/>
      <c r="K102" s="796"/>
      <c r="L102" s="796"/>
    </row>
    <row r="103" spans="1:12" s="962" customFormat="1">
      <c r="A103" s="2331"/>
      <c r="D103" s="2332"/>
      <c r="K103" s="796"/>
      <c r="L103" s="796"/>
    </row>
    <row r="104" spans="1:12" s="962" customFormat="1">
      <c r="A104" s="2331"/>
      <c r="D104" s="2332"/>
      <c r="K104" s="796"/>
      <c r="L104" s="796"/>
    </row>
    <row r="105" spans="1:12" s="962" customFormat="1">
      <c r="A105" s="2331"/>
      <c r="D105" s="2332"/>
      <c r="K105" s="796"/>
      <c r="L105" s="796"/>
    </row>
    <row r="106" spans="1:12" s="962" customFormat="1">
      <c r="A106" s="2331"/>
      <c r="D106" s="2332"/>
      <c r="K106" s="796"/>
      <c r="L106" s="796"/>
    </row>
    <row r="107" spans="1:12" s="962" customFormat="1">
      <c r="A107" s="2331"/>
      <c r="D107" s="2332"/>
      <c r="K107" s="796"/>
      <c r="L107" s="796"/>
    </row>
    <row r="108" spans="1:12" s="962" customFormat="1">
      <c r="A108" s="2331"/>
      <c r="D108" s="2332"/>
      <c r="K108" s="796"/>
      <c r="L108" s="796"/>
    </row>
    <row r="109" spans="1:12" s="962" customFormat="1">
      <c r="A109" s="2331"/>
      <c r="D109" s="2332"/>
      <c r="K109" s="796"/>
      <c r="L109" s="796"/>
    </row>
    <row r="110" spans="1:12" s="962" customFormat="1">
      <c r="A110" s="2331"/>
      <c r="D110" s="2332"/>
      <c r="K110" s="796"/>
      <c r="L110" s="796"/>
    </row>
    <row r="111" spans="1:12" s="962" customFormat="1">
      <c r="A111" s="2331"/>
      <c r="D111" s="2332"/>
      <c r="K111" s="796"/>
      <c r="L111" s="796"/>
    </row>
    <row r="112" spans="1:12" s="962" customFormat="1">
      <c r="A112" s="2331"/>
      <c r="D112" s="2332"/>
      <c r="K112" s="796"/>
      <c r="L112" s="796"/>
    </row>
    <row r="113" spans="1:12" s="962" customFormat="1">
      <c r="A113" s="2331"/>
      <c r="D113" s="2332"/>
      <c r="K113" s="796"/>
      <c r="L113" s="796"/>
    </row>
    <row r="114" spans="1:12" s="962" customFormat="1">
      <c r="A114" s="2331"/>
      <c r="D114" s="2332"/>
      <c r="K114" s="796"/>
      <c r="L114" s="796"/>
    </row>
    <row r="115" spans="1:12" s="962" customFormat="1">
      <c r="A115" s="2331"/>
      <c r="D115" s="2332"/>
      <c r="K115" s="796"/>
      <c r="L115" s="796"/>
    </row>
    <row r="116" spans="1:12" s="962" customFormat="1">
      <c r="A116" s="2331"/>
      <c r="D116" s="2332"/>
      <c r="K116" s="796"/>
      <c r="L116" s="796"/>
    </row>
    <row r="117" spans="1:12" s="962" customFormat="1">
      <c r="A117" s="2331"/>
      <c r="D117" s="2332"/>
      <c r="K117" s="796"/>
      <c r="L117" s="796"/>
    </row>
    <row r="118" spans="1:12" s="962" customFormat="1">
      <c r="A118" s="2331"/>
      <c r="D118" s="2332"/>
      <c r="K118" s="796"/>
      <c r="L118" s="796"/>
    </row>
    <row r="119" spans="1:12" s="962" customFormat="1">
      <c r="A119" s="2331"/>
      <c r="D119" s="2332"/>
      <c r="K119" s="796"/>
      <c r="L119" s="796"/>
    </row>
    <row r="120" spans="1:12" s="962" customFormat="1">
      <c r="A120" s="2331"/>
      <c r="D120" s="2332"/>
      <c r="K120" s="796"/>
      <c r="L120" s="796"/>
    </row>
    <row r="121" spans="1:12" s="962" customFormat="1">
      <c r="A121" s="2331"/>
      <c r="D121" s="2332"/>
      <c r="K121" s="796"/>
      <c r="L121" s="796"/>
    </row>
    <row r="122" spans="1:12" s="962" customFormat="1">
      <c r="A122" s="2331"/>
      <c r="D122" s="2332"/>
      <c r="K122" s="796"/>
      <c r="L122" s="796"/>
    </row>
    <row r="123" spans="1:12" s="962" customFormat="1">
      <c r="A123" s="2331"/>
      <c r="D123" s="2332"/>
      <c r="K123" s="796"/>
      <c r="L123" s="796"/>
    </row>
    <row r="124" spans="1:12" s="962" customFormat="1">
      <c r="A124" s="2331"/>
      <c r="D124" s="2332"/>
      <c r="K124" s="796"/>
      <c r="L124" s="796"/>
    </row>
    <row r="125" spans="1:12" s="962" customFormat="1">
      <c r="A125" s="2331"/>
      <c r="D125" s="2332"/>
      <c r="K125" s="796"/>
      <c r="L125" s="796"/>
    </row>
    <row r="126" spans="1:12" s="962" customFormat="1">
      <c r="A126" s="2331"/>
      <c r="D126" s="2332"/>
      <c r="K126" s="796"/>
      <c r="L126" s="796"/>
    </row>
    <row r="127" spans="1:12" s="962" customFormat="1">
      <c r="A127" s="2331"/>
      <c r="D127" s="2332"/>
      <c r="K127" s="796"/>
      <c r="L127" s="796"/>
    </row>
    <row r="128" spans="1:12" s="962" customFormat="1">
      <c r="A128" s="2331"/>
      <c r="D128" s="2332"/>
      <c r="K128" s="796"/>
      <c r="L128" s="796"/>
    </row>
    <row r="129" spans="1:12" s="962" customFormat="1">
      <c r="A129" s="2331"/>
      <c r="D129" s="2332"/>
      <c r="K129" s="796"/>
      <c r="L129" s="796"/>
    </row>
    <row r="130" spans="1:12" s="962" customFormat="1">
      <c r="A130" s="2331"/>
      <c r="D130" s="2332"/>
      <c r="K130" s="796"/>
      <c r="L130" s="796"/>
    </row>
    <row r="131" spans="1:12" s="962" customFormat="1">
      <c r="A131" s="2331"/>
      <c r="D131" s="2332"/>
      <c r="K131" s="796"/>
      <c r="L131" s="796"/>
    </row>
    <row r="132" spans="1:12" s="962" customFormat="1">
      <c r="A132" s="2331"/>
      <c r="D132" s="2332"/>
      <c r="K132" s="796"/>
      <c r="L132" s="796"/>
    </row>
    <row r="133" spans="1:12" s="962" customFormat="1">
      <c r="A133" s="2331"/>
      <c r="D133" s="2332"/>
      <c r="K133" s="796"/>
      <c r="L133" s="796"/>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8" t="s">
        <v>2079</v>
      </c>
      <c r="B1" s="3059"/>
      <c r="C1" s="3059"/>
      <c r="D1" s="3059"/>
      <c r="E1" s="3059"/>
      <c r="F1" s="3059"/>
      <c r="G1" s="3059"/>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2080</v>
      </c>
      <c r="D2" s="2355"/>
      <c r="E2" s="2356"/>
      <c r="F2" s="2276"/>
      <c r="G2" s="2354" t="s">
        <v>2081</v>
      </c>
      <c r="H2" s="2357"/>
      <c r="I2" s="2357"/>
      <c r="J2" s="2357"/>
      <c r="K2" s="2357"/>
      <c r="L2" s="2357"/>
      <c r="M2" s="2357"/>
      <c r="N2" s="2357"/>
      <c r="O2" s="2357"/>
      <c r="P2" s="2357"/>
      <c r="Q2" s="2357"/>
      <c r="R2" s="2357"/>
    </row>
    <row r="3" spans="1:29" ht="54">
      <c r="A3" s="414" t="s">
        <v>2082</v>
      </c>
      <c r="B3" s="1266" t="s">
        <v>2083</v>
      </c>
      <c r="C3" s="2359" t="s">
        <v>2084</v>
      </c>
      <c r="D3" s="2360"/>
      <c r="E3" s="430" t="s">
        <v>2082</v>
      </c>
      <c r="F3" s="2361" t="s">
        <v>2085</v>
      </c>
      <c r="G3" s="2362" t="s">
        <v>2086</v>
      </c>
      <c r="H3" s="2357"/>
      <c r="I3" s="2357"/>
      <c r="J3" s="2357"/>
      <c r="K3" s="2357"/>
      <c r="L3" s="2357"/>
      <c r="M3" s="2357"/>
      <c r="N3" s="2357"/>
      <c r="O3" s="2357"/>
      <c r="P3" s="2357"/>
      <c r="Q3" s="2357"/>
      <c r="R3" s="2357"/>
    </row>
    <row r="4" spans="1:29" ht="41.25">
      <c r="A4" s="430"/>
      <c r="B4" s="1785" t="s">
        <v>2087</v>
      </c>
      <c r="C4" s="2363" t="s">
        <v>2088</v>
      </c>
      <c r="D4" s="2360"/>
      <c r="E4" s="2364"/>
      <c r="F4" s="42" t="s">
        <v>2089</v>
      </c>
      <c r="G4" s="2365" t="s">
        <v>2090</v>
      </c>
      <c r="H4" s="2357"/>
      <c r="I4" s="2357"/>
      <c r="J4" s="2357"/>
      <c r="K4" s="2357"/>
      <c r="L4" s="2357"/>
      <c r="M4" s="2357"/>
      <c r="N4" s="2357"/>
      <c r="O4" s="2357"/>
      <c r="P4" s="2357"/>
      <c r="Q4" s="2357"/>
      <c r="R4" s="2357"/>
    </row>
    <row r="5" spans="1:29" ht="41.25">
      <c r="A5" s="430"/>
      <c r="B5" s="1785" t="s">
        <v>2091</v>
      </c>
      <c r="C5" s="2363" t="s">
        <v>2092</v>
      </c>
      <c r="D5" s="2360"/>
      <c r="E5" s="2364"/>
      <c r="F5" s="1785" t="s">
        <v>2093</v>
      </c>
      <c r="G5" s="2365" t="s">
        <v>2094</v>
      </c>
      <c r="H5" s="2357"/>
      <c r="I5" s="2357"/>
      <c r="J5" s="2357"/>
      <c r="K5" s="2357"/>
      <c r="L5" s="2357"/>
      <c r="M5" s="2357"/>
      <c r="N5" s="2357"/>
      <c r="O5" s="2357"/>
      <c r="P5" s="2357"/>
      <c r="Q5" s="2357"/>
      <c r="R5" s="2357"/>
    </row>
    <row r="6" spans="1:29" ht="54">
      <c r="A6" s="430"/>
      <c r="B6" s="1785" t="s">
        <v>2095</v>
      </c>
      <c r="C6" s="2365" t="s">
        <v>2090</v>
      </c>
      <c r="D6" s="2360"/>
      <c r="E6" s="2364"/>
      <c r="F6" s="1785" t="s">
        <v>2096</v>
      </c>
      <c r="G6" s="2365" t="s">
        <v>2097</v>
      </c>
      <c r="H6" s="2357"/>
      <c r="I6" s="2357"/>
      <c r="J6" s="2357"/>
      <c r="K6" s="2357"/>
      <c r="L6" s="2357"/>
      <c r="M6" s="2357"/>
      <c r="N6" s="2357"/>
      <c r="O6" s="2357"/>
      <c r="P6" s="2357"/>
      <c r="Q6" s="2357"/>
      <c r="R6" s="2357"/>
    </row>
    <row r="7" spans="1:29" ht="41.25" thickBot="1">
      <c r="A7" s="430"/>
      <c r="B7" s="1785" t="s">
        <v>2093</v>
      </c>
      <c r="C7" s="2365" t="s">
        <v>2094</v>
      </c>
      <c r="D7" s="2366"/>
      <c r="E7" s="2367"/>
      <c r="F7" s="2368" t="s">
        <v>2098</v>
      </c>
      <c r="G7" s="2369" t="s">
        <v>2099</v>
      </c>
      <c r="H7" s="2357"/>
      <c r="I7" s="2357"/>
      <c r="J7" s="2357"/>
      <c r="K7" s="2357"/>
      <c r="L7" s="2357"/>
      <c r="M7" s="2357"/>
      <c r="N7" s="2357"/>
      <c r="O7" s="2357"/>
      <c r="P7" s="2357"/>
      <c r="Q7" s="2357"/>
      <c r="R7" s="2357"/>
    </row>
    <row r="8" spans="1:29" ht="27">
      <c r="A8" s="430"/>
      <c r="B8" s="1785" t="s">
        <v>2096</v>
      </c>
      <c r="C8" s="2365" t="s">
        <v>2097</v>
      </c>
      <c r="D8" s="2366"/>
      <c r="E8" s="2366"/>
      <c r="F8" s="1131"/>
      <c r="G8" s="1131"/>
      <c r="H8" s="2357"/>
      <c r="I8" s="2357"/>
      <c r="J8" s="2357"/>
      <c r="K8" s="2357"/>
      <c r="L8" s="2357"/>
      <c r="M8" s="2357"/>
      <c r="N8" s="2357"/>
      <c r="O8" s="2357"/>
      <c r="P8" s="2357"/>
      <c r="Q8" s="2357"/>
      <c r="R8" s="2357"/>
    </row>
    <row r="9" spans="1:29" ht="27">
      <c r="A9" s="430"/>
      <c r="B9" s="1785" t="s">
        <v>2100</v>
      </c>
      <c r="C9" s="2363" t="s">
        <v>2101</v>
      </c>
      <c r="D9" s="2360"/>
      <c r="E9" s="2366"/>
      <c r="F9" s="1131"/>
      <c r="G9" s="1131"/>
      <c r="H9" s="2357"/>
      <c r="I9" s="2357"/>
      <c r="J9" s="2357"/>
      <c r="K9" s="2357"/>
      <c r="L9" s="2357"/>
      <c r="M9" s="2357"/>
      <c r="N9" s="2357"/>
      <c r="O9" s="2357"/>
      <c r="P9" s="2357"/>
      <c r="Q9" s="2357"/>
      <c r="R9" s="2357"/>
    </row>
    <row r="10" spans="1:29" s="117" customFormat="1" ht="15.75" thickBot="1">
      <c r="A10" s="2370"/>
      <c r="B10" s="2371" t="s">
        <v>2102</v>
      </c>
      <c r="C10" s="2372"/>
      <c r="D10" s="2360"/>
      <c r="E10" s="2360"/>
      <c r="F10" s="1131"/>
      <c r="G10" s="1131"/>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49"/>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9"/>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2103</v>
      </c>
      <c r="B13" s="2377"/>
      <c r="C13" s="2377"/>
      <c r="D13" s="2384"/>
      <c r="E13" s="2377"/>
      <c r="F13" s="2377"/>
      <c r="G13" s="2377"/>
    </row>
    <row r="14" spans="1:29" ht="15.75" thickBot="1">
      <c r="A14" s="2388"/>
      <c r="B14" s="2389"/>
      <c r="C14" s="2390" t="s">
        <v>2104</v>
      </c>
      <c r="D14" s="2360"/>
      <c r="E14" s="2391"/>
      <c r="F14" s="2391"/>
      <c r="G14" s="2354" t="s">
        <v>2105</v>
      </c>
    </row>
    <row r="15" spans="1:29" ht="57">
      <c r="A15" s="68" t="s">
        <v>2106</v>
      </c>
      <c r="B15" s="1265" t="s">
        <v>2083</v>
      </c>
      <c r="C15" s="2392" t="str">
        <f>C3</f>
        <v>估价对象周边居住用地比例、居住小区规模和社区发展完善程度，综合评价居住社区成熟度一般</v>
      </c>
      <c r="D15" s="2360"/>
      <c r="E15" s="2393" t="s">
        <v>2107</v>
      </c>
      <c r="F15" s="1265" t="s">
        <v>2108</v>
      </c>
      <c r="G15" s="134" t="str">
        <f>G3</f>
        <v>估价对象位于XX开发区，园区建设成熟度XX，产业集聚程度XX</v>
      </c>
    </row>
    <row r="16" spans="1:29" ht="42.75">
      <c r="A16" s="644"/>
      <c r="B16" s="2394" t="s">
        <v>2087</v>
      </c>
      <c r="C16" s="2395" t="str">
        <f>C4</f>
        <v>估价对象位于XX商圈，周边商业氛围成熟，人流量大，商业繁华度好</v>
      </c>
      <c r="D16" s="2360"/>
      <c r="E16" s="2396"/>
      <c r="F16" s="2397" t="s">
        <v>2089</v>
      </c>
      <c r="G16" s="135" t="str">
        <f>G4</f>
        <v>估价对象周边道路状况、公共交通通达情况、停车便捷程度，综合评价交通便捷度较好</v>
      </c>
    </row>
    <row r="17" spans="1:18" ht="42.75">
      <c r="A17" s="644"/>
      <c r="B17" s="2394" t="s">
        <v>2091</v>
      </c>
      <c r="C17" s="2395" t="str">
        <f>C5</f>
        <v>估价对象位于XX商圈，周边办公楼项目较多，入驻率高，办公集聚程度较好</v>
      </c>
      <c r="D17" s="2366"/>
      <c r="E17" s="2396"/>
      <c r="F17" s="2397" t="s">
        <v>2109</v>
      </c>
      <c r="G17" s="1567"/>
    </row>
    <row r="18" spans="1:18" ht="57">
      <c r="A18" s="644"/>
      <c r="B18" s="2397" t="s">
        <v>2095</v>
      </c>
      <c r="C18" s="135" t="str">
        <f>C6</f>
        <v>估价对象周边道路状况、公共交通通达情况、停车便捷程度，综合评价交通便捷度较好</v>
      </c>
      <c r="D18" s="2366"/>
      <c r="E18" s="2396"/>
      <c r="F18" s="2397" t="s">
        <v>2098</v>
      </c>
      <c r="G18" s="135" t="str">
        <f>G7</f>
        <v>该园区内是否有污染型企业，绿化情况，卫生条件，整体环境状况判断</v>
      </c>
    </row>
    <row r="19" spans="1:18" ht="28.5">
      <c r="A19" s="644"/>
      <c r="B19" s="2397" t="s">
        <v>2110</v>
      </c>
      <c r="C19" s="1567"/>
      <c r="D19" s="2360"/>
      <c r="E19" s="2396"/>
      <c r="F19" s="1785" t="s">
        <v>2093</v>
      </c>
      <c r="G19" s="135" t="str">
        <f>G5</f>
        <v>估价对象所在区域公共配套设施齐备情况</v>
      </c>
    </row>
    <row r="20" spans="1:18" ht="28.5">
      <c r="A20" s="644"/>
      <c r="B20" s="2397" t="s">
        <v>2111</v>
      </c>
      <c r="C20" s="2395" t="str">
        <f>C9</f>
        <v>区域自然环境：；人文环境；综合评价环境状况一般</v>
      </c>
      <c r="D20" s="2366"/>
      <c r="E20" s="2396"/>
      <c r="F20" s="1785" t="s">
        <v>2112</v>
      </c>
      <c r="G20" s="135" t="str">
        <f>G6</f>
        <v>估价对象所在区域基础设施水平</v>
      </c>
    </row>
    <row r="21" spans="1:18" ht="28.5">
      <c r="A21" s="644"/>
      <c r="B21" s="1785" t="s">
        <v>2093</v>
      </c>
      <c r="C21" s="135" t="str">
        <f>C7</f>
        <v>估价对象所在区域公共配套设施齐备情况</v>
      </c>
      <c r="D21" s="2360"/>
      <c r="E21" s="2396"/>
      <c r="F21" s="2397" t="s">
        <v>2113</v>
      </c>
      <c r="G21" s="2398"/>
    </row>
    <row r="22" spans="1:18" ht="13.5" customHeight="1">
      <c r="A22" s="644"/>
      <c r="B22" s="1785" t="s">
        <v>2096</v>
      </c>
      <c r="C22" s="135" t="str">
        <f>C8</f>
        <v>估价对象所在区域基础设施水平</v>
      </c>
      <c r="D22" s="2360"/>
      <c r="E22" s="2396"/>
      <c r="F22" s="2397" t="s">
        <v>2102</v>
      </c>
      <c r="G22" s="1567"/>
    </row>
    <row r="23" spans="1:18" s="2357" customFormat="1" ht="15.75" thickBot="1">
      <c r="A23" s="644"/>
      <c r="B23" s="2397" t="s">
        <v>2113</v>
      </c>
      <c r="C23" s="2398"/>
      <c r="D23" s="2385"/>
      <c r="E23" s="2399"/>
      <c r="F23" s="2400" t="s">
        <v>2114</v>
      </c>
      <c r="G23" s="2401"/>
      <c r="H23" s="2385"/>
      <c r="I23" s="2386"/>
      <c r="J23" s="2385"/>
      <c r="K23" s="2385"/>
      <c r="L23" s="2386"/>
      <c r="M23" s="2385"/>
      <c r="N23" s="2385"/>
      <c r="O23" s="2386"/>
      <c r="P23" s="2385"/>
      <c r="Q23" s="2385"/>
      <c r="R23" s="2387"/>
    </row>
    <row r="24" spans="1:18" s="2357" customFormat="1" ht="15.75" thickBot="1">
      <c r="A24" s="2402"/>
      <c r="B24" s="2400" t="s">
        <v>2115</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66988.94</v>
      </c>
      <c r="C1" s="2948"/>
      <c r="D1" s="2948"/>
      <c r="E1" s="2948"/>
      <c r="F1" s="2948"/>
      <c r="G1" s="2949"/>
    </row>
    <row r="2" spans="1:10" ht="16.5">
      <c r="A2" s="2951" t="s">
        <v>1348</v>
      </c>
      <c r="B2" s="2951">
        <f>SUM(C14:C23)</f>
        <v>120628.8</v>
      </c>
      <c r="C2" s="2948"/>
      <c r="D2" s="2948"/>
      <c r="E2" s="2948"/>
      <c r="F2" s="2948"/>
      <c r="G2" s="2949"/>
    </row>
    <row r="3" spans="1:10" ht="16.5">
      <c r="A3" s="2951" t="s">
        <v>1357</v>
      </c>
      <c r="B3" s="2952">
        <f>项目基本情况!D3</f>
        <v>44005</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39767</v>
      </c>
      <c r="C5" s="2951">
        <f ca="1">ROUND(B5*10000/$B$1,0)</f>
        <v>5936</v>
      </c>
      <c r="D5" s="2951">
        <f ca="1">ROUND(B5*10000/$B$2,0)</f>
        <v>3297</v>
      </c>
      <c r="E5" s="2948"/>
      <c r="F5" s="2949"/>
      <c r="G5" s="2949"/>
    </row>
    <row r="6" spans="1:10" ht="16.5">
      <c r="A6" s="2951" t="s">
        <v>1351</v>
      </c>
      <c r="B6" s="2951">
        <f ca="1">SUM(G14:G23)</f>
        <v>39767</v>
      </c>
      <c r="C6" s="2951">
        <f ca="1">ROUND(B6*10000/$B$1,0)</f>
        <v>5936</v>
      </c>
      <c r="D6" s="2951">
        <f ca="1">ROUND(B6*10000/$B$2,0)</f>
        <v>3297</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6"/>
      <c r="C9" s="2948"/>
      <c r="D9" s="2948"/>
      <c r="E9" s="2948"/>
      <c r="F9" s="2949"/>
      <c r="G9" s="2949"/>
    </row>
    <row r="10" spans="1:10" ht="16.5">
      <c r="A10" s="2951" t="s">
        <v>1349</v>
      </c>
      <c r="B10" s="1736"/>
      <c r="C10" s="2948"/>
      <c r="D10" s="2948"/>
      <c r="E10" s="2948"/>
      <c r="F10" s="2949"/>
      <c r="G10" s="2949"/>
    </row>
    <row r="11" spans="1:10" ht="16.5">
      <c r="A11" s="2951" t="s">
        <v>1365</v>
      </c>
      <c r="B11" s="1736"/>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66988.94</v>
      </c>
      <c r="C14" s="2956">
        <f>结果表!C118</f>
        <v>120628.8</v>
      </c>
      <c r="D14" s="2956">
        <f ca="1">结果表!H118</f>
        <v>39767</v>
      </c>
      <c r="E14" s="2954">
        <f ca="1">ROUND(D14*10000/B14,0)</f>
        <v>5936</v>
      </c>
      <c r="F14" s="2954">
        <f ca="1">ROUND(D14*10000/C14,0)</f>
        <v>3297</v>
      </c>
      <c r="G14" s="2956">
        <f ca="1">结果表!D122</f>
        <v>39767</v>
      </c>
      <c r="H14" s="2956" t="str">
        <f>结果表!D124</f>
        <v>——</v>
      </c>
      <c r="I14" s="2956" t="str">
        <f>结果表!D126</f>
        <v>——</v>
      </c>
      <c r="J14" s="2949"/>
    </row>
    <row r="15" spans="1:10" ht="16.5">
      <c r="A15" s="2955" t="s">
        <v>1344</v>
      </c>
      <c r="B15" s="1737"/>
      <c r="C15" s="1737"/>
      <c r="D15" s="1737"/>
      <c r="E15" s="2954" t="e">
        <f t="shared" ref="E15:E23" si="0">ROUND(D15*10000/B15,0)</f>
        <v>#DIV/0!</v>
      </c>
      <c r="F15" s="2954" t="e">
        <f t="shared" ref="F15:F23" si="1">ROUND(D15*10000/C15,0)</f>
        <v>#DIV/0!</v>
      </c>
      <c r="G15" s="1738"/>
      <c r="H15" s="1738"/>
      <c r="I15" s="1737"/>
      <c r="J15" s="2949"/>
    </row>
    <row r="16" spans="1:10" ht="16.5">
      <c r="A16" s="2955" t="s">
        <v>1343</v>
      </c>
      <c r="B16" s="1737"/>
      <c r="C16" s="1737"/>
      <c r="D16" s="1737"/>
      <c r="E16" s="2954" t="e">
        <f t="shared" si="0"/>
        <v>#DIV/0!</v>
      </c>
      <c r="F16" s="2954" t="e">
        <f t="shared" si="1"/>
        <v>#DIV/0!</v>
      </c>
      <c r="G16" s="1738"/>
      <c r="H16" s="1738"/>
      <c r="I16" s="1737"/>
    </row>
    <row r="17" spans="1:9" ht="16.5">
      <c r="A17" s="2955" t="s">
        <v>1342</v>
      </c>
      <c r="B17" s="1737"/>
      <c r="C17" s="1737"/>
      <c r="D17" s="1737"/>
      <c r="E17" s="2954" t="e">
        <f t="shared" si="0"/>
        <v>#DIV/0!</v>
      </c>
      <c r="F17" s="2954" t="e">
        <f t="shared" si="1"/>
        <v>#DIV/0!</v>
      </c>
      <c r="G17" s="1738"/>
      <c r="H17" s="1738"/>
      <c r="I17" s="1737"/>
    </row>
    <row r="18" spans="1:9" ht="16.5">
      <c r="A18" s="2955" t="s">
        <v>1341</v>
      </c>
      <c r="B18" s="1737"/>
      <c r="C18" s="1737"/>
      <c r="D18" s="1737"/>
      <c r="E18" s="2954" t="e">
        <f t="shared" si="0"/>
        <v>#DIV/0!</v>
      </c>
      <c r="F18" s="2954" t="e">
        <f t="shared" si="1"/>
        <v>#DIV/0!</v>
      </c>
      <c r="G18" s="1737"/>
      <c r="H18" s="1737"/>
      <c r="I18" s="1737"/>
    </row>
    <row r="19" spans="1:9" ht="16.5">
      <c r="A19" s="2955" t="s">
        <v>1340</v>
      </c>
      <c r="B19" s="1737"/>
      <c r="C19" s="1737"/>
      <c r="D19" s="1737"/>
      <c r="E19" s="2954" t="e">
        <f t="shared" si="0"/>
        <v>#DIV/0!</v>
      </c>
      <c r="F19" s="2954" t="e">
        <f t="shared" si="1"/>
        <v>#DIV/0!</v>
      </c>
      <c r="G19" s="1737"/>
      <c r="H19" s="1737"/>
      <c r="I19" s="1737"/>
    </row>
    <row r="20" spans="1:9" ht="16.5">
      <c r="A20" s="2955" t="s">
        <v>1339</v>
      </c>
      <c r="B20" s="1737"/>
      <c r="C20" s="1737"/>
      <c r="D20" s="1737"/>
      <c r="E20" s="2954" t="e">
        <f t="shared" si="0"/>
        <v>#DIV/0!</v>
      </c>
      <c r="F20" s="2954" t="e">
        <f t="shared" si="1"/>
        <v>#DIV/0!</v>
      </c>
      <c r="G20" s="1737"/>
      <c r="H20" s="1737"/>
      <c r="I20" s="1737"/>
    </row>
    <row r="21" spans="1:9" ht="16.5">
      <c r="A21" s="2955" t="s">
        <v>1338</v>
      </c>
      <c r="B21" s="1737"/>
      <c r="C21" s="1737"/>
      <c r="D21" s="1737"/>
      <c r="E21" s="2954" t="e">
        <f t="shared" si="0"/>
        <v>#DIV/0!</v>
      </c>
      <c r="F21" s="2954" t="e">
        <f t="shared" si="1"/>
        <v>#DIV/0!</v>
      </c>
      <c r="G21" s="1737"/>
      <c r="H21" s="1737"/>
      <c r="I21" s="1737"/>
    </row>
    <row r="22" spans="1:9" ht="16.5">
      <c r="A22" s="2955" t="s">
        <v>1337</v>
      </c>
      <c r="B22" s="1737"/>
      <c r="C22" s="1737"/>
      <c r="D22" s="1737"/>
      <c r="E22" s="2954" t="e">
        <f t="shared" si="0"/>
        <v>#DIV/0!</v>
      </c>
      <c r="F22" s="2954" t="e">
        <f t="shared" si="1"/>
        <v>#DIV/0!</v>
      </c>
      <c r="G22" s="1737"/>
      <c r="H22" s="1737"/>
      <c r="I22" s="1737"/>
    </row>
    <row r="23" spans="1:9" ht="16.5">
      <c r="A23" s="2955" t="s">
        <v>1336</v>
      </c>
      <c r="B23" s="1737"/>
      <c r="C23" s="1737"/>
      <c r="D23" s="1737"/>
      <c r="E23" s="2951" t="e">
        <f t="shared" si="0"/>
        <v>#DIV/0!</v>
      </c>
      <c r="F23" s="2951"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5" t="s">
        <v>2116</v>
      </c>
      <c r="B1" s="2408"/>
      <c r="C1" s="2409"/>
      <c r="D1" s="2408"/>
      <c r="E1" s="2408"/>
      <c r="F1" s="2410" t="s">
        <v>2117</v>
      </c>
      <c r="G1" s="2060" t="s">
        <v>3100</v>
      </c>
      <c r="H1" s="2411" t="str">
        <f>IF(G1="现房","——","估价对象范围")</f>
        <v>——</v>
      </c>
      <c r="I1" s="2412"/>
    </row>
    <row r="2" spans="1:12" ht="21.75" customHeight="1" thickBot="1">
      <c r="A2" s="3093" t="str">
        <f>项目基本情况!S2</f>
        <v>北京市房地产</v>
      </c>
      <c r="B2" s="3094"/>
      <c r="C2" s="3094"/>
      <c r="D2" s="3094"/>
      <c r="E2" s="3094"/>
      <c r="F2" s="3094"/>
      <c r="G2" s="3094"/>
      <c r="H2" s="3094"/>
      <c r="I2" s="3095"/>
    </row>
    <row r="3" spans="1:12" ht="12.75">
      <c r="A3" s="3097" t="s">
        <v>2118</v>
      </c>
      <c r="B3" s="3098"/>
      <c r="C3" s="3098"/>
      <c r="D3" s="3098"/>
      <c r="E3" s="3098"/>
      <c r="F3" s="3098"/>
      <c r="G3" s="3098"/>
      <c r="H3" s="3098"/>
      <c r="I3" s="3098"/>
    </row>
    <row r="4" spans="1:12" ht="14.25">
      <c r="A4" s="2415" t="s">
        <v>2119</v>
      </c>
      <c r="B4" s="2416" t="s">
        <v>2120</v>
      </c>
      <c r="C4" s="2417" t="s">
        <v>3101</v>
      </c>
      <c r="D4" s="2417" t="s">
        <v>3102</v>
      </c>
      <c r="E4" s="3090" t="s">
        <v>2121</v>
      </c>
      <c r="F4" s="3091"/>
      <c r="G4" s="3091"/>
      <c r="H4" s="3091"/>
      <c r="I4" s="309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2122</v>
      </c>
      <c r="B5" s="3011">
        <v>25</v>
      </c>
      <c r="C5" s="3076"/>
      <c r="D5" s="3096"/>
      <c r="E5" s="139" t="s">
        <v>2123</v>
      </c>
      <c r="F5" s="2419"/>
      <c r="G5" s="2419"/>
      <c r="H5" s="2419"/>
      <c r="I5" s="1821"/>
    </row>
    <row r="6" spans="1:12" ht="12.75">
      <c r="A6" s="3073"/>
      <c r="B6" s="3011"/>
      <c r="C6" s="3077"/>
      <c r="D6" s="3096"/>
      <c r="E6" s="139" t="s">
        <v>2124</v>
      </c>
      <c r="F6" s="2419"/>
      <c r="G6" s="2419"/>
      <c r="H6" s="2419"/>
      <c r="I6" s="1821"/>
    </row>
    <row r="7" spans="1:12" ht="12.75">
      <c r="A7" s="3073"/>
      <c r="B7" s="3011"/>
      <c r="C7" s="3078"/>
      <c r="D7" s="3096"/>
      <c r="E7" s="139" t="s">
        <v>2125</v>
      </c>
      <c r="F7" s="2419"/>
      <c r="G7" s="2419"/>
      <c r="H7" s="2419"/>
      <c r="I7" s="1821"/>
    </row>
    <row r="8" spans="1:12" ht="12.75">
      <c r="A8" s="3073" t="s">
        <v>2126</v>
      </c>
      <c r="B8" s="3011">
        <v>15</v>
      </c>
      <c r="C8" s="3076"/>
      <c r="D8" s="3096"/>
      <c r="E8" s="139" t="s">
        <v>2127</v>
      </c>
      <c r="F8" s="2419"/>
      <c r="G8" s="2419"/>
      <c r="H8" s="2419"/>
      <c r="I8" s="1821"/>
    </row>
    <row r="9" spans="1:12" ht="12.75">
      <c r="A9" s="3073"/>
      <c r="B9" s="3011"/>
      <c r="C9" s="3078"/>
      <c r="D9" s="3096"/>
      <c r="E9" s="139" t="s">
        <v>2128</v>
      </c>
      <c r="F9" s="2419"/>
      <c r="G9" s="2419"/>
      <c r="H9" s="2419"/>
      <c r="I9" s="1821"/>
    </row>
    <row r="10" spans="1:12" ht="12.75">
      <c r="A10" s="3073" t="s">
        <v>2129</v>
      </c>
      <c r="B10" s="3011">
        <v>15</v>
      </c>
      <c r="C10" s="3076"/>
      <c r="D10" s="3096"/>
      <c r="E10" s="139" t="s">
        <v>2130</v>
      </c>
      <c r="F10" s="2419"/>
      <c r="G10" s="2419"/>
      <c r="H10" s="2419"/>
      <c r="I10" s="1821"/>
    </row>
    <row r="11" spans="1:12" ht="12.75">
      <c r="A11" s="3073"/>
      <c r="B11" s="3011"/>
      <c r="C11" s="3078"/>
      <c r="D11" s="3096"/>
      <c r="E11" s="139" t="s">
        <v>2131</v>
      </c>
      <c r="F11" s="2419"/>
      <c r="G11" s="2419"/>
      <c r="H11" s="2419"/>
      <c r="I11" s="1821"/>
    </row>
    <row r="12" spans="1:12" ht="12.75">
      <c r="A12" s="3073" t="s">
        <v>2132</v>
      </c>
      <c r="B12" s="3011">
        <v>15</v>
      </c>
      <c r="C12" s="3076"/>
      <c r="D12" s="3096"/>
      <c r="E12" s="139" t="s">
        <v>2133</v>
      </c>
      <c r="F12" s="2419"/>
      <c r="G12" s="2419"/>
      <c r="H12" s="2419"/>
      <c r="I12" s="1821"/>
    </row>
    <row r="13" spans="1:12" ht="12.75">
      <c r="A13" s="3073"/>
      <c r="B13" s="3011"/>
      <c r="C13" s="3078"/>
      <c r="D13" s="3096"/>
      <c r="E13" s="139" t="s">
        <v>2134</v>
      </c>
      <c r="F13" s="2419"/>
      <c r="G13" s="2419"/>
      <c r="H13" s="2419"/>
      <c r="I13" s="1821"/>
    </row>
    <row r="14" spans="1:12" ht="12.75">
      <c r="A14" s="3073" t="s">
        <v>2135</v>
      </c>
      <c r="B14" s="3011">
        <v>30</v>
      </c>
      <c r="C14" s="3076">
        <v>5</v>
      </c>
      <c r="D14" s="3096">
        <v>5</v>
      </c>
      <c r="E14" s="139" t="s">
        <v>2136</v>
      </c>
      <c r="F14" s="2419"/>
      <c r="G14" s="2419"/>
      <c r="H14" s="2419"/>
      <c r="I14" s="1821"/>
    </row>
    <row r="15" spans="1:12" ht="12.75">
      <c r="A15" s="3073"/>
      <c r="B15" s="3011"/>
      <c r="C15" s="3077"/>
      <c r="D15" s="3096"/>
      <c r="E15" s="139" t="s">
        <v>2137</v>
      </c>
      <c r="F15" s="2419"/>
      <c r="G15" s="2419"/>
      <c r="H15" s="2419"/>
      <c r="I15" s="1821"/>
    </row>
    <row r="16" spans="1:12" ht="12.75">
      <c r="A16" s="3073"/>
      <c r="B16" s="3011"/>
      <c r="C16" s="3078"/>
      <c r="D16" s="3096"/>
      <c r="E16" s="139" t="s">
        <v>2138</v>
      </c>
      <c r="F16" s="2419"/>
      <c r="G16" s="2419"/>
      <c r="H16" s="2419"/>
      <c r="I16" s="1821"/>
    </row>
    <row r="17" spans="1:35" ht="15">
      <c r="A17" s="2420" t="s">
        <v>2139</v>
      </c>
      <c r="B17" s="64"/>
      <c r="C17" s="140">
        <f>SUM(C5:C16)</f>
        <v>5</v>
      </c>
      <c r="D17" s="140">
        <f>SUM(D5:D16)</f>
        <v>5</v>
      </c>
      <c r="E17" s="137"/>
      <c r="F17" s="137"/>
      <c r="G17" s="137"/>
      <c r="H17" s="137"/>
      <c r="I17" s="137"/>
      <c r="K17" s="2418"/>
      <c r="L17" s="2421" t="s">
        <v>2140</v>
      </c>
      <c r="M17" s="2421" t="s">
        <v>2141</v>
      </c>
    </row>
    <row r="18" spans="1:35" ht="15.75" thickBot="1">
      <c r="A18" s="2422" t="s">
        <v>2142</v>
      </c>
      <c r="B18" s="2423"/>
      <c r="C18" s="141">
        <f>ROUND(C17/SUM(C17:D17),2)</f>
        <v>0.5</v>
      </c>
      <c r="D18" s="141">
        <f>1-C18</f>
        <v>0.5</v>
      </c>
      <c r="E18" s="137"/>
      <c r="F18" s="137"/>
      <c r="G18" s="137"/>
      <c r="H18" s="137"/>
      <c r="I18" s="137"/>
      <c r="K18" s="2418" t="s">
        <v>2143</v>
      </c>
      <c r="L18" s="2418">
        <f>IF(C1="",'数据-汇总表'!E3,SUMIF(项目类型,C1,'数据-汇总表'!E17:E26)+SUMIF(项目类型,C1,'数据-汇总表'!I17:I26))</f>
        <v>66988.94</v>
      </c>
      <c r="M18" s="2418">
        <f>IF(C1="",'数据-汇总表'!E3,SUMIF(项目类型,C1,'数据-汇总表'!E17:E26))</f>
        <v>66988.94</v>
      </c>
    </row>
    <row r="19" spans="1:35" ht="15">
      <c r="A19" s="2424" t="s">
        <v>2144</v>
      </c>
      <c r="B19" s="2425" t="s">
        <v>2145</v>
      </c>
      <c r="C19" s="142">
        <f ca="1">SUMIF(INDIRECT("'"&amp;C4&amp;"'"&amp;"!A:A"),结果表!B19,INDIRECT("'"&amp;C4&amp;"'"&amp;"!B:B"))</f>
        <v>44662</v>
      </c>
      <c r="D19" s="143">
        <f ca="1">SUMIF(INDIRECT("'"&amp;D4&amp;"'"&amp;"!A:A"),结果表!B19,INDIRECT("'"&amp;D4&amp;"'"&amp;"!B:B"))</f>
        <v>34872</v>
      </c>
      <c r="E19" s="2424" t="s">
        <v>2146</v>
      </c>
      <c r="F19" s="2425" t="s">
        <v>2145</v>
      </c>
      <c r="G19" s="144">
        <f ca="1">ROUND(C19*$C$18+D19*$D$18,0)</f>
        <v>39767</v>
      </c>
      <c r="H19" s="2426" t="s">
        <v>2147</v>
      </c>
      <c r="I19" s="137"/>
      <c r="K19" s="2418" t="s">
        <v>2148</v>
      </c>
      <c r="L19" s="2418">
        <f>IF(C1="",'数据-汇总表'!D3,SUMIF(项目类型,C1,'数据-汇总表'!D17:D26)+SUMIF(项目类型,C1,'数据-汇总表'!H17:H27))</f>
        <v>120628.8</v>
      </c>
      <c r="M19" s="2418">
        <f>IF(C1="",'数据-汇总表'!D3,SUMIF(项目类型,C1,'数据-汇总表'!D17:D26))</f>
        <v>120628.8</v>
      </c>
    </row>
    <row r="20" spans="1:35" ht="15">
      <c r="A20" s="2427"/>
      <c r="B20" s="1245" t="s">
        <v>2149</v>
      </c>
      <c r="C20" s="145">
        <f ca="1">SUMIF(INDIRECT("'"&amp;C4&amp;"'"&amp;"!A:A"),结果表!B20,INDIRECT("'"&amp;C4&amp;"'"&amp;"!B:B"))</f>
        <v>6667</v>
      </c>
      <c r="D20" s="146">
        <f ca="1">SUMIF(INDIRECT("'"&amp;D4&amp;"'"&amp;"!A:A"),结果表!B20,INDIRECT("'"&amp;D4&amp;"'"&amp;"!B:B"))</f>
        <v>5206</v>
      </c>
      <c r="E20" s="2427"/>
      <c r="F20" s="1245" t="s">
        <v>2149</v>
      </c>
      <c r="G20" s="147">
        <f ca="1">ROUND(C20*$C$18+D20*$D$18,0)</f>
        <v>5937</v>
      </c>
      <c r="H20" s="978" t="s">
        <v>2150</v>
      </c>
      <c r="I20" s="137"/>
    </row>
    <row r="21" spans="1:35" ht="15" customHeight="1" thickBot="1">
      <c r="A21" s="998"/>
      <c r="B21" s="2428" t="s">
        <v>2151</v>
      </c>
      <c r="C21" s="787">
        <f ca="1">ROUND(C19*10000/L19,0)</f>
        <v>3702</v>
      </c>
      <c r="D21" s="788">
        <f ca="1">ROUND(D19*10000/L19,0)</f>
        <v>2891</v>
      </c>
      <c r="E21" s="998"/>
      <c r="F21" s="2428" t="s">
        <v>2151</v>
      </c>
      <c r="G21" s="148">
        <f ca="1">ROUND(G19*10000/L19,0)</f>
        <v>3297</v>
      </c>
      <c r="H21" s="2429" t="s">
        <v>2150</v>
      </c>
      <c r="I21" s="137"/>
    </row>
    <row r="22" spans="1:35" ht="15" thickBot="1">
      <c r="A22" s="2271" t="s">
        <v>2152</v>
      </c>
      <c r="B22" s="2430"/>
      <c r="C22" s="2431"/>
      <c r="D22" s="789">
        <f ca="1">IF(C19&lt;D19,D19/C19-1,C19/D19-1)</f>
        <v>0.28074099564120214</v>
      </c>
      <c r="E22" s="137"/>
      <c r="F22" s="137"/>
      <c r="G22" s="137"/>
      <c r="H22" s="137"/>
      <c r="I22" s="137"/>
    </row>
    <row r="23" spans="1:35" ht="13.5" thickBot="1">
      <c r="A23" s="2408"/>
      <c r="B23" s="2408"/>
      <c r="C23" s="2408"/>
      <c r="D23" s="2408"/>
      <c r="E23" s="137"/>
      <c r="F23" s="137"/>
      <c r="G23" s="137"/>
      <c r="H23" s="137"/>
      <c r="I23" s="137"/>
    </row>
    <row r="24" spans="1:35" ht="14.25">
      <c r="A24" s="3067" t="s">
        <v>2153</v>
      </c>
      <c r="B24" s="2425" t="s">
        <v>2145</v>
      </c>
      <c r="C24" s="144">
        <f>IF(B30=0,0,D30)</f>
        <v>0</v>
      </c>
      <c r="D24" s="2432"/>
      <c r="E24" s="137"/>
      <c r="F24" s="137"/>
      <c r="G24" s="137"/>
      <c r="H24" s="137"/>
      <c r="I24" s="137"/>
    </row>
    <row r="25" spans="1:35" ht="14.25">
      <c r="A25" s="3068"/>
      <c r="B25" s="1245" t="s">
        <v>2149</v>
      </c>
      <c r="C25" s="149">
        <f>IF(B30=0,0,C30)</f>
        <v>0</v>
      </c>
      <c r="D25" s="2433"/>
      <c r="E25" s="137"/>
      <c r="F25" s="137"/>
      <c r="G25" s="137"/>
      <c r="H25" s="137"/>
      <c r="I25" s="137"/>
    </row>
    <row r="26" spans="1:35" ht="13.5" customHeight="1">
      <c r="A26" s="2434" t="s">
        <v>2154</v>
      </c>
      <c r="B26" s="150" t="s">
        <v>2155</v>
      </c>
      <c r="C26" s="150" t="s">
        <v>2156</v>
      </c>
      <c r="D26" s="151" t="s">
        <v>2157</v>
      </c>
      <c r="E26" s="137"/>
      <c r="F26" s="137"/>
      <c r="G26" s="137"/>
      <c r="H26" s="137"/>
      <c r="I26" s="137"/>
    </row>
    <row r="27" spans="1:35" ht="14.25">
      <c r="A27" s="2434"/>
      <c r="B27" s="150">
        <v>0</v>
      </c>
      <c r="C27" s="150">
        <v>0</v>
      </c>
      <c r="D27" s="151">
        <f>ROUND(C27*B27/10000,0)</f>
        <v>0</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2158</v>
      </c>
      <c r="B30" s="150"/>
      <c r="C30" s="150"/>
      <c r="D30" s="150"/>
      <c r="E30" s="2907" t="s">
        <v>3033</v>
      </c>
      <c r="F30" s="137"/>
      <c r="G30" s="137"/>
      <c r="H30" s="137"/>
      <c r="I30" s="137"/>
    </row>
    <row r="31" spans="1:35" s="2436" customFormat="1" ht="15" thickBot="1">
      <c r="A31" s="2435"/>
      <c r="B31" s="2435"/>
      <c r="C31" s="2435"/>
      <c r="D31" s="2435"/>
      <c r="E31" s="137"/>
      <c r="F31" s="137"/>
      <c r="G31" s="137"/>
      <c r="H31" s="137"/>
      <c r="I31" s="137"/>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2159</v>
      </c>
      <c r="B32" s="2438"/>
      <c r="C32" s="152">
        <f ca="1">IF(D32="总价",G19-C24,G20-C25)</f>
        <v>39767</v>
      </c>
      <c r="D32" s="2439" t="s">
        <v>2160</v>
      </c>
      <c r="E32" s="137"/>
      <c r="F32" s="137"/>
      <c r="G32" s="137"/>
      <c r="H32" s="137"/>
      <c r="I32" s="137"/>
    </row>
    <row r="33" spans="1:15" ht="15">
      <c r="A33" s="955" t="s">
        <v>2161</v>
      </c>
      <c r="B33" s="2440"/>
      <c r="C33" s="2441"/>
      <c r="D33" s="2442"/>
      <c r="E33" s="2443" t="s">
        <v>2162</v>
      </c>
      <c r="F33" s="2444" t="str">
        <f>IF(D32="楼面单价","取值（单价）","取值（总价）")</f>
        <v>取值（总价）</v>
      </c>
      <c r="G33" s="137"/>
      <c r="H33" s="137"/>
      <c r="I33" s="137"/>
    </row>
    <row r="34" spans="1:15" ht="15">
      <c r="A34" s="2445"/>
      <c r="B34" s="2446"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47" t="s">
        <v>2164</v>
      </c>
      <c r="F34" s="1734"/>
      <c r="G34" s="137"/>
      <c r="H34" s="137"/>
      <c r="I34" s="137"/>
    </row>
    <row r="35" spans="1:15" ht="15.75" thickBot="1">
      <c r="A35" s="2448"/>
      <c r="B35" s="2449"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0" t="s">
        <v>2166</v>
      </c>
      <c r="F35" s="162"/>
      <c r="G35" s="137"/>
      <c r="H35" s="137"/>
      <c r="I35" s="137"/>
    </row>
    <row r="36" spans="1:15" ht="15.75" thickBot="1">
      <c r="A36" s="3085" t="s">
        <v>2167</v>
      </c>
      <c r="B36" s="2451" t="s">
        <v>2168</v>
      </c>
      <c r="C36" s="153"/>
      <c r="D36" s="2452"/>
      <c r="E36" s="2453"/>
      <c r="F36" s="2454"/>
      <c r="G36" s="137"/>
      <c r="H36" s="137"/>
      <c r="I36" s="137"/>
    </row>
    <row r="37" spans="1:15" ht="15.75" thickBot="1">
      <c r="A37" s="3086"/>
      <c r="B37" s="2257" t="s">
        <v>2169</v>
      </c>
      <c r="C37" s="155"/>
      <c r="D37" s="1390"/>
      <c r="E37" s="1390"/>
      <c r="F37" s="2454"/>
      <c r="G37" s="137"/>
      <c r="H37" s="137"/>
      <c r="I37" s="137"/>
    </row>
    <row r="38" spans="1:15" ht="15.75" thickBot="1">
      <c r="A38" s="3087"/>
      <c r="B38" s="2455" t="s">
        <v>2170</v>
      </c>
      <c r="C38" s="725"/>
      <c r="D38" s="2456" t="s">
        <v>2171</v>
      </c>
      <c r="E38" s="1390"/>
      <c r="F38" s="2454"/>
      <c r="G38" s="137"/>
      <c r="H38" s="137"/>
      <c r="I38" s="137"/>
    </row>
    <row r="39" spans="1:15" ht="15">
      <c r="A39" s="2427" t="s">
        <v>2172</v>
      </c>
      <c r="B39" s="2457" t="s">
        <v>2173</v>
      </c>
      <c r="C39" s="2458" t="s">
        <v>2174</v>
      </c>
      <c r="D39" s="2458" t="s">
        <v>2175</v>
      </c>
      <c r="E39" s="2459" t="s">
        <v>2176</v>
      </c>
      <c r="F39" s="2454"/>
      <c r="G39" s="137"/>
      <c r="H39" s="137"/>
      <c r="I39" s="137"/>
    </row>
    <row r="40" spans="1:15" ht="14.25">
      <c r="A40" s="2460" t="s">
        <v>2177</v>
      </c>
      <c r="B40" s="157"/>
      <c r="C40" s="158"/>
      <c r="D40" s="158"/>
      <c r="E40" s="159"/>
      <c r="F40" s="2454"/>
      <c r="G40" s="137"/>
      <c r="H40" s="137"/>
      <c r="I40" s="137"/>
    </row>
    <row r="41" spans="1:15" ht="14.25">
      <c r="A41" s="2460" t="s">
        <v>2178</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55"/>
      <c r="B43" s="2155"/>
      <c r="C43" s="2155"/>
      <c r="D43" s="2155"/>
      <c r="E43" s="2155"/>
      <c r="F43" s="2462"/>
      <c r="G43" s="2462"/>
      <c r="H43" s="2462"/>
      <c r="I43" s="2463"/>
    </row>
    <row r="44" spans="1:15" ht="18.75">
      <c r="A44" s="2464" t="s">
        <v>2179</v>
      </c>
      <c r="B44" s="2465"/>
      <c r="C44" s="2465"/>
      <c r="D44" s="2466"/>
      <c r="E44" s="2466"/>
      <c r="F44" s="2467"/>
      <c r="G44" s="2467"/>
      <c r="H44" s="2467"/>
      <c r="I44" s="2467"/>
      <c r="J44" s="2468" t="s">
        <v>2180</v>
      </c>
      <c r="K44" s="2469"/>
      <c r="L44" s="2469"/>
      <c r="M44" s="2469"/>
      <c r="N44" s="2469"/>
      <c r="O44" s="2469"/>
    </row>
    <row r="45" spans="1:15" ht="14.25" customHeight="1" thickBot="1">
      <c r="A45" s="3064" t="s">
        <v>2181</v>
      </c>
      <c r="B45" s="3065"/>
      <c r="C45" s="3066"/>
      <c r="D45" s="163">
        <f ca="1">ROUND(H101*F45,0)</f>
        <v>39767</v>
      </c>
      <c r="E45" s="164" t="s">
        <v>2182</v>
      </c>
      <c r="F45" s="165">
        <v>1</v>
      </c>
      <c r="G45" s="166" t="s">
        <v>2183</v>
      </c>
      <c r="H45" s="137"/>
      <c r="I45" s="137"/>
      <c r="J45" s="3124" t="s">
        <v>2184</v>
      </c>
      <c r="K45" s="3124"/>
      <c r="L45" s="3124"/>
      <c r="M45" s="3124"/>
      <c r="N45" s="3124"/>
      <c r="O45" s="3124"/>
    </row>
    <row r="46" spans="1:15" ht="14.25" customHeight="1">
      <c r="A46" s="3061" t="s">
        <v>2185</v>
      </c>
      <c r="B46" s="3062"/>
      <c r="C46" s="3062"/>
      <c r="D46" s="3062"/>
      <c r="E46" s="3062"/>
      <c r="F46" s="3062"/>
      <c r="G46" s="3063"/>
      <c r="H46" s="2470"/>
      <c r="I46" s="167"/>
      <c r="J46" s="1799">
        <v>1</v>
      </c>
      <c r="K46" s="3124" t="s">
        <v>2186</v>
      </c>
      <c r="L46" s="3124"/>
      <c r="M46" s="3144"/>
      <c r="N46" s="3144"/>
      <c r="O46" s="3144"/>
    </row>
    <row r="47" spans="1:15" ht="12" customHeight="1">
      <c r="A47" s="168" t="s">
        <v>2187</v>
      </c>
      <c r="B47" s="169"/>
      <c r="C47" s="170"/>
      <c r="D47" s="171" t="s">
        <v>2188</v>
      </c>
      <c r="E47" s="24" t="s">
        <v>2189</v>
      </c>
      <c r="F47" s="172" t="s">
        <v>2190</v>
      </c>
      <c r="G47" s="173" t="s">
        <v>2191</v>
      </c>
      <c r="H47" s="2470"/>
      <c r="I47" s="167"/>
      <c r="J47" s="1799">
        <v>2</v>
      </c>
      <c r="K47" s="3124" t="s">
        <v>2192</v>
      </c>
      <c r="L47" s="3124"/>
      <c r="M47" s="3145">
        <f>'数据-取费表'!B2</f>
        <v>44005</v>
      </c>
      <c r="N47" s="3145"/>
      <c r="O47" s="3145"/>
    </row>
    <row r="48" spans="1:15" ht="25.5">
      <c r="A48" s="3092" t="s">
        <v>2193</v>
      </c>
      <c r="B48" s="3075"/>
      <c r="C48" s="3075"/>
      <c r="D48" s="139">
        <f>IF(H48="情况1",0,IF(H48="情况2",D52,IF(H48="情况3",D53,IF(H48="情况4",D54))))</f>
        <v>0</v>
      </c>
      <c r="E48" s="1788" t="str">
        <f>IF(H48="情况4","(销售额-原购置价)×税（费）率","销售额×税（费）率")</f>
        <v>销售额×税（费）率</v>
      </c>
      <c r="F48" s="174" t="str">
        <f>IF(H48="情况1","免征",'数据-取费表'!B41)</f>
        <v>免征</v>
      </c>
      <c r="G48" s="2471" t="s">
        <v>2194</v>
      </c>
      <c r="H48" s="2472" t="s">
        <v>2195</v>
      </c>
      <c r="I48" s="2470"/>
      <c r="J48" s="1799">
        <v>3</v>
      </c>
      <c r="K48" s="3124" t="s">
        <v>2196</v>
      </c>
      <c r="L48" s="3124"/>
      <c r="M48" s="3146">
        <f ca="1">H101</f>
        <v>39767</v>
      </c>
      <c r="N48" s="3146"/>
      <c r="O48" s="3146"/>
    </row>
    <row r="49" spans="1:35" ht="25.5" customHeight="1">
      <c r="A49" s="175" t="s">
        <v>2197</v>
      </c>
      <c r="B49" s="3060" t="s">
        <v>2198</v>
      </c>
      <c r="C49" s="3060"/>
      <c r="D49" s="176">
        <v>0</v>
      </c>
      <c r="E49" s="23" t="s">
        <v>2199</v>
      </c>
      <c r="F49" s="28" t="s">
        <v>34</v>
      </c>
      <c r="G49" s="3130"/>
      <c r="H49" s="137"/>
      <c r="I49" s="2473"/>
      <c r="J49" s="1799">
        <v>4</v>
      </c>
      <c r="K49" s="3124" t="str">
        <f>IF(项目基本情况!E8="房地产抵押价值","房地产抵押价值","抵押担保权已注销时的房地产抵押价值")</f>
        <v>房地产抵押价值</v>
      </c>
      <c r="L49" s="3124"/>
      <c r="M49" s="3146">
        <f ca="1">IF(项目基本情况!E8="房地产抵押价值",H107,H109)</f>
        <v>39767</v>
      </c>
      <c r="N49" s="3146"/>
      <c r="O49" s="3146"/>
    </row>
    <row r="50" spans="1:35" ht="25.5" customHeight="1">
      <c r="A50" s="177"/>
      <c r="B50" s="3060" t="s">
        <v>2200</v>
      </c>
      <c r="C50" s="3060"/>
      <c r="D50" s="178"/>
      <c r="E50" s="31"/>
      <c r="F50" s="179"/>
      <c r="G50" s="3131"/>
      <c r="H50" s="137"/>
      <c r="I50" s="2473"/>
      <c r="J50" s="3124" t="s">
        <v>2201</v>
      </c>
      <c r="K50" s="3124"/>
      <c r="L50" s="3124"/>
      <c r="M50" s="3124"/>
      <c r="N50" s="3124"/>
      <c r="O50" s="3124"/>
    </row>
    <row r="51" spans="1:35" ht="12" customHeight="1">
      <c r="A51" s="180"/>
      <c r="B51" s="3060" t="s">
        <v>2202</v>
      </c>
      <c r="C51" s="3060"/>
      <c r="D51" s="181"/>
      <c r="E51" s="30"/>
      <c r="F51" s="179"/>
      <c r="G51" s="3132"/>
      <c r="H51" s="137"/>
      <c r="I51" s="2473"/>
      <c r="J51" s="2474" t="s">
        <v>2203</v>
      </c>
      <c r="K51" s="3124" t="s">
        <v>2204</v>
      </c>
      <c r="L51" s="3124"/>
      <c r="M51" s="2474" t="s">
        <v>2205</v>
      </c>
      <c r="N51" s="2474" t="s">
        <v>2206</v>
      </c>
      <c r="O51" s="2474" t="s">
        <v>2207</v>
      </c>
    </row>
    <row r="52" spans="1:35" ht="24" customHeight="1">
      <c r="A52" s="182" t="s">
        <v>2208</v>
      </c>
      <c r="B52" s="3060" t="s">
        <v>2209</v>
      </c>
      <c r="C52" s="3060"/>
      <c r="D52" s="181">
        <f ca="1">ROUND(D45*'数据-取费表'!B41/(1+'数据-取费表'!C42),0)</f>
        <v>2083</v>
      </c>
      <c r="E52" s="11" t="s">
        <v>2210</v>
      </c>
      <c r="F52" s="183">
        <f>'数据-取费表'!B41</f>
        <v>5.5000000000000007E-2</v>
      </c>
      <c r="G52" s="2475"/>
      <c r="H52" s="137"/>
      <c r="I52" s="2473"/>
      <c r="J52" s="1799">
        <v>1</v>
      </c>
      <c r="K52" s="3125" t="s">
        <v>2211</v>
      </c>
      <c r="L52" s="3125"/>
      <c r="M52" s="1741">
        <f>D48</f>
        <v>0</v>
      </c>
      <c r="N52" s="1799" t="str">
        <f>E48</f>
        <v>销售额×税（费）率</v>
      </c>
      <c r="O52" s="1742" t="str">
        <f>F48</f>
        <v>免征</v>
      </c>
    </row>
    <row r="53" spans="1:35" ht="12" customHeight="1">
      <c r="A53" s="182" t="s">
        <v>2212</v>
      </c>
      <c r="B53" s="3083" t="s">
        <v>2213</v>
      </c>
      <c r="C53" s="3084"/>
      <c r="D53" s="181">
        <f ca="1">ROUND(D45*'数据-取费表'!B41/(1+'数据-取费表'!C42),0)</f>
        <v>2083</v>
      </c>
      <c r="E53" s="11" t="s">
        <v>2210</v>
      </c>
      <c r="F53" s="183">
        <f>'数据-取费表'!B41</f>
        <v>5.5000000000000007E-2</v>
      </c>
      <c r="G53" s="2475"/>
      <c r="H53" s="137"/>
      <c r="I53" s="2473"/>
      <c r="J53" s="1799">
        <v>2</v>
      </c>
      <c r="K53" s="3125" t="s">
        <v>2214</v>
      </c>
      <c r="L53" s="3125"/>
      <c r="M53" s="1741">
        <f t="shared" ref="M53:O54" ca="1" si="0">D55</f>
        <v>20</v>
      </c>
      <c r="N53" s="1799" t="str">
        <f t="shared" si="0"/>
        <v>销售额×税（费）率</v>
      </c>
      <c r="O53" s="1742">
        <f t="shared" si="0"/>
        <v>5.0000000000000001E-4</v>
      </c>
    </row>
    <row r="54" spans="1:35" ht="12" customHeight="1">
      <c r="A54" s="182" t="s">
        <v>2215</v>
      </c>
      <c r="B54" s="3083" t="s">
        <v>2216</v>
      </c>
      <c r="C54" s="3084"/>
      <c r="D54" s="181">
        <f ca="1">C68</f>
        <v>2083</v>
      </c>
      <c r="E54" s="30" t="s">
        <v>2217</v>
      </c>
      <c r="F54" s="183">
        <f>'数据-取费表'!B41</f>
        <v>5.5000000000000007E-2</v>
      </c>
      <c r="G54" s="2475"/>
      <c r="H54" s="2476"/>
      <c r="I54" s="2473"/>
      <c r="J54" s="1799">
        <v>3</v>
      </c>
      <c r="K54" s="3125" t="s">
        <v>2218</v>
      </c>
      <c r="L54" s="3125"/>
      <c r="M54" s="1741">
        <f t="shared" ca="1" si="0"/>
        <v>22544</v>
      </c>
      <c r="N54" s="1799" t="str">
        <f t="shared" si="0"/>
        <v>增值额×税（费）率</v>
      </c>
      <c r="O54" s="1743" t="str">
        <f t="shared" si="0"/>
        <v>——</v>
      </c>
    </row>
    <row r="55" spans="1:35" ht="24" customHeight="1">
      <c r="A55" s="3074" t="s">
        <v>2219</v>
      </c>
      <c r="B55" s="3075"/>
      <c r="C55" s="3075"/>
      <c r="D55" s="184">
        <f ca="1">IF(H55="个人住宅",0,ROUND(D45*I55,0))</f>
        <v>20</v>
      </c>
      <c r="E55" s="11" t="s">
        <v>2220</v>
      </c>
      <c r="F55" s="183">
        <f>IF(H55="正常",I55,"免征")</f>
        <v>5.0000000000000001E-4</v>
      </c>
      <c r="G55" s="2475"/>
      <c r="H55" s="2472" t="s">
        <v>2221</v>
      </c>
      <c r="I55" s="185">
        <f>'数据-取费表'!B49</f>
        <v>5.0000000000000001E-4</v>
      </c>
      <c r="J55" s="1799" t="str">
        <f>IF(H59="非个人房产","",4)</f>
        <v/>
      </c>
      <c r="K55" s="3125" t="str">
        <f>IF(H59="非个人房产","——","个人所得税")</f>
        <v>——</v>
      </c>
      <c r="L55" s="3125"/>
      <c r="M55" s="1744" t="str">
        <f>D59</f>
        <v>——</v>
      </c>
      <c r="N55" s="1797" t="str">
        <f>E59</f>
        <v>——</v>
      </c>
      <c r="O55" s="1745" t="str">
        <f>F59</f>
        <v>——</v>
      </c>
    </row>
    <row r="56" spans="1:35" ht="24.75">
      <c r="A56" s="3074" t="s">
        <v>2222</v>
      </c>
      <c r="B56" s="3075"/>
      <c r="C56" s="3075"/>
      <c r="D56" s="184">
        <f ca="1">IF(H56="个人住宅",D57,D58)</f>
        <v>22544</v>
      </c>
      <c r="E56" s="11" t="s">
        <v>2223</v>
      </c>
      <c r="F56" s="183" t="str">
        <f>IF(H56="正常",F58,"免征")</f>
        <v>——</v>
      </c>
      <c r="G56" s="2477" t="s">
        <v>2224</v>
      </c>
      <c r="H56" s="2478" t="s">
        <v>2221</v>
      </c>
      <c r="I56" s="2479"/>
      <c r="J56" s="1799" t="str">
        <f>IF(项目基本情况!K6="上海银行",IF(J55="",4,J55+1),"")</f>
        <v/>
      </c>
      <c r="K56" s="3148" t="str">
        <f>IF(项目基本情况!K6="上海银行","其他处置费用","")</f>
        <v/>
      </c>
      <c r="L56" s="3149"/>
      <c r="M56" s="1741" t="str">
        <f>IF(项目基本情况!K6="上海银行",M69,"")</f>
        <v/>
      </c>
      <c r="N56" s="3151" t="str">
        <f>IF(项目基本情况!K6="上海银行","包含处置中涉及的律师、诉讼、拍卖、评估等费用","")</f>
        <v/>
      </c>
      <c r="O56" s="3152"/>
    </row>
    <row r="57" spans="1:35" ht="12.75">
      <c r="A57" s="182" t="s">
        <v>2197</v>
      </c>
      <c r="B57" s="3090" t="s">
        <v>2225</v>
      </c>
      <c r="C57" s="3099"/>
      <c r="D57" s="186">
        <v>0</v>
      </c>
      <c r="E57" s="23" t="s">
        <v>2199</v>
      </c>
      <c r="F57" s="154"/>
      <c r="G57" s="2475"/>
      <c r="H57" s="2479"/>
      <c r="I57" s="2479"/>
      <c r="J57" s="3125">
        <f>IF(AND(J55="",J56=""),4,IF(项目基本情况!K6="上海银行",结果表!J56+1,结果表!J55+1))</f>
        <v>4</v>
      </c>
      <c r="K57" s="3125" t="s">
        <v>2226</v>
      </c>
      <c r="L57" s="2480" t="s">
        <v>2227</v>
      </c>
      <c r="M57" s="1746"/>
      <c r="N57" s="1747">
        <f ca="1">SUMIF(M52:M56,"&lt;9e307")</f>
        <v>22564</v>
      </c>
      <c r="O57" s="2481"/>
      <c r="P57" s="1740">
        <f ca="1">N57/M49</f>
        <v>0.56740513491085576</v>
      </c>
    </row>
    <row r="58" spans="1:35" ht="24.75">
      <c r="A58" s="182" t="s">
        <v>2208</v>
      </c>
      <c r="B58" s="3090" t="s">
        <v>2228</v>
      </c>
      <c r="C58" s="3091"/>
      <c r="D58" s="184">
        <f ca="1">IF(H58="转让取得",C81,C97)</f>
        <v>22544</v>
      </c>
      <c r="E58" s="11" t="s">
        <v>2223</v>
      </c>
      <c r="F58" s="24" t="s">
        <v>34</v>
      </c>
      <c r="G58" s="2475"/>
      <c r="H58" s="2478" t="s">
        <v>2229</v>
      </c>
      <c r="I58" s="2479"/>
      <c r="J58" s="3125"/>
      <c r="K58" s="3125"/>
      <c r="L58" s="2480" t="s">
        <v>2230</v>
      </c>
      <c r="M58" s="1748"/>
      <c r="N58" s="2482" t="str">
        <f ca="1">NUMBERSTRING(INT(N57*10000),2)&amp;"元整"</f>
        <v>贰亿贰仟伍佰陆拾肆万元整</v>
      </c>
      <c r="O58" s="2483"/>
    </row>
    <row r="59" spans="1:35" ht="24.75" thickBot="1">
      <c r="A59" s="3128" t="s">
        <v>2231</v>
      </c>
      <c r="B59" s="3129"/>
      <c r="C59" s="3129"/>
      <c r="D59" s="187" t="str">
        <f>IF(H59="非个人房产","——",IF(H59="个人住宅",0,ROUND(D45*I59,0)))</f>
        <v>——</v>
      </c>
      <c r="E59" s="188" t="str">
        <f>IF(H59="非个人房产","——","销售额×税（费）率")</f>
        <v>——</v>
      </c>
      <c r="F59" s="189" t="str">
        <f>IF(H59="非个人房产","——",IF(H59="个人住宅","免征",I59))</f>
        <v>——</v>
      </c>
      <c r="G59" s="2484" t="s">
        <v>2224</v>
      </c>
      <c r="H59" s="2478" t="s">
        <v>2232</v>
      </c>
      <c r="I59" s="190">
        <v>0.01</v>
      </c>
      <c r="J59" s="3126">
        <f>J57+1</f>
        <v>5</v>
      </c>
      <c r="K59" s="3125" t="s">
        <v>2233</v>
      </c>
      <c r="L59" s="1799" t="s">
        <v>2227</v>
      </c>
      <c r="M59" s="1749"/>
      <c r="N59" s="1750">
        <f ca="1">M49-N57</f>
        <v>17203</v>
      </c>
      <c r="O59" s="2485"/>
    </row>
    <row r="60" spans="1:35" ht="12" customHeight="1">
      <c r="A60" s="2486"/>
      <c r="B60" s="2408"/>
      <c r="C60" s="2408"/>
      <c r="D60" s="2408"/>
      <c r="E60" s="2156"/>
      <c r="F60" s="2479"/>
      <c r="G60" s="2479"/>
      <c r="H60" s="2487"/>
      <c r="I60" s="137"/>
      <c r="J60" s="3127"/>
      <c r="K60" s="3125"/>
      <c r="L60" s="2480" t="s">
        <v>2230</v>
      </c>
      <c r="M60" s="1748"/>
      <c r="N60" s="2482" t="str">
        <f ca="1">NUMBERSTRING(INT(N59*10000),2)&amp;"元整"</f>
        <v>壹亿柒仟贰佰零叁万元整</v>
      </c>
      <c r="O60" s="2483"/>
    </row>
    <row r="61" spans="1:35" ht="13.5" thickBot="1">
      <c r="A61" s="3072" t="s">
        <v>2234</v>
      </c>
      <c r="B61" s="3072"/>
      <c r="C61" s="3072"/>
      <c r="D61" s="3072"/>
      <c r="E61" s="3072"/>
      <c r="F61" s="2479"/>
      <c r="G61" s="2479"/>
      <c r="H61" s="2487"/>
      <c r="I61" s="137"/>
      <c r="J61" s="1799">
        <f>J59+1</f>
        <v>6</v>
      </c>
      <c r="K61" s="3125" t="s">
        <v>2235</v>
      </c>
      <c r="L61" s="3125"/>
      <c r="M61" s="1751"/>
      <c r="N61" s="1752">
        <f ca="1">ROUND(N59*10000/'数据-汇总表'!E3,0)</f>
        <v>2568</v>
      </c>
      <c r="O61" s="2488"/>
    </row>
    <row r="62" spans="1:35" ht="12.75">
      <c r="A62" s="3088" t="s">
        <v>2236</v>
      </c>
      <c r="B62" s="3089"/>
      <c r="C62" s="1791"/>
      <c r="D62" s="1791" t="s">
        <v>2237</v>
      </c>
      <c r="E62" s="191" t="s">
        <v>2238</v>
      </c>
      <c r="F62" s="2479"/>
      <c r="G62" s="2479"/>
      <c r="H62" s="2487"/>
      <c r="I62" s="137"/>
    </row>
    <row r="63" spans="1:35" ht="12.75">
      <c r="A63" s="202" t="s">
        <v>775</v>
      </c>
      <c r="B63" s="192" t="s">
        <v>2239</v>
      </c>
      <c r="C63" s="193">
        <f ca="1">ROUND((C64+C65)/(1+'数据-取费表'!C42),0)</f>
        <v>37873</v>
      </c>
      <c r="D63" s="194"/>
      <c r="E63" s="195"/>
      <c r="F63" s="2479"/>
      <c r="G63" s="2479"/>
      <c r="H63" s="2487"/>
      <c r="I63" s="137"/>
      <c r="J63" s="3150" t="s">
        <v>2240</v>
      </c>
      <c r="K63" s="2489" t="s">
        <v>2241</v>
      </c>
      <c r="L63" s="1739">
        <f ca="1">IF(M49&gt;10000,M49*0.5%,IF(AND(M49&gt;1000,M49&lt;=10000),M49*1%,IF(AND(M49&gt;100,M49&lt;=1000),M49*3%,IF(AND(M49&gt;10,M49&lt;=100),M49*5%,M49*8%))))</f>
        <v>198.83500000000001</v>
      </c>
      <c r="M63" s="24">
        <f ca="1">ROUND(L63,1)</f>
        <v>198.8</v>
      </c>
      <c r="Z63" s="2413"/>
      <c r="AI63" s="2414"/>
    </row>
    <row r="64" spans="1:35" ht="14.25" customHeight="1">
      <c r="A64" s="196" t="s">
        <v>770</v>
      </c>
      <c r="B64" s="197" t="s">
        <v>2242</v>
      </c>
      <c r="C64" s="198">
        <f ca="1">D45</f>
        <v>39767</v>
      </c>
      <c r="D64" s="199" t="s">
        <v>32</v>
      </c>
      <c r="E64" s="200"/>
      <c r="F64" s="2479"/>
      <c r="G64" s="2479"/>
      <c r="H64" s="2487"/>
      <c r="I64" s="137"/>
      <c r="J64" s="3150"/>
      <c r="K64" s="2489" t="s">
        <v>2243</v>
      </c>
      <c r="L64" s="1739">
        <f ca="1">IF(M49&gt;2000,M49*0.5%,IF(AND(M49&gt;1000,M49&lt;=2000),M49*0.6%,IF(AND(M49&gt;500,M49&lt;=1000),M49*0.7%,IF(AND(M49&gt;200,M49&lt;=500),M49*0.8%,IF(AND(M49&gt;100,M49&lt;=200),M49*0.9%,IF(AND(M49&gt;50,M49&lt;=100),M49*1%,IF(AND(M49&gt;20,M49&lt;=50),M49*1.5%,IF(AND(M49&gt;10,M49&lt;=20),M49*2%,IF(AND(M49&gt;1,M49&lt;=10),M49*2.5%)))))))))</f>
        <v>198.83500000000001</v>
      </c>
      <c r="M64" s="24">
        <f t="shared" ref="M64:M65" ca="1" si="1">ROUND(L64,1)</f>
        <v>198.8</v>
      </c>
      <c r="N64" s="137" t="s">
        <v>2244</v>
      </c>
      <c r="Z64" s="2413"/>
      <c r="AI64" s="2414"/>
    </row>
    <row r="65" spans="1:35" ht="14.25" customHeight="1">
      <c r="A65" s="196" t="s">
        <v>771</v>
      </c>
      <c r="B65" s="197" t="s">
        <v>2245</v>
      </c>
      <c r="C65" s="201"/>
      <c r="D65" s="199"/>
      <c r="E65" s="200"/>
      <c r="F65" s="2479"/>
      <c r="G65" s="2479"/>
      <c r="H65" s="2487"/>
      <c r="I65" s="137"/>
      <c r="J65" s="3150"/>
      <c r="K65" s="2489" t="s">
        <v>2246</v>
      </c>
      <c r="L65" s="1739">
        <f ca="1">IF(M49&gt;1000,M49*0.1%,IF(AND(M49&gt;500,M49&lt;=1000),M49*0.5%,IF(AND(M49&gt;50,M49&lt;=500),M49*1%,IF(AND(M49&gt;1,M49&lt;=50),M49*1.5%))))</f>
        <v>39.767000000000003</v>
      </c>
      <c r="M65" s="24">
        <f t="shared" ca="1" si="1"/>
        <v>39.799999999999997</v>
      </c>
      <c r="N65" s="137" t="s">
        <v>2244</v>
      </c>
      <c r="Z65" s="2413"/>
      <c r="AI65" s="2414"/>
    </row>
    <row r="66" spans="1:35" ht="14.25" customHeight="1">
      <c r="A66" s="202" t="s">
        <v>772</v>
      </c>
      <c r="B66" s="203" t="s">
        <v>2247</v>
      </c>
      <c r="C66" s="204"/>
      <c r="D66" s="205" t="s">
        <v>32</v>
      </c>
      <c r="E66" s="1763" t="s">
        <v>1366</v>
      </c>
      <c r="F66" s="2479"/>
      <c r="G66" s="2479"/>
      <c r="H66" s="2487"/>
      <c r="I66" s="137"/>
      <c r="J66" s="3150"/>
      <c r="K66" s="2489" t="s">
        <v>2248</v>
      </c>
      <c r="L66" s="1739">
        <f ca="1">M49*0.5%</f>
        <v>198.83500000000001</v>
      </c>
      <c r="M66" s="24">
        <f ca="1">IF(L66&gt;0.5,0.5,ROUND(L66,0))</f>
        <v>0.5</v>
      </c>
      <c r="N66" s="137" t="s">
        <v>2249</v>
      </c>
      <c r="Z66" s="2413"/>
      <c r="AI66" s="2414"/>
    </row>
    <row r="67" spans="1:35" ht="14.25" customHeight="1">
      <c r="A67" s="202" t="s">
        <v>773</v>
      </c>
      <c r="B67" s="203" t="s">
        <v>2250</v>
      </c>
      <c r="C67" s="206">
        <f ca="1">C63-C66</f>
        <v>37873</v>
      </c>
      <c r="D67" s="199" t="s">
        <v>32</v>
      </c>
      <c r="E67" s="200"/>
      <c r="F67" s="2479"/>
      <c r="G67" s="2479"/>
      <c r="H67" s="2487"/>
      <c r="I67" s="137"/>
      <c r="J67" s="3150"/>
      <c r="K67" s="2489" t="s">
        <v>2251</v>
      </c>
      <c r="L67" s="1739">
        <f ca="1">IF(M49&gt;=10000,(8.25+(M49-10000)*0.01%),IF(AND(M49&gt;=8000,M49&lt;10000),(7.85+(M49-8000)*0.02%),IF(AND(M49&gt;=5000,M49&lt;8000),(6.65+(M49-5000)*0.04%),IF(AND(M49&gt;=2000,M49&lt;5000),(4.25+(PM49-2000)*0.08%),IF(AND(M49&gt;=1000,M49&lt;2000),(2.75+(M49-1000)*0.15%),IF(AND(M49&gt;=100,M49&lt;1000),(0.5+(M49-100)*0.25%),IF(AND(M49&gt;0,M49&lt;100),M49*0.5%)))))))</f>
        <v>11.226700000000001</v>
      </c>
      <c r="M67" s="24">
        <f ca="1">ROUND(L67*0.9,1)</f>
        <v>10.1</v>
      </c>
      <c r="Z67" s="2413"/>
      <c r="AI67" s="2414"/>
    </row>
    <row r="68" spans="1:35" ht="14.25" customHeight="1" thickBot="1">
      <c r="A68" s="207" t="s">
        <v>774</v>
      </c>
      <c r="B68" s="208" t="s">
        <v>2252</v>
      </c>
      <c r="C68" s="209">
        <f ca="1">IF(C67&lt;=0,0,ROUND(C67*D68,0))</f>
        <v>2083</v>
      </c>
      <c r="D68" s="210">
        <f>'数据-取费表'!B41</f>
        <v>5.5000000000000007E-2</v>
      </c>
      <c r="E68" s="211"/>
      <c r="F68" s="2479"/>
      <c r="G68" s="2479"/>
      <c r="H68" s="2487"/>
      <c r="I68" s="137"/>
      <c r="J68" s="3150"/>
      <c r="K68" s="2489" t="s">
        <v>2253</v>
      </c>
      <c r="L68" s="1739">
        <f ca="1">IF(M49&gt;10000,M49*0.5%,IF(AND(M49&gt;5000,M49&lt;=10000),M49*1%,IF(AND(M49&gt;1000,M49&lt;=5000),M49*2%,IF(AND(M49&gt;200,M49&lt;=1000),M49*3%,M49*5%))))</f>
        <v>198.83500000000001</v>
      </c>
      <c r="M68" s="24">
        <f ca="1">ROUND(L68,1)</f>
        <v>198.8</v>
      </c>
      <c r="Z68" s="2413"/>
      <c r="AI68" s="2414"/>
    </row>
    <row r="69" spans="1:35" s="2436" customFormat="1" ht="16.5" customHeight="1">
      <c r="A69" s="2490"/>
      <c r="B69" s="2491"/>
      <c r="C69" s="2492"/>
      <c r="D69" s="2493"/>
      <c r="E69" s="2494"/>
      <c r="F69" s="2156"/>
      <c r="G69" s="2156"/>
      <c r="H69" s="2155"/>
      <c r="I69" s="2408"/>
      <c r="J69" s="3150"/>
      <c r="K69" s="2489" t="s">
        <v>2254</v>
      </c>
      <c r="L69" s="2495"/>
      <c r="M69" s="24">
        <f ca="1">ROUND(SUM(M63:M68),0)</f>
        <v>647</v>
      </c>
      <c r="N69" s="1740">
        <f ca="1">M69/M49</f>
        <v>1.6269771418512838E-2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09" t="s">
        <v>2255</v>
      </c>
      <c r="B70" s="3110"/>
      <c r="C70" s="3110"/>
      <c r="D70" s="3110"/>
      <c r="E70" s="3110"/>
      <c r="F70" s="3110"/>
      <c r="G70" s="3110"/>
      <c r="H70" s="311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088" t="s">
        <v>2236</v>
      </c>
      <c r="B71" s="3089"/>
      <c r="C71" s="1791"/>
      <c r="D71" s="1791" t="s">
        <v>2237</v>
      </c>
      <c r="E71" s="212" t="s">
        <v>2238</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2256</v>
      </c>
      <c r="C72" s="206">
        <f ca="1">ROUND(D45/(1+'数据-取费表'!C42),0)</f>
        <v>37873</v>
      </c>
      <c r="D72" s="199" t="s">
        <v>32</v>
      </c>
      <c r="E72" s="1790"/>
      <c r="F72" s="1784"/>
      <c r="G72" s="1784"/>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2257</v>
      </c>
      <c r="C73" s="206">
        <f ca="1">C74+C78</f>
        <v>189</v>
      </c>
      <c r="D73" s="199" t="s">
        <v>32</v>
      </c>
      <c r="E73" s="1790"/>
      <c r="F73" s="1784"/>
      <c r="G73" s="1784"/>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2258</v>
      </c>
      <c r="C74" s="199">
        <f>ROUND(IF(G77="2016年5月1日后购买",C75/(1+'数据-取费表'!C42)+C76+C77,C75+C76+C77),0)</f>
        <v>0</v>
      </c>
      <c r="D74" s="199" t="s">
        <v>32</v>
      </c>
      <c r="E74" s="1790"/>
      <c r="F74" s="1784"/>
      <c r="G74" s="1784"/>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2259</v>
      </c>
      <c r="C75" s="217"/>
      <c r="D75" s="199" t="s">
        <v>32</v>
      </c>
      <c r="E75" s="218" t="s">
        <v>2260</v>
      </c>
      <c r="F75" s="2501" t="s">
        <v>2261</v>
      </c>
      <c r="G75" s="218" t="s">
        <v>2262</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2263</v>
      </c>
      <c r="C76" s="199">
        <f>IF(F75="购房发票",ROUND(C75*H75*D76,0),0)</f>
        <v>0</v>
      </c>
      <c r="D76" s="221">
        <v>0.05</v>
      </c>
      <c r="E76" s="3083" t="s">
        <v>2264</v>
      </c>
      <c r="F76" s="3060"/>
      <c r="G76" s="3060"/>
      <c r="H76" s="310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3" t="s">
        <v>2267</v>
      </c>
      <c r="H77" s="1795"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2268</v>
      </c>
      <c r="C78" s="224">
        <f ca="1">ROUND(D45*D78/(1+'数据-取费表'!C42),0)</f>
        <v>189</v>
      </c>
      <c r="D78" s="225">
        <f>'数据-取费表'!B43</f>
        <v>5.000000000000001E-3</v>
      </c>
      <c r="E78" s="3069" t="s">
        <v>2269</v>
      </c>
      <c r="F78" s="3070"/>
      <c r="G78" s="3070"/>
      <c r="H78" s="307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2270</v>
      </c>
      <c r="C79" s="206">
        <f ca="1">C72-C73</f>
        <v>37684</v>
      </c>
      <c r="D79" s="199" t="s">
        <v>32</v>
      </c>
      <c r="E79" s="1790"/>
      <c r="F79" s="1784"/>
      <c r="G79" s="1784"/>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2271</v>
      </c>
      <c r="C80" s="226">
        <f ca="1">IF(C79&lt;=0,0,C79/C73)</f>
        <v>199.38624338624339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2272</v>
      </c>
      <c r="C81" s="227">
        <f ca="1">ROUND(IF(C79&lt;=0,0,IF(C80&gt;=200%,C79*60%-C73*35%,IF(C80&gt;=100%,C79*50%-C73*15%,IF(C80&gt;=50%,C79*40%-C73*5%,IF(C80&lt;50%,C79*30%,0))))),0)</f>
        <v>22544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09" t="s">
        <v>2273</v>
      </c>
      <c r="B83" s="3110"/>
      <c r="C83" s="3110"/>
      <c r="D83" s="3110"/>
      <c r="E83" s="3110"/>
      <c r="F83" s="3110"/>
      <c r="G83" s="3110"/>
      <c r="H83" s="311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088" t="s">
        <v>2236</v>
      </c>
      <c r="B84" s="3089"/>
      <c r="C84" s="1791"/>
      <c r="D84" s="1791" t="s">
        <v>2237</v>
      </c>
      <c r="E84" s="212" t="s">
        <v>2238</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2256</v>
      </c>
      <c r="C85" s="206">
        <f ca="1">ROUND(D45/(1+'数据-取费表'!C42),0)</f>
        <v>37873</v>
      </c>
      <c r="D85" s="199" t="s">
        <v>32</v>
      </c>
      <c r="E85" s="1790"/>
      <c r="F85" s="1784"/>
      <c r="G85" s="1784"/>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2257</v>
      </c>
      <c r="C86" s="206">
        <f ca="1">IF(H88="仅含出让金",C87+C90+C91+C92+C93+C94,C87+C91+C92+C93+C94)</f>
        <v>189</v>
      </c>
      <c r="D86" s="234"/>
      <c r="E86" s="1790"/>
      <c r="F86" s="1784"/>
      <c r="G86" s="1784"/>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2274</v>
      </c>
      <c r="C87" s="224">
        <f>C88+C89</f>
        <v>0</v>
      </c>
      <c r="D87" s="225"/>
      <c r="E87" s="1786"/>
      <c r="F87" s="1787"/>
      <c r="G87" s="1787"/>
      <c r="H87" s="1789"/>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2275</v>
      </c>
      <c r="C88" s="235"/>
      <c r="D88" s="225"/>
      <c r="E88" s="236" t="s">
        <v>2276</v>
      </c>
      <c r="F88" s="1787"/>
      <c r="G88" s="237" t="s">
        <v>2277</v>
      </c>
      <c r="H88" s="2507"/>
      <c r="I88" s="2502"/>
      <c r="J88" s="2957" t="s">
        <v>3056</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2265</v>
      </c>
      <c r="C89" s="224">
        <f>ROUND(C88*D89,0)</f>
        <v>0</v>
      </c>
      <c r="D89" s="225">
        <f>'数据-取费表'!B48+'数据-取费表'!B49</f>
        <v>3.0499999999999999E-2</v>
      </c>
      <c r="E89" s="236" t="s">
        <v>2278</v>
      </c>
      <c r="F89" s="1787"/>
      <c r="G89" s="1787"/>
      <c r="H89" s="1789"/>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2279</v>
      </c>
      <c r="C90" s="235"/>
      <c r="D90" s="225"/>
      <c r="E90" s="236" t="str">
        <f>IF(H88="-","土地取得成本中已包含该笔费用"," ")</f>
        <v xml:space="preserve"> </v>
      </c>
      <c r="F90" s="1787"/>
      <c r="G90" s="3153" t="s">
        <v>3058</v>
      </c>
      <c r="H90" s="3154"/>
      <c r="I90" s="2502"/>
      <c r="J90" s="2957" t="s">
        <v>3057</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2280</v>
      </c>
      <c r="B91" s="197" t="s">
        <v>2281</v>
      </c>
      <c r="C91" s="224">
        <f>IF(H91="——",成本法!C33,I91)</f>
        <v>0</v>
      </c>
      <c r="D91" s="225"/>
      <c r="E91" s="3069" t="s">
        <v>2282</v>
      </c>
      <c r="F91" s="3070"/>
      <c r="G91" s="3070"/>
      <c r="H91" s="2508" t="s">
        <v>2283</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2284</v>
      </c>
      <c r="B92" s="197" t="s">
        <v>2285</v>
      </c>
      <c r="C92" s="224">
        <f>ROUND((C87+C90+C91)*D92,0)</f>
        <v>0</v>
      </c>
      <c r="D92" s="225">
        <v>0.1</v>
      </c>
      <c r="E92" s="3069" t="s">
        <v>2286</v>
      </c>
      <c r="F92" s="3070"/>
      <c r="G92" s="3070"/>
      <c r="H92" s="307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2287</v>
      </c>
      <c r="B93" s="197" t="s">
        <v>2268</v>
      </c>
      <c r="C93" s="224">
        <f ca="1">ROUND(D45*D93/(1+'数据-取费表'!C42),0)</f>
        <v>189</v>
      </c>
      <c r="D93" s="225">
        <f>'数据-取费表'!B43</f>
        <v>5.000000000000001E-3</v>
      </c>
      <c r="E93" s="3069" t="s">
        <v>2269</v>
      </c>
      <c r="F93" s="3070"/>
      <c r="G93" s="3070"/>
      <c r="H93" s="307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2288</v>
      </c>
      <c r="B94" s="197" t="s">
        <v>2289</v>
      </c>
      <c r="C94" s="235">
        <f>ROUND((C87+C90+C91)*D94,0)</f>
        <v>0</v>
      </c>
      <c r="D94" s="225">
        <v>0.2</v>
      </c>
      <c r="E94" s="3080" t="s">
        <v>2290</v>
      </c>
      <c r="F94" s="3081"/>
      <c r="G94" s="3081"/>
      <c r="H94" s="308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2270</v>
      </c>
      <c r="C95" s="206">
        <f ca="1">ROUND(C85-C86,0)</f>
        <v>37684</v>
      </c>
      <c r="D95" s="199" t="s">
        <v>32</v>
      </c>
      <c r="E95" s="1790"/>
      <c r="F95" s="1784"/>
      <c r="G95" s="1784"/>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2271</v>
      </c>
      <c r="C96" s="226">
        <f ca="1">IF(C95&lt;=0,0,C95/C86)</f>
        <v>199.38624338624339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2272</v>
      </c>
      <c r="C97" s="227">
        <f ca="1">ROUND(IF(C95&lt;=0,0,IF(C96&gt;=200%,C95*60%-C86*35%,IF(C96&gt;=100%,C95*50%-C86*15%,IF(C96&gt;=50%,C95*40%-C86*5%,IF(C96&lt;50%,C95*30%,0))))),0)</f>
        <v>22544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7"/>
    </row>
    <row r="99" spans="1:35" ht="21.75" customHeight="1" thickBot="1">
      <c r="A99" s="2464" t="s">
        <v>2291</v>
      </c>
      <c r="B99" s="2408"/>
      <c r="C99" s="2408"/>
      <c r="D99" s="2408"/>
      <c r="E99" s="2156"/>
      <c r="F99" s="2156"/>
      <c r="G99" s="2156"/>
      <c r="H99" s="2155"/>
      <c r="I99" s="137"/>
    </row>
    <row r="100" spans="1:35" ht="18.75" customHeight="1">
      <c r="A100" s="3054" t="s">
        <v>2292</v>
      </c>
      <c r="B100" s="3055"/>
      <c r="C100" s="3055"/>
      <c r="D100" s="3071"/>
      <c r="E100" s="3055" t="s">
        <v>2293</v>
      </c>
      <c r="F100" s="3055"/>
      <c r="G100" s="3055"/>
      <c r="H100" s="3071"/>
      <c r="I100" s="137"/>
    </row>
    <row r="101" spans="1:35" ht="18.75" customHeight="1">
      <c r="A101" s="3133" t="s">
        <v>2294</v>
      </c>
      <c r="B101" s="3134"/>
      <c r="C101" s="734" t="str">
        <f>C4</f>
        <v>成本法</v>
      </c>
      <c r="D101" s="735" t="str">
        <f>D4</f>
        <v>收益法（汇总）</v>
      </c>
      <c r="E101" s="3147" t="s">
        <v>2295</v>
      </c>
      <c r="F101" s="3101"/>
      <c r="G101" s="2510" t="s">
        <v>2296</v>
      </c>
      <c r="H101" s="1043">
        <f ca="1">H118</f>
        <v>39767</v>
      </c>
      <c r="I101" s="137"/>
    </row>
    <row r="102" spans="1:35" ht="18.75" customHeight="1">
      <c r="A102" s="3103" t="s">
        <v>2297</v>
      </c>
      <c r="B102" s="2510" t="s">
        <v>2296</v>
      </c>
      <c r="C102" s="734">
        <f ca="1">C19</f>
        <v>44662</v>
      </c>
      <c r="D102" s="735">
        <f ca="1">D19</f>
        <v>34872</v>
      </c>
      <c r="E102" s="3147"/>
      <c r="F102" s="3101"/>
      <c r="G102" s="2510" t="s">
        <v>2298</v>
      </c>
      <c r="H102" s="370">
        <f ca="1">I118</f>
        <v>5936</v>
      </c>
      <c r="I102" s="137"/>
    </row>
    <row r="103" spans="1:35" ht="42.75" customHeight="1">
      <c r="A103" s="3103"/>
      <c r="B103" s="2510" t="s">
        <v>2298</v>
      </c>
      <c r="C103" s="736">
        <f ca="1">C20</f>
        <v>6667</v>
      </c>
      <c r="D103" s="737">
        <f ca="1">D20</f>
        <v>5206</v>
      </c>
      <c r="E103" s="3142" t="s">
        <v>2299</v>
      </c>
      <c r="F103" s="3143"/>
      <c r="G103" s="2511" t="s">
        <v>2300</v>
      </c>
      <c r="H103" s="1043">
        <f>IF(D36="正常操作",H104+H105+H106,H105+H106)</f>
        <v>0</v>
      </c>
      <c r="I103" s="137"/>
    </row>
    <row r="104" spans="1:35" ht="18.75" customHeight="1">
      <c r="A104" s="3103" t="s">
        <v>2301</v>
      </c>
      <c r="B104" s="2512" t="s">
        <v>2296</v>
      </c>
      <c r="C104" s="738">
        <f ca="1">H118</f>
        <v>39767</v>
      </c>
      <c r="D104" s="739"/>
      <c r="E104" s="2257" t="s">
        <v>2302</v>
      </c>
      <c r="F104" s="2248"/>
      <c r="G104" s="2511" t="s">
        <v>2300</v>
      </c>
      <c r="H104" s="1044">
        <f>IF(D36="同一抵押权人同一抵押物续贷",C36&amp;"（未扣减，详见特别提示）",C36)</f>
        <v>0</v>
      </c>
      <c r="I104" s="137"/>
    </row>
    <row r="105" spans="1:35" ht="18.75" customHeight="1" thickBot="1">
      <c r="A105" s="3104"/>
      <c r="B105" s="2513" t="s">
        <v>2298</v>
      </c>
      <c r="C105" s="740">
        <f ca="1">I118</f>
        <v>5936</v>
      </c>
      <c r="D105" s="741"/>
      <c r="E105" s="2257" t="s">
        <v>2303</v>
      </c>
      <c r="F105" s="2248"/>
      <c r="G105" s="2511" t="s">
        <v>2300</v>
      </c>
      <c r="H105" s="1044">
        <f>C37</f>
        <v>0</v>
      </c>
      <c r="I105" s="137"/>
    </row>
    <row r="106" spans="1:35" ht="18.75" customHeight="1">
      <c r="A106" s="2408" t="s">
        <v>2304</v>
      </c>
      <c r="B106" s="2408"/>
      <c r="C106" s="2408"/>
      <c r="D106" s="2408"/>
      <c r="E106" s="2514" t="s">
        <v>2305</v>
      </c>
      <c r="F106" s="2248"/>
      <c r="G106" s="2511" t="s">
        <v>2300</v>
      </c>
      <c r="H106" s="1044">
        <f>C38</f>
        <v>0</v>
      </c>
      <c r="I106" s="137"/>
    </row>
    <row r="107" spans="1:35" ht="18.75" customHeight="1">
      <c r="A107" s="137"/>
      <c r="B107" s="137"/>
      <c r="C107" s="137"/>
      <c r="D107" s="137"/>
      <c r="E107" s="3100" t="str">
        <f>IF(项目基本情况!E8="已注销","——","3.房地产抵押价值")</f>
        <v>3.房地产抵押价值</v>
      </c>
      <c r="F107" s="3101"/>
      <c r="G107" s="2510" t="s">
        <v>2296</v>
      </c>
      <c r="H107" s="1043">
        <f ca="1">IF(E107="——","——",H101-H103)</f>
        <v>39767</v>
      </c>
      <c r="I107" s="137"/>
    </row>
    <row r="108" spans="1:35" ht="18.75" customHeight="1">
      <c r="A108" s="137"/>
      <c r="B108" s="137"/>
      <c r="C108" s="137"/>
      <c r="D108" s="137"/>
      <c r="E108" s="3100"/>
      <c r="F108" s="3101"/>
      <c r="G108" s="2510" t="s">
        <v>2298</v>
      </c>
      <c r="H108" s="370">
        <f ca="1">ROUND(H107*10000/'数据-汇总表'!E3,0)</f>
        <v>5936</v>
      </c>
      <c r="I108" s="137"/>
    </row>
    <row r="109" spans="1:35" ht="18.75" customHeight="1">
      <c r="A109" s="137"/>
      <c r="B109" s="137"/>
      <c r="C109" s="137"/>
      <c r="D109" s="137"/>
      <c r="E109" s="3100" t="str">
        <f>IF(项目基本情况!E8="已注销及未注销","4.抵押担保权已注销时的房地产抵押价值",IF(项目基本情况!E8="已注销","3.抵押担保权已注销时的房地产抵押价值","——"))</f>
        <v>——</v>
      </c>
      <c r="F109" s="3101"/>
      <c r="G109" s="2510" t="s">
        <v>2296</v>
      </c>
      <c r="H109" s="347" t="str">
        <f>IF(E109="——","——",H101-H105-H106)</f>
        <v>——</v>
      </c>
      <c r="I109" s="137"/>
    </row>
    <row r="110" spans="1:35" ht="18.75" customHeight="1">
      <c r="A110" s="137"/>
      <c r="B110" s="137"/>
      <c r="C110" s="137"/>
      <c r="D110" s="137"/>
      <c r="E110" s="3100"/>
      <c r="F110" s="3101"/>
      <c r="G110" s="2510" t="s">
        <v>2298</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10" t="s">
        <v>2296</v>
      </c>
      <c r="H111" s="1043" t="str">
        <f>IF(E111="——","——",N59)</f>
        <v>——</v>
      </c>
      <c r="I111" s="137"/>
    </row>
    <row r="112" spans="1:35" ht="18.75" customHeight="1" thickBot="1">
      <c r="A112" s="137"/>
      <c r="B112" s="137"/>
      <c r="C112" s="137"/>
      <c r="D112" s="137"/>
      <c r="E112" s="3137"/>
      <c r="F112" s="3138"/>
      <c r="G112" s="2515" t="s">
        <v>2298</v>
      </c>
      <c r="H112" s="788" t="str">
        <f>IF(E111="——","——",N61)</f>
        <v>——</v>
      </c>
      <c r="I112" s="137"/>
    </row>
    <row r="113" spans="1:11" ht="18.75" customHeight="1">
      <c r="A113" s="137"/>
      <c r="B113" s="137"/>
      <c r="C113" s="137"/>
      <c r="D113" s="137"/>
      <c r="E113" s="3105" t="s">
        <v>2304</v>
      </c>
      <c r="F113" s="3105"/>
      <c r="G113" s="3105"/>
      <c r="H113" s="3105"/>
      <c r="I113" s="137"/>
    </row>
    <row r="114" spans="1:11" ht="3.75" customHeight="1">
      <c r="A114" s="2408"/>
      <c r="B114" s="2408"/>
      <c r="C114" s="2408"/>
      <c r="D114" s="2408"/>
      <c r="E114" s="2486"/>
      <c r="F114" s="2486"/>
      <c r="G114" s="2486"/>
      <c r="H114" s="2486"/>
      <c r="I114" s="2408"/>
    </row>
    <row r="115" spans="1:11" ht="18.75" customHeight="1">
      <c r="A115" s="3118" t="s">
        <v>2306</v>
      </c>
      <c r="B115" s="3119"/>
      <c r="C115" s="3119"/>
      <c r="D115" s="3119"/>
      <c r="E115" s="3119"/>
      <c r="F115" s="3119"/>
      <c r="G115" s="3119"/>
      <c r="H115" s="3119"/>
      <c r="I115" s="3120"/>
    </row>
    <row r="116" spans="1:11" ht="27" customHeight="1">
      <c r="A116" s="3011" t="s">
        <v>2307</v>
      </c>
      <c r="B116" s="3106" t="s">
        <v>2308</v>
      </c>
      <c r="C116" s="3106" t="s">
        <v>2309</v>
      </c>
      <c r="D116" s="3122" t="s">
        <v>2310</v>
      </c>
      <c r="E116" s="3123"/>
      <c r="F116" s="3114" t="s">
        <v>2311</v>
      </c>
      <c r="G116" s="3114"/>
      <c r="H116" s="3011" t="s">
        <v>2312</v>
      </c>
      <c r="I116" s="3011"/>
    </row>
    <row r="117" spans="1:11" ht="18.75" customHeight="1">
      <c r="A117" s="3011"/>
      <c r="B117" s="3107"/>
      <c r="C117" s="3107"/>
      <c r="D117" s="1785" t="s">
        <v>2313</v>
      </c>
      <c r="E117" s="1785" t="s">
        <v>2314</v>
      </c>
      <c r="F117" s="1785" t="s">
        <v>2313</v>
      </c>
      <c r="G117" s="1785" t="s">
        <v>2315</v>
      </c>
      <c r="H117" s="1785" t="s">
        <v>2313</v>
      </c>
      <c r="I117" s="1785" t="s">
        <v>2315</v>
      </c>
    </row>
    <row r="118" spans="1:11" ht="24.75" customHeight="1">
      <c r="A118" s="2516" t="str">
        <f>项目基本情况!S2</f>
        <v>北京市房地产</v>
      </c>
      <c r="B118" s="1785">
        <f>M18</f>
        <v>66988.94</v>
      </c>
      <c r="C118" s="1785">
        <f>M19</f>
        <v>120628.8</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39767</v>
      </c>
      <c r="I118" s="1785">
        <f ca="1">ROUND(IF(D32="楼面单价",C32,H118*10000/B118),0)</f>
        <v>5936</v>
      </c>
    </row>
    <row r="119" spans="1:11" ht="18.75" customHeight="1">
      <c r="A119" s="3011" t="s">
        <v>2316</v>
      </c>
      <c r="B119" s="3011"/>
      <c r="C119" s="3011"/>
      <c r="D119" s="3111" t="e">
        <f ca="1">NUMBERSTRING(INT(D118*10000),2)&amp;"元整"</f>
        <v>#REF!</v>
      </c>
      <c r="E119" s="3113"/>
      <c r="F119" s="3111" t="e">
        <f ca="1">NUMBERSTRING(INT(F118*10000),2)&amp;"元整"</f>
        <v>#REF!</v>
      </c>
      <c r="G119" s="3113"/>
      <c r="H119" s="3111" t="str">
        <f ca="1">NUMBERSTRING(INT(H118*10000),2)&amp;"元整"</f>
        <v>叁亿玖仟柒佰陆拾柒万元整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3" t="str">
        <f>IF(D120=0,"故，本次评估不存在"&amp;A120,"故，本次评估"&amp;A120&amp;"为人民币"&amp;D120&amp;"万元整。")</f>
        <v>故，本次评估不存在估价师知悉的法定优先受偿款</v>
      </c>
    </row>
    <row r="121" spans="1:11" ht="18.75" customHeight="1">
      <c r="A121" s="3115" t="s">
        <v>2316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39767</v>
      </c>
      <c r="E122" s="3140"/>
      <c r="F122" s="3140"/>
      <c r="G122" s="3140"/>
      <c r="H122" s="3140"/>
      <c r="I122" s="3141"/>
    </row>
    <row r="123" spans="1:11" ht="18.75" customHeight="1">
      <c r="A123" s="3011" t="s">
        <v>2316</v>
      </c>
      <c r="B123" s="3011"/>
      <c r="C123" s="3011"/>
      <c r="D123" s="3111" t="str">
        <f ca="1">NUMBERSTRING(INT(D122*10000),2)&amp;"元整"</f>
        <v>叁亿玖仟柒佰陆拾柒万元整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2316</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2316</v>
      </c>
      <c r="B127" s="3011"/>
      <c r="C127" s="3011"/>
      <c r="D127" s="3111" t="e">
        <f>NUMBERSTRING(INT(D126*10000),2)&amp;"元整"</f>
        <v>#VALUE!</v>
      </c>
      <c r="E127" s="3112"/>
      <c r="F127" s="3112"/>
      <c r="G127" s="3112"/>
      <c r="H127" s="3112"/>
      <c r="I127" s="3113"/>
    </row>
    <row r="128" spans="1:11" ht="21.75" customHeight="1">
      <c r="A128" s="3121" t="s">
        <v>2317</v>
      </c>
      <c r="B128" s="3121"/>
      <c r="C128" s="3121"/>
      <c r="D128" s="3121"/>
      <c r="E128" s="3121"/>
      <c r="F128" s="3121"/>
      <c r="G128" s="3121"/>
      <c r="H128" s="3121"/>
      <c r="I128" s="3121"/>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2320</v>
      </c>
      <c r="G135" s="2534"/>
      <c r="H135" s="2534"/>
      <c r="I135" s="2535" t="s">
        <v>2321</v>
      </c>
    </row>
    <row r="136" spans="1:35" ht="21.75" customHeight="1">
      <c r="A136" s="793"/>
      <c r="B136" s="2536"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2323</v>
      </c>
    </row>
    <row r="139" spans="1:35" ht="21.75" customHeight="1">
      <c r="A139" s="793"/>
      <c r="B139" s="2536" t="s">
        <v>2324</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2323</v>
      </c>
    </row>
    <row r="142" spans="1:35" ht="21.75" customHeight="1">
      <c r="A142" s="793"/>
      <c r="B142" s="2536"/>
      <c r="C142" s="2537"/>
      <c r="D142" s="2538"/>
      <c r="E142" s="2538"/>
      <c r="F142" s="2331"/>
      <c r="G142" s="793"/>
      <c r="H142" s="793"/>
      <c r="I142" s="793"/>
    </row>
    <row r="143" spans="1:35" s="138" customFormat="1" ht="21.75" customHeight="1">
      <c r="A143" s="793"/>
      <c r="B143" s="2536"/>
      <c r="C143" s="2537"/>
      <c r="D143" s="2538"/>
      <c r="E143" s="2538"/>
      <c r="F143" s="233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7" t="str">
        <f>项目基本情况!B1</f>
        <v>北京市房地产抵押价值预评估</v>
      </c>
      <c r="C37" s="2967"/>
      <c r="D37" s="2967"/>
      <c r="E37" s="2967"/>
      <c r="F37" s="2967"/>
      <c r="G37" s="2967"/>
      <c r="H37" s="2967"/>
      <c r="I37" s="2967"/>
    </row>
    <row r="38" spans="1:9">
      <c r="A38" s="1014"/>
      <c r="B38" s="1014"/>
    </row>
    <row r="39" spans="1:9">
      <c r="A39" s="1012" t="s">
        <v>818</v>
      </c>
      <c r="B39" s="1012" t="s">
        <v>820</v>
      </c>
    </row>
    <row r="40" spans="1:9">
      <c r="A40" s="1012"/>
      <c r="B40" s="1931">
        <f>项目基本情况!B5</f>
        <v>0</v>
      </c>
    </row>
    <row r="41" spans="1:9">
      <c r="A41" s="1012"/>
      <c r="B41" s="1012"/>
    </row>
    <row r="42" spans="1:9">
      <c r="A42" s="1012" t="s">
        <v>818</v>
      </c>
      <c r="B42" s="1012" t="s">
        <v>821</v>
      </c>
    </row>
    <row r="43" spans="1:9">
      <c r="A43" s="1012"/>
      <c r="B43" s="1931" t="s">
        <v>822</v>
      </c>
    </row>
    <row r="44" spans="1:9">
      <c r="A44" s="1012"/>
      <c r="B44" s="1012"/>
    </row>
    <row r="45" spans="1:9">
      <c r="A45" s="1012" t="s">
        <v>818</v>
      </c>
      <c r="B45" s="1012" t="s">
        <v>823</v>
      </c>
    </row>
    <row r="46" spans="1:9" s="1012" customFormat="1" ht="12.75">
      <c r="B46" s="1931" t="str">
        <f>项目基本情况!K4</f>
        <v>（注册号：0)、（注册号：0)</v>
      </c>
    </row>
    <row r="47" spans="1:9">
      <c r="A47" s="1012"/>
      <c r="B47" s="1012" t="str">
        <f>项目基本情况!K5</f>
        <v/>
      </c>
    </row>
    <row r="48" spans="1:9">
      <c r="A48" s="1012" t="s">
        <v>818</v>
      </c>
      <c r="B48" s="1012"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6"/>
      <c r="C1" s="241"/>
      <c r="D1" s="241"/>
      <c r="E1" s="241"/>
      <c r="F1" s="241"/>
      <c r="G1" s="1377">
        <f>MATCH(B1,'数据-取费表'!A6:A16,0)+5</f>
        <v>8</v>
      </c>
    </row>
    <row r="2" spans="1:9" s="243" customFormat="1" ht="18" customHeight="1">
      <c r="A2" s="244" t="s">
        <v>2326</v>
      </c>
      <c r="B2" s="245">
        <f ca="1">IF(D2="——",C52,C52-E2)</f>
        <v>44662</v>
      </c>
      <c r="C2" s="242" t="s">
        <v>2327</v>
      </c>
      <c r="D2" s="2539" t="s">
        <v>70</v>
      </c>
      <c r="E2" s="1438" t="e">
        <f ca="1">SUMIF(INDIRECT("'"&amp;G2&amp;"'"&amp;"!A:A"),"承租人权益价值",INDIRECT("'"&amp;G2&amp;"'"&amp;"!c:c"))</f>
        <v>#REF!</v>
      </c>
      <c r="F2" s="2540" t="s">
        <v>2327</v>
      </c>
      <c r="G2" s="2541"/>
    </row>
    <row r="3" spans="1:9" s="243" customFormat="1" ht="18" customHeight="1" thickBot="1">
      <c r="A3" s="246" t="s">
        <v>2328</v>
      </c>
      <c r="B3" s="247">
        <f ca="1">ROUND(B2*10000/(IF(B1="",'数据-汇总表'!E3,INDIRECT("'数据-取费表'!k"&amp;$G$1))),0)</f>
        <v>6667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16742</v>
      </c>
      <c r="D5" s="254" t="s">
        <v>2333</v>
      </c>
      <c r="E5" s="255" t="s">
        <v>2334</v>
      </c>
      <c r="F5" s="255" t="s">
        <v>2335</v>
      </c>
      <c r="G5" s="256"/>
    </row>
    <row r="6" spans="1:9" s="257" customFormat="1" ht="13.5" customHeight="1">
      <c r="A6" s="947" t="s">
        <v>2336</v>
      </c>
      <c r="B6" s="258" t="s">
        <v>2337</v>
      </c>
      <c r="C6" s="259">
        <f ca="1">基准地价修正!B2</f>
        <v>16246</v>
      </c>
      <c r="D6" s="260"/>
      <c r="E6" s="261"/>
      <c r="F6" s="261"/>
      <c r="G6" s="262"/>
    </row>
    <row r="7" spans="1:9" s="257" customFormat="1" ht="13.5" customHeight="1">
      <c r="A7" s="947" t="s">
        <v>2338</v>
      </c>
      <c r="B7" s="258" t="s">
        <v>2339</v>
      </c>
      <c r="C7" s="263">
        <f ca="1">ROUND(C6*F7,0)</f>
        <v>496</v>
      </c>
      <c r="D7" s="263"/>
      <c r="E7" s="261"/>
      <c r="F7" s="264">
        <f>IF(项目基本情况!B8="出让",0,'数据-取费表'!B48+'数据-取费表'!B49)</f>
        <v>3.0499999999999999E-2</v>
      </c>
      <c r="G7" s="262"/>
    </row>
    <row r="8" spans="1:9" s="266" customFormat="1">
      <c r="A8" s="947" t="s">
        <v>2340</v>
      </c>
      <c r="B8" s="258" t="s">
        <v>2341</v>
      </c>
      <c r="C8" s="263" t="str">
        <f>IF(G8="已包含在土地购买价格中","0",IF(B1="",'数据-取费表'!B29,IF(G9="全部缴纳",C9+C10,H9)))</f>
        <v>0</v>
      </c>
      <c r="D8" s="265"/>
      <c r="E8" s="263"/>
      <c r="F8" s="264"/>
      <c r="G8" s="2542" t="s">
        <v>1144</v>
      </c>
    </row>
    <row r="9" spans="1:9" s="257" customFormat="1" ht="13.5" customHeight="1">
      <c r="A9" s="948" t="s">
        <v>800</v>
      </c>
      <c r="B9" s="267" t="s">
        <v>2342</v>
      </c>
      <c r="C9" s="268">
        <f ca="1">ROUND(D9*E9/10000,0)</f>
        <v>0</v>
      </c>
      <c r="D9" s="1030">
        <f ca="1">IF(B1="",'数据-汇总表'!E5,IF(INDIRECT("'数据-取费表'!c"&amp;$G$1)="住宅",INDIRECT("'数据-取费表'!k"&amp;$G$1),0))</f>
        <v>0</v>
      </c>
      <c r="E9" s="268">
        <f>'数据-取费表'!B27</f>
        <v>160</v>
      </c>
      <c r="F9" s="264"/>
      <c r="G9" s="2543" t="s">
        <v>3099</v>
      </c>
      <c r="H9" s="1388"/>
      <c r="I9" s="2544" t="s">
        <v>2343</v>
      </c>
    </row>
    <row r="10" spans="1:9" s="257" customFormat="1" ht="13.5" customHeight="1">
      <c r="A10" s="948" t="s">
        <v>801</v>
      </c>
      <c r="B10" s="267" t="s">
        <v>2344</v>
      </c>
      <c r="C10" s="268">
        <f ca="1">ROUND(D10*E10/10000,0)</f>
        <v>1340</v>
      </c>
      <c r="D10" s="1030">
        <f ca="1">IF(B1="",'数据-汇总表'!E6,IF(INDIRECT("'数据-取费表'!c"&amp;$G$1)="住宅",INDIRECT("'数据-取费表'!s"&amp;$G$1),INDIRECT("'数据-取费表'!k"&amp;$G$1)+INDIRECT("'数据-取费表'!s"&amp;$G$1)))</f>
        <v>66988.94</v>
      </c>
      <c r="E10" s="268">
        <f>'数据-取费表'!B28</f>
        <v>200</v>
      </c>
      <c r="F10" s="264"/>
      <c r="G10" s="269"/>
    </row>
    <row r="11" spans="1:9" s="257" customFormat="1" ht="13.5" hidden="1" customHeight="1">
      <c r="A11" s="270" t="s">
        <v>7</v>
      </c>
      <c r="B11" s="258" t="s">
        <v>2345</v>
      </c>
      <c r="C11" s="254"/>
      <c r="D11" s="1032"/>
      <c r="E11" s="261"/>
      <c r="F11" s="261"/>
      <c r="G11" s="262"/>
    </row>
    <row r="12" spans="1:9" s="257" customFormat="1" ht="13.5" hidden="1" customHeight="1">
      <c r="A12" s="270" t="s">
        <v>8</v>
      </c>
      <c r="B12" s="258" t="s">
        <v>2346</v>
      </c>
      <c r="C12" s="254">
        <v>0</v>
      </c>
      <c r="D12" s="1032"/>
      <c r="E12" s="271"/>
      <c r="F12" s="264">
        <v>3.0499999999999999E-2</v>
      </c>
      <c r="G12" s="262"/>
    </row>
    <row r="13" spans="1:9" s="257" customFormat="1" ht="13.5" hidden="1" customHeight="1">
      <c r="A13" s="270" t="s">
        <v>9</v>
      </c>
      <c r="B13" s="258" t="s">
        <v>2347</v>
      </c>
      <c r="C13" s="254"/>
      <c r="D13" s="1032"/>
      <c r="E13" s="261"/>
      <c r="F13" s="261"/>
      <c r="G13" s="262"/>
    </row>
    <row r="14" spans="1:9" s="257" customFormat="1" ht="13.5" hidden="1" customHeight="1">
      <c r="A14" s="270" t="s">
        <v>10</v>
      </c>
      <c r="B14" s="258" t="s">
        <v>2348</v>
      </c>
      <c r="C14" s="254"/>
      <c r="D14" s="1032"/>
      <c r="E14" s="261"/>
      <c r="F14" s="261"/>
      <c r="G14" s="262" t="s">
        <v>2349</v>
      </c>
    </row>
    <row r="15" spans="1:9" s="257" customFormat="1" ht="13.5" hidden="1" customHeight="1">
      <c r="A15" s="270" t="s">
        <v>11</v>
      </c>
      <c r="B15" s="258" t="s">
        <v>2350</v>
      </c>
      <c r="C15" s="263"/>
      <c r="D15" s="1032"/>
      <c r="E15" s="261"/>
      <c r="F15" s="261"/>
      <c r="G15" s="262" t="s">
        <v>2351</v>
      </c>
    </row>
    <row r="16" spans="1:9" s="257" customFormat="1" ht="13.5" hidden="1" customHeight="1">
      <c r="A16" s="270" t="s">
        <v>12</v>
      </c>
      <c r="B16" s="258" t="s">
        <v>2348</v>
      </c>
      <c r="C16" s="263"/>
      <c r="D16" s="1032"/>
      <c r="E16" s="261"/>
      <c r="F16" s="261"/>
      <c r="G16" s="262"/>
    </row>
    <row r="17" spans="1:7" s="257" customFormat="1" ht="13.5" hidden="1" customHeight="1">
      <c r="A17" s="270" t="s">
        <v>13</v>
      </c>
      <c r="B17" s="258" t="s">
        <v>2352</v>
      </c>
      <c r="C17" s="272"/>
      <c r="D17" s="1033"/>
      <c r="E17" s="272"/>
      <c r="F17" s="272"/>
      <c r="G17" s="262" t="s">
        <v>2351</v>
      </c>
    </row>
    <row r="18" spans="1:7" s="257" customFormat="1" ht="13.5" hidden="1" customHeight="1">
      <c r="A18" s="270" t="s">
        <v>14</v>
      </c>
      <c r="B18" s="258" t="s">
        <v>2353</v>
      </c>
      <c r="C18" s="263">
        <v>0</v>
      </c>
      <c r="D18" s="1032"/>
      <c r="E18" s="261"/>
      <c r="F18" s="264">
        <v>3.0499999999999999E-2</v>
      </c>
      <c r="G18" s="262" t="s">
        <v>2354</v>
      </c>
    </row>
    <row r="19" spans="1:7" s="266" customFormat="1" ht="13.5" customHeight="1">
      <c r="A19" s="298" t="s">
        <v>2355</v>
      </c>
      <c r="B19" s="253" t="s">
        <v>2356</v>
      </c>
      <c r="C19" s="254">
        <f ca="1">IF(G19="已包含在土地取得成本中","0",ROUND(D19*E19/10000,0))</f>
        <v>1340</v>
      </c>
      <c r="D19" s="1034">
        <f ca="1">D9+D10</f>
        <v>66988.94</v>
      </c>
      <c r="E19" s="254">
        <f>'数据-取费表'!B31</f>
        <v>200</v>
      </c>
      <c r="F19" s="274"/>
      <c r="G19" s="2542" t="s">
        <v>1070</v>
      </c>
    </row>
    <row r="20" spans="1:7" s="257" customFormat="1" ht="13.5" customHeight="1">
      <c r="A20" s="298" t="s">
        <v>2357</v>
      </c>
      <c r="B20" s="253" t="s">
        <v>2358</v>
      </c>
      <c r="C20" s="275">
        <f ca="1">ROUND((C5+C19)*F20,0)</f>
        <v>362</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2">
        <f ca="1">ROUND(SUM(C23:C25),0)</f>
        <v>1317</v>
      </c>
      <c r="D22" s="278">
        <f ca="1">C26</f>
        <v>6.9999999999999999E-4</v>
      </c>
      <c r="E22" s="279" t="s">
        <v>2362</v>
      </c>
      <c r="F22" s="280">
        <f ca="1">'数据-取费表'!B40</f>
        <v>4.7500000000000001E-2</v>
      </c>
      <c r="G22" s="277" t="str">
        <f>IF('数据-取费表'!B22&lt;=1,"单利计息","复利计息")</f>
        <v>复利计息</v>
      </c>
    </row>
    <row r="23" spans="1:7" s="257" customFormat="1" ht="13.5" customHeight="1">
      <c r="A23" s="949" t="s">
        <v>2366</v>
      </c>
      <c r="B23" s="258" t="s">
        <v>2367</v>
      </c>
      <c r="C23" s="1353">
        <f ca="1">ROUND(IF('数据-取费表'!B22&lt;=1,C5*F22*'数据-取费表'!B23,C5*(POWER((1+F22),'数据-取费表'!B23)-1)),0)</f>
        <v>1207</v>
      </c>
      <c r="D23" s="281"/>
      <c r="E23" s="281"/>
      <c r="F23" s="282"/>
      <c r="G23" s="283" t="s">
        <v>2368</v>
      </c>
    </row>
    <row r="24" spans="1:7" s="257" customFormat="1" ht="13.5" customHeight="1">
      <c r="A24" s="949" t="s">
        <v>2369</v>
      </c>
      <c r="B24" s="258" t="s">
        <v>2370</v>
      </c>
      <c r="C24" s="1353">
        <f ca="1">ROUND(IF('数据-取费表'!B22&lt;=1,C19*F22*('数据-取费表'!B19/2+'数据-取费表'!B21),C19*(POWER((1+F22),('数据-取费表'!B19/2+'数据-取费表'!B21))-1)),0)</f>
        <v>97</v>
      </c>
      <c r="D24" s="281"/>
      <c r="E24" s="281"/>
      <c r="F24" s="282"/>
      <c r="G24" s="283" t="s">
        <v>2371</v>
      </c>
    </row>
    <row r="25" spans="1:7" s="257" customFormat="1" ht="24">
      <c r="A25" s="949" t="s">
        <v>2372</v>
      </c>
      <c r="B25" s="258" t="s">
        <v>2373</v>
      </c>
      <c r="C25" s="1353">
        <f ca="1">ROUND(IF('数据-取费表'!B22&lt;=1,C20*F22*'数据-取费表'!B23/2,C20*(POWER((1+F22),'数据-取费表'!B23/2)-1)),0)</f>
        <v>13</v>
      </c>
      <c r="D25" s="281"/>
      <c r="E25" s="284"/>
      <c r="F25" s="282"/>
      <c r="G25" s="285" t="s">
        <v>2374</v>
      </c>
    </row>
    <row r="26" spans="1:7" s="257" customFormat="1">
      <c r="A26" s="949" t="s">
        <v>795</v>
      </c>
      <c r="B26" s="258" t="s">
        <v>2375</v>
      </c>
      <c r="C26" s="281">
        <f ca="1">ROUND(IF('数据-取费表'!B22&lt;=1,F21*F22*'数据-取费表'!B23/2,F21*(POWER((1+F22),'数据-取费表'!B23/2)-1)),4)</f>
        <v>6.9999999999999999E-4</v>
      </c>
      <c r="D26" s="281"/>
      <c r="E26" s="284"/>
      <c r="F26" s="282"/>
      <c r="G26" s="286"/>
    </row>
    <row r="27" spans="1:7" s="257" customFormat="1" ht="24.75">
      <c r="A27" s="298" t="s">
        <v>2376</v>
      </c>
      <c r="B27" s="287" t="s">
        <v>2377</v>
      </c>
      <c r="C27" s="288">
        <f ca="1">C28</f>
        <v>2767</v>
      </c>
      <c r="D27" s="278">
        <f ca="1">C29</f>
        <v>3.0000000000000001E-3</v>
      </c>
      <c r="E27" s="279" t="s">
        <v>2378</v>
      </c>
      <c r="F27" s="289">
        <f ca="1">IF(B1="",'数据-取费表'!Q16,INDIRECT("'数据-取费表'!q"&amp;$G$1))</f>
        <v>0.15</v>
      </c>
      <c r="G27" s="290" t="s">
        <v>2379</v>
      </c>
    </row>
    <row r="28" spans="1:7" s="257" customFormat="1" ht="13.5" customHeight="1">
      <c r="A28" s="949" t="s">
        <v>791</v>
      </c>
      <c r="B28" s="291" t="s">
        <v>2380</v>
      </c>
      <c r="C28" s="292">
        <f ca="1">ROUND((C5+C19+C20)*F27*'数据-取费表'!B21/'数据-取费表'!B20,0)</f>
        <v>2767</v>
      </c>
      <c r="D28" s="278"/>
      <c r="E28" s="279"/>
      <c r="F28" s="289"/>
      <c r="G28" s="290"/>
    </row>
    <row r="29" spans="1:7" s="257" customFormat="1" ht="13.5" customHeight="1">
      <c r="A29" s="949"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24384</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19175</v>
      </c>
      <c r="D33" s="275"/>
      <c r="E33" s="255"/>
      <c r="F33" s="284"/>
      <c r="G33" s="277"/>
    </row>
    <row r="34" spans="1:7" s="301" customFormat="1" ht="13.5" customHeight="1">
      <c r="A34" s="949" t="s">
        <v>791</v>
      </c>
      <c r="B34" s="258" t="s">
        <v>2389</v>
      </c>
      <c r="C34" s="263">
        <f ca="1">IF(B1="",IF(F34=100%,'数据-取费表'!M16,'数据-取费表'!O16),IF(F34=100%,INDIRECT("'数据-取费表'!m"&amp;$G$1)+INDIRECT("'数据-取费表'!t"&amp;$G$1),INDIRECT("'数据-取费表'!o"&amp;$G$1)+INDIRECT("'数据-取费表'!aq"&amp;$G$1)))</f>
        <v>16747</v>
      </c>
      <c r="D34" s="260"/>
      <c r="E34" s="263"/>
      <c r="F34" s="300">
        <f ca="1">IF('数据-取费表'!B24=0,1,IF(B1="",'数据-取费表'!N16,INDIRECT("'数据-取费表'!n"&amp;$G$1)))</f>
        <v>1</v>
      </c>
      <c r="G34" s="262" t="s">
        <v>2390</v>
      </c>
    </row>
    <row r="35" spans="1:7" ht="13.5" customHeight="1">
      <c r="A35" s="949" t="s">
        <v>796</v>
      </c>
      <c r="B35" s="258" t="s">
        <v>2391</v>
      </c>
      <c r="C35" s="263">
        <f ca="1">ROUND(C34*F35,0)</f>
        <v>837</v>
      </c>
      <c r="D35" s="263"/>
      <c r="E35" s="263"/>
      <c r="F35" s="302">
        <f>'数据-取费表'!B33</f>
        <v>0.05</v>
      </c>
      <c r="G35" s="262" t="s">
        <v>2392</v>
      </c>
    </row>
    <row r="36" spans="1:7" ht="24">
      <c r="A36" s="949"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9" t="s">
        <v>798</v>
      </c>
      <c r="B37" s="258" t="s">
        <v>2395</v>
      </c>
      <c r="C37" s="292">
        <f ca="1">ROUND(E37*D37*F34/10000,0)</f>
        <v>1340</v>
      </c>
      <c r="D37" s="260">
        <f ca="1">D19</f>
        <v>66988.94</v>
      </c>
      <c r="E37" s="292">
        <f>'数据-取费表'!B35</f>
        <v>200</v>
      </c>
      <c r="F37" s="302"/>
      <c r="G37" s="304" t="s">
        <v>2396</v>
      </c>
    </row>
    <row r="38" spans="1:7" ht="13.5" customHeight="1">
      <c r="A38" s="949" t="s">
        <v>799</v>
      </c>
      <c r="B38" s="258" t="s">
        <v>2397</v>
      </c>
      <c r="C38" s="263">
        <f ca="1">ROUND(C34*F38,0)</f>
        <v>251</v>
      </c>
      <c r="D38" s="263"/>
      <c r="E38" s="263"/>
      <c r="F38" s="302">
        <f>'数据-取费表'!B36</f>
        <v>1.4999999999999999E-2</v>
      </c>
      <c r="G38" s="262" t="s">
        <v>2392</v>
      </c>
    </row>
    <row r="39" spans="1:7" s="257" customFormat="1" ht="13.5" customHeight="1">
      <c r="A39" s="298" t="s">
        <v>2398</v>
      </c>
      <c r="B39" s="253" t="s">
        <v>2399</v>
      </c>
      <c r="C39" s="275">
        <f ca="1">ROUND(C33*F20,0)</f>
        <v>384</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693</v>
      </c>
      <c r="D41" s="278">
        <f ca="1">C44</f>
        <v>6.9999999999999999E-4</v>
      </c>
      <c r="E41" s="279" t="s">
        <v>2403</v>
      </c>
      <c r="F41" s="280"/>
      <c r="G41" s="277" t="str">
        <f>IF('数据-取费表'!B22&lt;=1,"单利计息","复利计息")</f>
        <v>复利计息</v>
      </c>
    </row>
    <row r="42" spans="1:7" ht="13.5" customHeight="1">
      <c r="A42" s="949" t="s">
        <v>791</v>
      </c>
      <c r="B42" s="258" t="s">
        <v>2407</v>
      </c>
      <c r="C42" s="281">
        <f ca="1">ROUND(IF('数据-取费表'!B22&lt;=1,C33*F22*'数据-取费表'!B21/2,C33*(POWER((1+F22),'数据-取费表'!B21/2)-1)),0)</f>
        <v>679</v>
      </c>
      <c r="D42" s="281"/>
      <c r="E42" s="281"/>
      <c r="F42" s="282"/>
      <c r="G42" s="3155" t="s">
        <v>2408</v>
      </c>
    </row>
    <row r="43" spans="1:7" ht="13.5" customHeight="1">
      <c r="A43" s="949" t="s">
        <v>792</v>
      </c>
      <c r="B43" s="258" t="s">
        <v>2409</v>
      </c>
      <c r="C43" s="281">
        <f ca="1">ROUND(IF('数据-取费表'!B22&lt;=1,C39*F22*'数据-取费表'!B21/2,C39*(POWER((1+F22),'数据-取费表'!B21/2)-1)),0)</f>
        <v>14</v>
      </c>
      <c r="D43" s="281"/>
      <c r="E43" s="281"/>
      <c r="F43" s="282"/>
      <c r="G43" s="3156"/>
    </row>
    <row r="44" spans="1:7" ht="13.5" customHeight="1">
      <c r="A44" s="949" t="s">
        <v>793</v>
      </c>
      <c r="B44" s="258" t="s">
        <v>2410</v>
      </c>
      <c r="C44" s="281">
        <f ca="1">ROUND(IF('数据-取费表'!B22&lt;=1,C40*F22*'数据-取费表'!B21/2,C40*(POWER((1+F22),'数据-取费表'!B21/2)-1)),4)</f>
        <v>6.9999999999999999E-4</v>
      </c>
      <c r="D44" s="281"/>
      <c r="E44" s="281"/>
      <c r="F44" s="282"/>
      <c r="G44" s="3157"/>
    </row>
    <row r="45" spans="1:7" s="257" customFormat="1" ht="13.5" customHeight="1">
      <c r="A45" s="298" t="s">
        <v>2411</v>
      </c>
      <c r="B45" s="287" t="s">
        <v>2377</v>
      </c>
      <c r="C45" s="288">
        <f ca="1">C46</f>
        <v>2934</v>
      </c>
      <c r="D45" s="278">
        <f ca="1">C47</f>
        <v>3.0000000000000001E-3</v>
      </c>
      <c r="E45" s="279" t="s">
        <v>2403</v>
      </c>
      <c r="F45" s="289"/>
      <c r="G45" s="290" t="s">
        <v>2412</v>
      </c>
    </row>
    <row r="46" spans="1:7" s="257" customFormat="1" ht="13.5" customHeight="1">
      <c r="A46" s="949" t="s">
        <v>791</v>
      </c>
      <c r="B46" s="291" t="s">
        <v>2413</v>
      </c>
      <c r="C46" s="292">
        <f ca="1">ROUND((C33+C39)*F27,0)</f>
        <v>2934</v>
      </c>
      <c r="D46" s="306"/>
      <c r="E46" s="279"/>
      <c r="F46" s="289"/>
      <c r="G46" s="290"/>
    </row>
    <row r="47" spans="1:7" s="257" customFormat="1" ht="13.5" customHeight="1">
      <c r="A47" s="949" t="s">
        <v>792</v>
      </c>
      <c r="B47" s="291" t="s">
        <v>2414</v>
      </c>
      <c r="C47" s="281">
        <f ca="1">ROUND(C40*F27,4)</f>
        <v>3.0000000000000001E-3</v>
      </c>
      <c r="D47" s="306"/>
      <c r="E47" s="279"/>
      <c r="F47" s="289"/>
      <c r="G47" s="290"/>
    </row>
    <row r="48" spans="1:7" s="257" customFormat="1" ht="13.5" customHeight="1">
      <c r="A48" s="298" t="s">
        <v>2376</v>
      </c>
      <c r="B48" s="253" t="s">
        <v>2415</v>
      </c>
      <c r="C48" s="1726">
        <f>ROUND(F30/(1+'数据-取费表'!C42),4)</f>
        <v>5.2400000000000002E-2</v>
      </c>
      <c r="D48" s="279" t="s">
        <v>2403</v>
      </c>
      <c r="E48" s="275"/>
      <c r="F48" s="280"/>
      <c r="G48" s="277" t="s">
        <v>2416</v>
      </c>
    </row>
    <row r="49" spans="1:7" ht="16.5" customHeight="1">
      <c r="A49" s="298" t="s">
        <v>2382</v>
      </c>
      <c r="B49" s="253" t="s">
        <v>2417</v>
      </c>
      <c r="C49" s="275">
        <f ca="1">ROUND((C33+C39+C41+C45)/(1-C40-D41-D45-C48),0)</f>
        <v>25096</v>
      </c>
      <c r="D49" s="275"/>
      <c r="E49" s="275"/>
      <c r="F49" s="307"/>
      <c r="G49" s="277" t="s">
        <v>2418</v>
      </c>
    </row>
    <row r="50" spans="1:7" s="301" customFormat="1" ht="24">
      <c r="A50" s="298" t="s">
        <v>2419</v>
      </c>
      <c r="B50" s="253" t="s">
        <v>2420</v>
      </c>
      <c r="C50" s="275"/>
      <c r="D50" s="275"/>
      <c r="E50" s="275"/>
      <c r="F50" s="307">
        <f>IF('数据-取费表'!B24=0,'数据-取费表'!N16,1)</f>
        <v>0.80800000000000005</v>
      </c>
      <c r="G50" s="290" t="s">
        <v>2421</v>
      </c>
    </row>
    <row r="51" spans="1:7" ht="16.5" customHeight="1">
      <c r="A51" s="298" t="s">
        <v>2422</v>
      </c>
      <c r="B51" s="253" t="s">
        <v>2423</v>
      </c>
      <c r="C51" s="275">
        <f ca="1">ROUND(C49*F50,0)</f>
        <v>20278</v>
      </c>
      <c r="D51" s="275"/>
      <c r="E51" s="275"/>
      <c r="F51" s="307"/>
      <c r="G51" s="277" t="s">
        <v>2424</v>
      </c>
    </row>
    <row r="52" spans="1:7" s="251" customFormat="1" ht="16.5" thickBot="1">
      <c r="A52" s="308" t="s">
        <v>2425</v>
      </c>
      <c r="B52" s="309"/>
      <c r="C52" s="310">
        <f ca="1">C31+C51</f>
        <v>44662</v>
      </c>
      <c r="D52" s="309"/>
      <c r="E52" s="309"/>
      <c r="F52" s="309"/>
      <c r="G52" s="311"/>
    </row>
    <row r="55" spans="1:7" ht="15">
      <c r="B55" s="313" t="s">
        <v>2426</v>
      </c>
      <c r="C55" s="314"/>
    </row>
    <row r="56" spans="1:7">
      <c r="B56" s="316" t="s">
        <v>1507</v>
      </c>
      <c r="C56" s="318">
        <f ca="1">1-C57</f>
        <v>0.54600000000000004</v>
      </c>
    </row>
    <row r="57" spans="1:7">
      <c r="B57" s="316" t="s">
        <v>1508</v>
      </c>
      <c r="C57" s="317">
        <f ca="1">ROUND(C51/C52,3)</f>
        <v>0.45400000000000001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26"/>
      <c r="C1" s="2545" t="s">
        <v>2427</v>
      </c>
      <c r="D1" s="241"/>
      <c r="E1" s="241"/>
      <c r="F1" s="241"/>
      <c r="G1" s="1377">
        <f>MATCH(B1,'数据-取费表'!A6:A16,0)+5</f>
        <v>8</v>
      </c>
      <c r="H1" s="1280" t="str">
        <f>IF(ISERROR(FIND("住宅",B1)),"非住宅","住宅")</f>
        <v>非住宅</v>
      </c>
    </row>
    <row r="2" spans="1:8" s="243" customFormat="1" ht="18" customHeight="1">
      <c r="A2" s="244" t="s">
        <v>2326</v>
      </c>
      <c r="B2" s="245">
        <f ca="1">ROUND(IF(D2="——",C52/10000,C52/10000-E2),0)</f>
        <v>23890</v>
      </c>
      <c r="C2" s="242" t="s">
        <v>2327</v>
      </c>
      <c r="D2" s="2539" t="s">
        <v>70</v>
      </c>
      <c r="E2" s="1438" t="e">
        <f ca="1">SUMIF(INDIRECT("'"&amp;G2&amp;"'"&amp;"!A:A"),"承租人权益价值",INDIRECT("'"&amp;G2&amp;"'"&amp;"!c:c"))</f>
        <v>#REF!</v>
      </c>
      <c r="F2" s="2540" t="s">
        <v>2327</v>
      </c>
      <c r="G2" s="2541"/>
    </row>
    <row r="3" spans="1:8" s="243" customFormat="1" ht="18" customHeight="1" thickBot="1">
      <c r="A3" s="246" t="s">
        <v>2328</v>
      </c>
      <c r="B3" s="247">
        <f ca="1">ROUND(B2*10000/(IF(B1="",'数据-汇总表'!E3,INDIRECT("'数据-取费表'!k"&amp;$G$1))),0)</f>
        <v>3566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13397788</v>
      </c>
      <c r="D5" s="254" t="s">
        <v>2333</v>
      </c>
      <c r="E5" s="255" t="s">
        <v>2334</v>
      </c>
      <c r="F5" s="255" t="s">
        <v>2335</v>
      </c>
      <c r="G5" s="256"/>
    </row>
    <row r="6" spans="1:8" s="257" customFormat="1" ht="13.5" customHeight="1">
      <c r="A6" s="947" t="s">
        <v>2336</v>
      </c>
      <c r="B6" s="258" t="s">
        <v>2337</v>
      </c>
      <c r="C6" s="259"/>
      <c r="D6" s="260"/>
      <c r="E6" s="261"/>
      <c r="F6" s="261"/>
      <c r="G6" s="262"/>
    </row>
    <row r="7" spans="1:8" s="257" customFormat="1" ht="13.5" customHeight="1">
      <c r="A7" s="947" t="s">
        <v>2338</v>
      </c>
      <c r="B7" s="258" t="s">
        <v>2339</v>
      </c>
      <c r="C7" s="263">
        <f>ROUND(C6*F7,0)</f>
        <v>0</v>
      </c>
      <c r="D7" s="263"/>
      <c r="E7" s="261"/>
      <c r="F7" s="264">
        <f>IF(项目基本情况!B8="出让",0,'数据-取费表'!B48+'数据-取费表'!B49)</f>
        <v>3.0499999999999999E-2</v>
      </c>
      <c r="G7" s="262"/>
    </row>
    <row r="8" spans="1:8" s="266" customFormat="1">
      <c r="A8" s="947" t="s">
        <v>2340</v>
      </c>
      <c r="B8" s="258" t="s">
        <v>2341</v>
      </c>
      <c r="C8" s="263">
        <f ca="1">IF(G8="已包含在土地购买价格中",0,C9+C10)</f>
        <v>13397788</v>
      </c>
      <c r="D8" s="265"/>
      <c r="E8" s="263"/>
      <c r="F8" s="264"/>
      <c r="G8" s="2542"/>
    </row>
    <row r="9" spans="1:8" s="257" customFormat="1" ht="13.5" customHeight="1">
      <c r="A9" s="948" t="s">
        <v>800</v>
      </c>
      <c r="B9" s="267" t="s">
        <v>2342</v>
      </c>
      <c r="C9" s="268">
        <f ca="1">ROUND(D9*E9,0)</f>
        <v>0</v>
      </c>
      <c r="D9" s="1030">
        <f ca="1">IF(B1="",'数据-汇总表'!E5,IF(INDIRECT("'数据-取费表'!c"&amp;$G$1)="住宅",INDIRECT("'数据-取费表'!k"&amp;$G$1),0))</f>
        <v>0</v>
      </c>
      <c r="E9" s="268">
        <f>'数据-取费表'!B27</f>
        <v>160</v>
      </c>
      <c r="F9" s="264"/>
      <c r="G9" s="269"/>
    </row>
    <row r="10" spans="1:8" s="257" customFormat="1" ht="13.5" customHeight="1">
      <c r="A10" s="948" t="s">
        <v>801</v>
      </c>
      <c r="B10" s="267" t="s">
        <v>2344</v>
      </c>
      <c r="C10" s="268">
        <f ca="1">ROUND(D10*E10,0)</f>
        <v>13397788</v>
      </c>
      <c r="D10" s="1030">
        <f ca="1">IF(B1="",'数据-汇总表'!E6,IF(INDIRECT("'数据-取费表'!c"&amp;$G$1)="住宅",INDIRECT("'数据-取费表'!s"&amp;$G$1),INDIRECT("'数据-取费表'!k"&amp;$G$1)+INDIRECT("'数据-取费表'!s"&amp;$G$1)))</f>
        <v>66988.94</v>
      </c>
      <c r="E10" s="268">
        <f>'数据-取费表'!B28</f>
        <v>200</v>
      </c>
      <c r="F10" s="264"/>
      <c r="G10" s="269"/>
    </row>
    <row r="11" spans="1:8" s="257" customFormat="1" ht="13.5" hidden="1" customHeight="1">
      <c r="A11" s="270" t="s">
        <v>7</v>
      </c>
      <c r="B11" s="258" t="s">
        <v>2345</v>
      </c>
      <c r="C11" s="254"/>
      <c r="D11" s="1032"/>
      <c r="E11" s="261"/>
      <c r="F11" s="261"/>
      <c r="G11" s="262"/>
    </row>
    <row r="12" spans="1:8" s="257" customFormat="1" ht="13.5" hidden="1" customHeight="1">
      <c r="A12" s="270" t="s">
        <v>8</v>
      </c>
      <c r="B12" s="258" t="s">
        <v>2428</v>
      </c>
      <c r="C12" s="254">
        <v>0</v>
      </c>
      <c r="D12" s="1032"/>
      <c r="E12" s="271"/>
      <c r="F12" s="264">
        <v>3.0499999999999999E-2</v>
      </c>
      <c r="G12" s="262"/>
    </row>
    <row r="13" spans="1:8" s="257" customFormat="1" ht="13.5" hidden="1" customHeight="1">
      <c r="A13" s="270" t="s">
        <v>9</v>
      </c>
      <c r="B13" s="258" t="s">
        <v>2429</v>
      </c>
      <c r="C13" s="254"/>
      <c r="D13" s="1032"/>
      <c r="E13" s="261"/>
      <c r="F13" s="261"/>
      <c r="G13" s="262"/>
    </row>
    <row r="14" spans="1:8" s="257" customFormat="1" ht="13.5" hidden="1" customHeight="1">
      <c r="A14" s="270" t="s">
        <v>10</v>
      </c>
      <c r="B14" s="258" t="s">
        <v>2341</v>
      </c>
      <c r="C14" s="254"/>
      <c r="D14" s="1032"/>
      <c r="E14" s="261"/>
      <c r="F14" s="261"/>
      <c r="G14" s="262" t="s">
        <v>2430</v>
      </c>
    </row>
    <row r="15" spans="1:8" s="257" customFormat="1" ht="13.5" hidden="1" customHeight="1">
      <c r="A15" s="270" t="s">
        <v>11</v>
      </c>
      <c r="B15" s="258" t="s">
        <v>2431</v>
      </c>
      <c r="C15" s="263"/>
      <c r="D15" s="1032"/>
      <c r="E15" s="261"/>
      <c r="F15" s="261"/>
      <c r="G15" s="262" t="s">
        <v>2432</v>
      </c>
    </row>
    <row r="16" spans="1:8" s="257" customFormat="1" ht="13.5" hidden="1" customHeight="1">
      <c r="A16" s="270" t="s">
        <v>12</v>
      </c>
      <c r="B16" s="258" t="s">
        <v>2341</v>
      </c>
      <c r="C16" s="263"/>
      <c r="D16" s="1032"/>
      <c r="E16" s="261"/>
      <c r="F16" s="261"/>
      <c r="G16" s="262"/>
    </row>
    <row r="17" spans="1:7" s="257" customFormat="1" ht="13.5" hidden="1" customHeight="1">
      <c r="A17" s="270" t="s">
        <v>13</v>
      </c>
      <c r="B17" s="258" t="s">
        <v>2433</v>
      </c>
      <c r="C17" s="272"/>
      <c r="D17" s="1033"/>
      <c r="E17" s="272"/>
      <c r="F17" s="272"/>
      <c r="G17" s="262" t="s">
        <v>2432</v>
      </c>
    </row>
    <row r="18" spans="1:7" s="257" customFormat="1" ht="13.5" hidden="1" customHeight="1">
      <c r="A18" s="270" t="s">
        <v>14</v>
      </c>
      <c r="B18" s="258" t="s">
        <v>2434</v>
      </c>
      <c r="C18" s="263">
        <v>0</v>
      </c>
      <c r="D18" s="1032"/>
      <c r="E18" s="261"/>
      <c r="F18" s="264">
        <v>3.0499999999999999E-2</v>
      </c>
      <c r="G18" s="262" t="s">
        <v>2435</v>
      </c>
    </row>
    <row r="19" spans="1:7" s="266" customFormat="1" ht="13.5" customHeight="1">
      <c r="A19" s="298" t="s">
        <v>2436</v>
      </c>
      <c r="B19" s="253" t="s">
        <v>2437</v>
      </c>
      <c r="C19" s="254">
        <f ca="1">IF(G19="已包含在土地取得成本中","0",ROUND(D19*E19,0))</f>
        <v>13397788</v>
      </c>
      <c r="D19" s="1034">
        <f ca="1">D9+D10</f>
        <v>66988.94</v>
      </c>
      <c r="E19" s="254">
        <f>'数据-取费表'!B31</f>
        <v>200</v>
      </c>
      <c r="F19" s="274"/>
      <c r="G19" s="2542"/>
    </row>
    <row r="20" spans="1:7" s="257" customFormat="1" ht="13.5" customHeight="1">
      <c r="A20" s="298" t="s">
        <v>2438</v>
      </c>
      <c r="B20" s="253" t="s">
        <v>2439</v>
      </c>
      <c r="C20" s="275">
        <f ca="1">ROUND((C5+C19)*F20,0)</f>
        <v>535912</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8">
        <f ca="1">ROUND(SUM(C23:C25),0)</f>
        <v>1950661</v>
      </c>
      <c r="D22" s="278">
        <f ca="1">C26</f>
        <v>6.9999999999999999E-4</v>
      </c>
      <c r="E22" s="279" t="s">
        <v>2443</v>
      </c>
      <c r="F22" s="280">
        <f ca="1">'数据-取费表'!B40</f>
        <v>4.7500000000000001E-2</v>
      </c>
      <c r="G22" s="277" t="str">
        <f>IF('数据-取费表'!B22&lt;=1,"单利计息","复利计息")</f>
        <v>复利计息</v>
      </c>
    </row>
    <row r="23" spans="1:7" s="257" customFormat="1" ht="13.5" customHeight="1">
      <c r="A23" s="949" t="s">
        <v>2336</v>
      </c>
      <c r="B23" s="258" t="s">
        <v>2447</v>
      </c>
      <c r="C23" s="1379">
        <f ca="1">ROUND(IF('数据-取费表'!B22&lt;=1,C5*F22*'数据-取费表'!B22,C5*(POWER((1+F22),'数据-取费表'!B22)-1)),0)</f>
        <v>965840</v>
      </c>
      <c r="D23" s="281"/>
      <c r="E23" s="281"/>
      <c r="F23" s="282"/>
      <c r="G23" s="283" t="s">
        <v>2448</v>
      </c>
    </row>
    <row r="24" spans="1:7" s="257" customFormat="1" ht="13.5" customHeight="1">
      <c r="A24" s="949" t="s">
        <v>2338</v>
      </c>
      <c r="B24" s="258" t="s">
        <v>2449</v>
      </c>
      <c r="C24" s="1379">
        <f ca="1">ROUND(IF('数据-取费表'!B22&lt;=1,C19*F22*('数据-取费表'!B19/2+'数据-取费表'!B20),C19*(POWER((1+F22),('数据-取费表'!B19/2+'数据-取费表'!B20))-1)),0)</f>
        <v>965840</v>
      </c>
      <c r="D24" s="281"/>
      <c r="E24" s="281"/>
      <c r="F24" s="282"/>
      <c r="G24" s="283" t="s">
        <v>2450</v>
      </c>
    </row>
    <row r="25" spans="1:7" s="257" customFormat="1" ht="24">
      <c r="A25" s="949" t="s">
        <v>2340</v>
      </c>
      <c r="B25" s="258" t="s">
        <v>2451</v>
      </c>
      <c r="C25" s="1379">
        <f ca="1">ROUND(IF('数据-取费表'!B22&lt;=1,C20*F22*'数据-取费表'!B22/2,C20*(POWER((1+F22),'数据-取费表'!B22/2)-1)),0)</f>
        <v>18981</v>
      </c>
      <c r="D25" s="281"/>
      <c r="E25" s="284"/>
      <c r="F25" s="282"/>
      <c r="G25" s="285" t="s">
        <v>2452</v>
      </c>
    </row>
    <row r="26" spans="1:7" s="257" customFormat="1">
      <c r="A26" s="949" t="s">
        <v>795</v>
      </c>
      <c r="B26" s="258" t="s">
        <v>2375</v>
      </c>
      <c r="C26" s="281">
        <f ca="1">ROUND(IF('数据-取费表'!B22&lt;=1,F21*F22*'数据-取费表'!B22/2,F21*(POWER((1+F22),'数据-取费表'!B22/2)-1)),4)</f>
        <v>6.9999999999999999E-4</v>
      </c>
      <c r="D26" s="281"/>
      <c r="E26" s="284"/>
      <c r="F26" s="282"/>
      <c r="G26" s="286"/>
    </row>
    <row r="27" spans="1:7" s="257" customFormat="1" ht="24.75">
      <c r="A27" s="298" t="s">
        <v>2376</v>
      </c>
      <c r="B27" s="287" t="s">
        <v>2377</v>
      </c>
      <c r="C27" s="288">
        <f ca="1">C28</f>
        <v>4099723</v>
      </c>
      <c r="D27" s="278">
        <f ca="1">C29</f>
        <v>3.0000000000000001E-3</v>
      </c>
      <c r="E27" s="279" t="s">
        <v>2378</v>
      </c>
      <c r="F27" s="289">
        <f ca="1">IF(B1="",'数据-取费表'!Q16,INDIRECT("'数据-取费表'!q"&amp;$G$1))</f>
        <v>0.15</v>
      </c>
      <c r="G27" s="290" t="s">
        <v>2379</v>
      </c>
    </row>
    <row r="28" spans="1:7" s="257" customFormat="1" ht="13.5" customHeight="1">
      <c r="A28" s="949" t="s">
        <v>791</v>
      </c>
      <c r="B28" s="291" t="s">
        <v>2380</v>
      </c>
      <c r="C28" s="292">
        <f ca="1">ROUND((C5+C19+C20)*F27,0)</f>
        <v>4099723</v>
      </c>
      <c r="D28" s="278"/>
      <c r="E28" s="279"/>
      <c r="F28" s="289"/>
      <c r="G28" s="290"/>
    </row>
    <row r="29" spans="1:7" s="257" customFormat="1" ht="13.5" customHeight="1">
      <c r="A29" s="949"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36131477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191755841</v>
      </c>
      <c r="D33" s="275"/>
      <c r="E33" s="255"/>
      <c r="F33" s="284"/>
      <c r="G33" s="277"/>
    </row>
    <row r="34" spans="1:7" s="301" customFormat="1" ht="13.5" customHeight="1">
      <c r="A34" s="949" t="s">
        <v>791</v>
      </c>
      <c r="B34" s="258" t="s">
        <v>2389</v>
      </c>
      <c r="C34" s="263">
        <f ca="1">ROUND(IF(B1="",SUMPRODUCT('数据-取费表'!K6:K14,'数据-取费表'!L6:L14),INDIRECT("'数据-取费表'!l"&amp;$G$1)*INDIRECT("'数据-取费表'!k"&amp;$G$1)+'数据-取费表'!L14*INDIRECT("'数据-取费表'!S"&amp;$G$1)),0)</f>
        <v>167472350</v>
      </c>
      <c r="D34" s="260"/>
      <c r="E34" s="263"/>
      <c r="F34" s="300"/>
      <c r="G34" s="262"/>
    </row>
    <row r="35" spans="1:7" ht="13.5" customHeight="1">
      <c r="A35" s="949" t="s">
        <v>796</v>
      </c>
      <c r="B35" s="258" t="s">
        <v>2391</v>
      </c>
      <c r="C35" s="263">
        <f ca="1">ROUND(C34*F35,0)</f>
        <v>8373618</v>
      </c>
      <c r="D35" s="263"/>
      <c r="E35" s="263"/>
      <c r="F35" s="302">
        <f>'数据-取费表'!B33</f>
        <v>0.05</v>
      </c>
      <c r="G35" s="262" t="s">
        <v>2392</v>
      </c>
    </row>
    <row r="36" spans="1:7" ht="24">
      <c r="A36" s="949"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9" t="s">
        <v>798</v>
      </c>
      <c r="B37" s="258" t="s">
        <v>2395</v>
      </c>
      <c r="C37" s="292">
        <f ca="1">ROUND(E37*D37,0)</f>
        <v>13397788</v>
      </c>
      <c r="D37" s="260">
        <f ca="1">D19</f>
        <v>66988.94</v>
      </c>
      <c r="E37" s="292">
        <f>'数据-取费表'!B35</f>
        <v>200</v>
      </c>
      <c r="F37" s="302"/>
      <c r="G37" s="304"/>
    </row>
    <row r="38" spans="1:7" ht="13.5" customHeight="1">
      <c r="A38" s="949" t="s">
        <v>799</v>
      </c>
      <c r="B38" s="258" t="s">
        <v>2397</v>
      </c>
      <c r="C38" s="263">
        <f ca="1">ROUND(C34*F38,0)</f>
        <v>2512085</v>
      </c>
      <c r="D38" s="263"/>
      <c r="E38" s="263"/>
      <c r="F38" s="302">
        <f>'数据-取费表'!B36</f>
        <v>1.4999999999999999E-2</v>
      </c>
      <c r="G38" s="262" t="s">
        <v>2392</v>
      </c>
    </row>
    <row r="39" spans="1:7" s="257" customFormat="1" ht="13.5" customHeight="1">
      <c r="A39" s="298" t="s">
        <v>2398</v>
      </c>
      <c r="B39" s="253" t="s">
        <v>2399</v>
      </c>
      <c r="C39" s="275">
        <f ca="1">ROUND(C33*F20,0)</f>
        <v>3835117</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6927353</v>
      </c>
      <c r="D41" s="278">
        <f ca="1">C44</f>
        <v>6.9999999999999999E-4</v>
      </c>
      <c r="E41" s="279" t="s">
        <v>2403</v>
      </c>
      <c r="F41" s="280"/>
      <c r="G41" s="277" t="str">
        <f>IF('数据-取费表'!B22&lt;=1,"单利计息","复利计息")</f>
        <v>复利计息</v>
      </c>
    </row>
    <row r="42" spans="1:7" ht="13.5" customHeight="1">
      <c r="A42" s="949" t="s">
        <v>791</v>
      </c>
      <c r="B42" s="258" t="s">
        <v>2407</v>
      </c>
      <c r="C42" s="281">
        <f ca="1">ROUND(IF('数据-取费表'!B22&lt;=1,C33*F22*'数据-取费表'!B20/2,C33*(POWER((1+F22),'数据-取费表'!B20/2)-1)),0)</f>
        <v>6791523</v>
      </c>
      <c r="D42" s="281"/>
      <c r="E42" s="281"/>
      <c r="F42" s="282"/>
      <c r="G42" s="3155" t="s">
        <v>2455</v>
      </c>
    </row>
    <row r="43" spans="1:7" ht="13.5" customHeight="1">
      <c r="A43" s="949" t="s">
        <v>792</v>
      </c>
      <c r="B43" s="258" t="s">
        <v>2409</v>
      </c>
      <c r="C43" s="281">
        <f ca="1">ROUND(IF('数据-取费表'!B22&lt;=1,C39*F22*'数据-取费表'!B20/2,C39*(POWER((1+F22),'数据-取费表'!B20/2)-1)),0)</f>
        <v>135830</v>
      </c>
      <c r="D43" s="281"/>
      <c r="E43" s="281"/>
      <c r="F43" s="282"/>
      <c r="G43" s="3156"/>
    </row>
    <row r="44" spans="1:7" ht="13.5" customHeight="1">
      <c r="A44" s="949" t="s">
        <v>793</v>
      </c>
      <c r="B44" s="258" t="s">
        <v>2410</v>
      </c>
      <c r="C44" s="281">
        <f ca="1">ROUND(IF('数据-取费表'!B22&lt;=1,C40*F22*'数据-取费表'!B20/2,C40*(POWER((1+F22),'数据-取费表'!B20/2)-1)),4)</f>
        <v>6.9999999999999999E-4</v>
      </c>
      <c r="D44" s="281"/>
      <c r="E44" s="281"/>
      <c r="F44" s="282"/>
      <c r="G44" s="3157"/>
    </row>
    <row r="45" spans="1:7" s="257" customFormat="1" ht="13.5" customHeight="1">
      <c r="A45" s="298" t="s">
        <v>2411</v>
      </c>
      <c r="B45" s="287" t="s">
        <v>2377</v>
      </c>
      <c r="C45" s="288">
        <f ca="1">C46</f>
        <v>29338644</v>
      </c>
      <c r="D45" s="278">
        <f ca="1">C47</f>
        <v>3.0000000000000001E-3</v>
      </c>
      <c r="E45" s="279" t="s">
        <v>2403</v>
      </c>
      <c r="F45" s="289"/>
      <c r="G45" s="290" t="s">
        <v>2412</v>
      </c>
    </row>
    <row r="46" spans="1:7" s="257" customFormat="1" ht="13.5" customHeight="1">
      <c r="A46" s="949" t="s">
        <v>791</v>
      </c>
      <c r="B46" s="291" t="s">
        <v>2413</v>
      </c>
      <c r="C46" s="292">
        <f ca="1">ROUND((C33+C39)*F27,0)</f>
        <v>29338644</v>
      </c>
      <c r="D46" s="306"/>
      <c r="E46" s="279"/>
      <c r="F46" s="289"/>
      <c r="G46" s="290"/>
    </row>
    <row r="47" spans="1:7" s="257" customFormat="1" ht="13.5" customHeight="1">
      <c r="A47" s="949"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250954600</v>
      </c>
      <c r="D49" s="275"/>
      <c r="E49" s="275"/>
      <c r="F49" s="307"/>
      <c r="G49" s="277" t="s">
        <v>2418</v>
      </c>
    </row>
    <row r="50" spans="1:7" s="301" customFormat="1">
      <c r="A50" s="298" t="s">
        <v>2419</v>
      </c>
      <c r="B50" s="253" t="s">
        <v>2420</v>
      </c>
      <c r="C50" s="275"/>
      <c r="D50" s="275"/>
      <c r="E50" s="275"/>
      <c r="F50" s="307">
        <f>IF('数据-取费表'!B24=0,'数据-取费表'!N16,1)</f>
        <v>0.80800000000000005</v>
      </c>
      <c r="G50" s="290"/>
    </row>
    <row r="51" spans="1:7" ht="16.5" customHeight="1">
      <c r="A51" s="298" t="s">
        <v>2422</v>
      </c>
      <c r="B51" s="253" t="s">
        <v>2457</v>
      </c>
      <c r="C51" s="275">
        <f ca="1">ROUND(C49*F50,0)</f>
        <v>202771317</v>
      </c>
      <c r="D51" s="275"/>
      <c r="E51" s="275"/>
      <c r="F51" s="307"/>
      <c r="G51" s="277" t="s">
        <v>2424</v>
      </c>
    </row>
    <row r="52" spans="1:7" s="251" customFormat="1" ht="16.5" thickBot="1">
      <c r="A52" s="308" t="s">
        <v>2425</v>
      </c>
      <c r="B52" s="309"/>
      <c r="C52" s="310">
        <f ca="1">C31+C51</f>
        <v>238902794</v>
      </c>
      <c r="D52" s="309"/>
      <c r="E52" s="309"/>
      <c r="F52" s="309"/>
      <c r="G52" s="311"/>
    </row>
    <row r="55" spans="1:7" ht="15">
      <c r="B55" s="313" t="s">
        <v>2426</v>
      </c>
      <c r="C55" s="314"/>
    </row>
    <row r="56" spans="1:7">
      <c r="B56" s="316" t="s">
        <v>1507</v>
      </c>
      <c r="C56" s="318">
        <f ca="1">1-C57</f>
        <v>0.15100000000000002</v>
      </c>
    </row>
    <row r="57" spans="1:7">
      <c r="B57" s="316" t="s">
        <v>1508</v>
      </c>
      <c r="C57" s="317">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2458</v>
      </c>
      <c r="B1" s="1579"/>
      <c r="C1" s="1580"/>
      <c r="D1" s="1578"/>
      <c r="E1" s="319"/>
      <c r="F1" s="319"/>
      <c r="G1" s="1579"/>
      <c r="H1" s="319"/>
      <c r="I1" s="319"/>
      <c r="J1" s="319"/>
      <c r="K1" s="319">
        <f>MATCH(C1,'数据-取费表'!A6:A16,0)+5</f>
        <v>8</v>
      </c>
    </row>
    <row r="2" spans="1:33" ht="18" customHeight="1">
      <c r="A2" s="244" t="s">
        <v>2326</v>
      </c>
      <c r="B2" s="247">
        <f ca="1">C32</f>
        <v>-1528</v>
      </c>
      <c r="C2" s="319" t="s">
        <v>2459</v>
      </c>
      <c r="D2" s="319"/>
      <c r="E2" s="319"/>
      <c r="F2" s="319"/>
      <c r="G2" s="319"/>
      <c r="H2" s="319"/>
      <c r="I2" s="319"/>
      <c r="J2" s="319"/>
      <c r="K2" s="319"/>
    </row>
    <row r="3" spans="1:33" ht="18" customHeight="1" thickBot="1">
      <c r="A3" s="246" t="s">
        <v>2328</v>
      </c>
      <c r="B3" s="247">
        <f ca="1">ROUND(B2*10000/IF(C1="",'数据-汇总表'!E3,INDIRECT("'数据-取费表'!K"&amp;$K$1)),0)</f>
        <v>-228</v>
      </c>
      <c r="C3" s="319" t="s">
        <v>2460</v>
      </c>
      <c r="D3" s="319"/>
      <c r="E3" s="319"/>
      <c r="F3" s="319"/>
      <c r="G3" s="319"/>
      <c r="H3" s="319"/>
      <c r="I3" s="319"/>
      <c r="J3" s="319"/>
      <c r="K3" s="319"/>
    </row>
    <row r="4" spans="1:33" s="954" customFormat="1" ht="16.5" customHeight="1">
      <c r="A4" s="951" t="s">
        <v>2461</v>
      </c>
      <c r="B4" s="952"/>
      <c r="C4" s="994">
        <f>SUM(C8:K8)</f>
        <v>0</v>
      </c>
      <c r="D4" s="952"/>
      <c r="E4" s="952"/>
      <c r="F4" s="952"/>
      <c r="G4" s="952"/>
      <c r="H4" s="952"/>
      <c r="I4" s="952"/>
      <c r="J4" s="952"/>
      <c r="K4" s="953"/>
    </row>
    <row r="5" spans="1:33" s="958" customFormat="1" ht="24.75">
      <c r="A5" s="955" t="s">
        <v>2462</v>
      </c>
      <c r="B5" s="956" t="s">
        <v>2463</v>
      </c>
      <c r="C5" s="2546" t="s">
        <v>2464</v>
      </c>
      <c r="D5" s="2546" t="s">
        <v>2465</v>
      </c>
      <c r="E5" s="2546" t="s">
        <v>2466</v>
      </c>
      <c r="F5" s="2546"/>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2470</v>
      </c>
      <c r="B8" s="176" t="s">
        <v>2471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2472</v>
      </c>
      <c r="B9" s="952"/>
      <c r="C9" s="952"/>
      <c r="D9" s="952"/>
      <c r="E9" s="952"/>
      <c r="F9" s="952"/>
      <c r="G9" s="952"/>
      <c r="H9" s="952"/>
      <c r="I9" s="952"/>
      <c r="J9" s="952"/>
      <c r="K9" s="953"/>
    </row>
    <row r="10" spans="1:33" s="968" customFormat="1" ht="13.5" customHeight="1">
      <c r="A10" s="955" t="s">
        <v>2473</v>
      </c>
      <c r="B10" s="8" t="s">
        <v>2474</v>
      </c>
      <c r="C10" s="964" t="s">
        <v>2475</v>
      </c>
      <c r="D10" s="965" t="s">
        <v>2476</v>
      </c>
      <c r="E10" s="965" t="s">
        <v>2477</v>
      </c>
      <c r="F10" s="965" t="s">
        <v>2478</v>
      </c>
      <c r="G10" s="8"/>
      <c r="H10" s="966"/>
      <c r="I10" s="966"/>
      <c r="J10" s="966"/>
      <c r="K10" s="967"/>
    </row>
    <row r="11" spans="1:33" s="973" customFormat="1" ht="13.5" customHeight="1">
      <c r="A11" s="969" t="s">
        <v>1329</v>
      </c>
      <c r="B11" s="970" t="s">
        <v>2479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2480</v>
      </c>
      <c r="C12" s="24">
        <f ca="1">ROUND(C11*F12,0)</f>
        <v>0</v>
      </c>
      <c r="D12" s="971"/>
      <c r="E12" s="374"/>
      <c r="F12" s="974">
        <f>'数据-取费表'!B33</f>
        <v>0.05</v>
      </c>
      <c r="G12" s="8" t="s">
        <v>2481</v>
      </c>
      <c r="H12" s="966"/>
      <c r="I12" s="966"/>
      <c r="J12" s="966"/>
      <c r="K12" s="967"/>
    </row>
    <row r="13" spans="1:33" s="973" customFormat="1" ht="13.5" customHeight="1">
      <c r="A13" s="969" t="s">
        <v>1331</v>
      </c>
      <c r="B13" s="970" t="s">
        <v>2482</v>
      </c>
      <c r="C13" s="24">
        <f ca="1">ROUND(IF(C1="",SUMIF('数据-取费表'!C:C,"住宅",'数据-取费表'!P:P)*F13,IF(INDIRECT("'数据-取费表'!c"&amp;$K$1)="住宅",INDIRECT("'数据-取费表'!P"&amp;$K$1)*F13,0)),0)</f>
        <v>0</v>
      </c>
      <c r="D13" s="1031"/>
      <c r="E13" s="374"/>
      <c r="F13" s="974">
        <f>'数据-取费表'!B34</f>
        <v>0</v>
      </c>
      <c r="G13" s="8" t="s">
        <v>2483</v>
      </c>
      <c r="H13" s="966"/>
      <c r="I13" s="966"/>
      <c r="J13" s="966"/>
      <c r="K13" s="967"/>
    </row>
    <row r="14" spans="1:33" s="975" customFormat="1" ht="13.5" customHeight="1">
      <c r="A14" s="969" t="s">
        <v>1332</v>
      </c>
      <c r="B14" s="970" t="s">
        <v>2484</v>
      </c>
      <c r="C14" s="24">
        <f ca="1">ROUND(D14*E14*F11/10000,0)</f>
        <v>0</v>
      </c>
      <c r="D14" s="1031">
        <f ca="1">IF(C1="",'数据-汇总表'!E3,INDIRECT("'数据-取费表'!K"&amp;$K$1)+INDIRECT("'数据-取费表'!S"&amp;$K$1))</f>
        <v>66988.94</v>
      </c>
      <c r="E14" s="24">
        <f>'数据-取费表'!B35</f>
        <v>200</v>
      </c>
      <c r="F14" s="974"/>
      <c r="G14" s="8" t="s">
        <v>2485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2486</v>
      </c>
      <c r="C15" s="981">
        <f ca="1">ROUND(C11*F15,0)</f>
        <v>0</v>
      </c>
      <c r="D15" s="976"/>
      <c r="E15" s="981"/>
      <c r="F15" s="982">
        <f>'数据-取费表'!B36</f>
        <v>1.4999999999999999E-2</v>
      </c>
      <c r="G15" s="139" t="s">
        <v>2487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2488</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2489</v>
      </c>
      <c r="C17" s="24">
        <f ca="1">ROUND(D17*E17/10000,0)</f>
        <v>0</v>
      </c>
      <c r="D17" s="1031">
        <f ca="1">D14</f>
        <v>66988.94</v>
      </c>
      <c r="E17" s="24">
        <f>'数据-取费表'!B32</f>
        <v>0</v>
      </c>
      <c r="F17" s="976"/>
      <c r="G17" s="139" t="s">
        <v>2490</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2491</v>
      </c>
      <c r="C18" s="24">
        <f ca="1">C19+C20-IF(C1="",'数据-取费表'!B29,IF(G18="已全部缴纳",C19+C20,H18))</f>
        <v>1340</v>
      </c>
      <c r="D18" s="1031"/>
      <c r="E18" s="24"/>
      <c r="F18" s="974"/>
      <c r="G18" s="2548"/>
      <c r="H18" s="1575"/>
      <c r="I18" s="2549" t="s">
        <v>2492</v>
      </c>
      <c r="J18" s="977"/>
      <c r="K18" s="978"/>
    </row>
    <row r="19" spans="1:33" s="973" customFormat="1" ht="13.5" customHeight="1">
      <c r="A19" s="969" t="s">
        <v>805</v>
      </c>
      <c r="B19" s="970" t="s">
        <v>2493</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2494</v>
      </c>
      <c r="C20" s="24">
        <f ca="1">ROUND(D20*E20/10000,0)</f>
        <v>1340</v>
      </c>
      <c r="D20" s="1031">
        <f ca="1">IF(C1="",'数据-汇总表'!E6,IF(INDIRECT("'数据-取费表'!c"&amp;$K$1)="住宅",INDIRECT("'数据-取费表'!s"&amp;$K$1),INDIRECT("'数据-取费表'!k"&amp;$K$1)+INDIRECT("'数据-取费表'!s"&amp;$K$1)))</f>
        <v>66988.94</v>
      </c>
      <c r="E20" s="24">
        <f>'数据-取费表'!B28</f>
        <v>200</v>
      </c>
      <c r="F20" s="974"/>
      <c r="G20" s="15"/>
      <c r="H20" s="979"/>
      <c r="I20" s="979"/>
      <c r="J20" s="979"/>
      <c r="K20" s="980"/>
    </row>
    <row r="21" spans="1:33" s="973" customFormat="1" ht="13.5" customHeight="1">
      <c r="A21" s="959" t="s">
        <v>802</v>
      </c>
      <c r="B21" s="983" t="s">
        <v>2495</v>
      </c>
      <c r="C21" s="984">
        <f ca="1">C16+C17+C18</f>
        <v>1340</v>
      </c>
      <c r="D21" s="985"/>
      <c r="E21" s="324"/>
      <c r="F21" s="324"/>
      <c r="G21" s="139" t="s">
        <v>2496</v>
      </c>
      <c r="H21" s="977"/>
      <c r="I21" s="977"/>
      <c r="J21" s="977"/>
      <c r="K21" s="978"/>
    </row>
    <row r="22" spans="1:33" s="973" customFormat="1" ht="13.5" customHeight="1">
      <c r="A22" s="959" t="s">
        <v>2468</v>
      </c>
      <c r="B22" s="983" t="s">
        <v>2497</v>
      </c>
      <c r="C22" s="984">
        <f ca="1">ROUND(C21*F22,0)</f>
        <v>27</v>
      </c>
      <c r="D22" s="324"/>
      <c r="E22" s="324"/>
      <c r="F22" s="986">
        <f>'数据-取费表'!B37</f>
        <v>0.02</v>
      </c>
      <c r="G22" s="8" t="s">
        <v>2498</v>
      </c>
      <c r="H22" s="966"/>
      <c r="I22" s="966"/>
      <c r="J22" s="966"/>
      <c r="K22" s="967"/>
    </row>
    <row r="23" spans="1:33" s="973" customFormat="1" ht="13.5" customHeight="1">
      <c r="A23" s="959" t="s">
        <v>2470</v>
      </c>
      <c r="B23" s="983" t="s">
        <v>2499</v>
      </c>
      <c r="C23" s="984">
        <f ca="1">ROUND(C4*F23*F11,0)</f>
        <v>0</v>
      </c>
      <c r="D23" s="324"/>
      <c r="E23" s="324"/>
      <c r="F23" s="986">
        <f>'数据-取费表'!B38</f>
        <v>0.02</v>
      </c>
      <c r="G23" s="8" t="s">
        <v>2500</v>
      </c>
      <c r="H23" s="966"/>
      <c r="I23" s="966"/>
      <c r="J23" s="966"/>
      <c r="K23" s="967"/>
    </row>
    <row r="24" spans="1:33" s="973" customFormat="1" ht="13.5" customHeight="1">
      <c r="A24" s="959" t="s">
        <v>2501</v>
      </c>
      <c r="B24" s="983" t="s">
        <v>2502</v>
      </c>
      <c r="C24" s="323">
        <f>ROUND(F24/(1+'数据-取费表'!C42),4)</f>
        <v>2.9000000000000001E-2</v>
      </c>
      <c r="D24" s="324" t="s">
        <v>15</v>
      </c>
      <c r="E24" s="324"/>
      <c r="F24" s="986">
        <f>IF(项目基本情况!B8="出让",0,'数据-取费表'!B48+'数据-取费表'!B49)</f>
        <v>3.0499999999999999E-2</v>
      </c>
      <c r="G24" s="8" t="s">
        <v>2503</v>
      </c>
      <c r="H24" s="988"/>
      <c r="I24" s="988"/>
      <c r="J24" s="988"/>
      <c r="K24" s="989"/>
    </row>
    <row r="25" spans="1:33" s="973" customFormat="1" ht="13.5" customHeight="1">
      <c r="A25" s="959" t="s">
        <v>2504</v>
      </c>
      <c r="B25" s="985" t="s">
        <v>2505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2506</v>
      </c>
      <c r="C26" s="1355">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2507</v>
      </c>
      <c r="C27" s="1356">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7"/>
      <c r="I27" s="977"/>
      <c r="J27" s="977"/>
      <c r="K27" s="978"/>
    </row>
    <row r="28" spans="1:33" s="332" customFormat="1" ht="13.5" customHeight="1">
      <c r="A28" s="959" t="s">
        <v>2508</v>
      </c>
      <c r="B28" s="2551" t="s">
        <v>2509</v>
      </c>
      <c r="C28" s="330">
        <f ca="1">C30</f>
        <v>205</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2510</v>
      </c>
      <c r="C29" s="327">
        <f ca="1">ROUND((1+C24)*F28*'数据-取费表'!B24/'数据-取费表'!B20,4)</f>
        <v>0</v>
      </c>
      <c r="D29" s="327"/>
      <c r="E29" s="328"/>
      <c r="F29" s="333"/>
      <c r="G29" s="139" t="s">
        <v>2511</v>
      </c>
      <c r="H29" s="977"/>
      <c r="I29" s="977"/>
      <c r="J29" s="977"/>
      <c r="K29" s="978"/>
    </row>
    <row r="30" spans="1:33" s="334" customFormat="1" ht="13.5" customHeight="1">
      <c r="A30" s="969" t="s">
        <v>804</v>
      </c>
      <c r="B30" s="992" t="s">
        <v>2512</v>
      </c>
      <c r="C30" s="335">
        <f ca="1">ROUND((C21+C22+C23)*F28,0)</f>
        <v>205</v>
      </c>
      <c r="D30" s="327"/>
      <c r="E30" s="328"/>
      <c r="F30" s="333"/>
      <c r="G30" s="139"/>
      <c r="H30" s="977"/>
      <c r="I30" s="977"/>
      <c r="J30" s="977"/>
      <c r="K30" s="978"/>
    </row>
    <row r="31" spans="1:33" s="973" customFormat="1" ht="13.5" customHeight="1" thickBot="1">
      <c r="A31" s="2552" t="s">
        <v>2513</v>
      </c>
      <c r="B31" s="1003" t="s">
        <v>2514</v>
      </c>
      <c r="C31" s="1004">
        <f>ROUND(C4*F31/(1+'数据-取费表'!C42),0)</f>
        <v>0</v>
      </c>
      <c r="D31" s="1005"/>
      <c r="E31" s="1006"/>
      <c r="F31" s="1007">
        <f>'数据-取费表'!B41</f>
        <v>5.5000000000000007E-2</v>
      </c>
      <c r="G31" s="1008" t="s">
        <v>2515</v>
      </c>
      <c r="H31" s="1009"/>
      <c r="I31" s="1009"/>
      <c r="J31" s="1009"/>
      <c r="K31" s="1010"/>
    </row>
    <row r="32" spans="1:33" s="968" customFormat="1" ht="13.5" customHeight="1" thickBot="1">
      <c r="A32" s="998" t="s">
        <v>2516</v>
      </c>
      <c r="B32" s="999"/>
      <c r="C32" s="1000">
        <f ca="1">ROUND((C4-C21-C22-C23-C25-C28-C31)/(1+C24+D25+D28),0)</f>
        <v>-1528</v>
      </c>
      <c r="D32" s="999"/>
      <c r="E32" s="999"/>
      <c r="F32" s="999"/>
      <c r="G32" s="1001" t="s">
        <v>2517</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C88" sqref="C88"/>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0" customWidth="1"/>
    <col min="33" max="36" width="9.375" style="2780" customWidth="1"/>
    <col min="37" max="38" width="9.375" style="2712" customWidth="1"/>
    <col min="39" max="16384" width="12" style="2712"/>
  </cols>
  <sheetData>
    <row r="1" spans="1:36" ht="28.5">
      <c r="A1" s="239" t="s">
        <v>2802</v>
      </c>
      <c r="B1" s="240"/>
      <c r="C1" s="244" t="s">
        <v>2803</v>
      </c>
      <c r="D1" s="387">
        <f>SUM(D29:D30,D33:D39)</f>
        <v>66988.94</v>
      </c>
      <c r="E1" s="2709"/>
      <c r="F1" s="2709"/>
      <c r="G1" s="2709"/>
      <c r="H1" s="2709"/>
      <c r="I1" s="2709"/>
      <c r="J1" s="2709"/>
      <c r="K1" s="1368"/>
      <c r="L1" s="2710" t="s">
        <v>2804</v>
      </c>
      <c r="M1" s="1078">
        <f>SUMPRODUCT((区片价!B5:B9=I2)*(区片价!C3:F3=E2)*(区片价!C5:F9))</f>
        <v>0</v>
      </c>
      <c r="N1" s="1081">
        <f>SUMPRODUCT((因素修正幅度!B5:B9=I2)*(因素修正幅度!C3:F3=E2)*(因素修正幅度!C5:F9))</f>
        <v>0</v>
      </c>
      <c r="O1" s="2711"/>
      <c r="P1" s="2711"/>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4" t="s">
        <v>2810</v>
      </c>
      <c r="B2" s="247">
        <f ca="1">C26</f>
        <v>16246</v>
      </c>
      <c r="C2" s="2713" t="s">
        <v>2811</v>
      </c>
      <c r="D2" s="2714" t="s">
        <v>2812</v>
      </c>
      <c r="E2" s="2715" t="s">
        <v>6</v>
      </c>
      <c r="F2" s="2714" t="s">
        <v>2813</v>
      </c>
      <c r="G2" s="2716" t="str">
        <f>IF(E2="商业",项目基本情况!B37,IF(E2="办公",项目基本情况!C37,IF(E2="住宅",项目基本情况!D37,项目基本情况!E37)))</f>
        <v>八级</v>
      </c>
      <c r="H2" s="2714" t="s">
        <v>2814</v>
      </c>
      <c r="I2" s="2716" t="str">
        <f>IF(E2="商业",项目基本情况!B38,IF(E2="办公",项目基本情况!C38,IF(E2="住宅",项目基本情况!D38,项目基本情况!E38)))</f>
        <v>Ⅷ-顺1</v>
      </c>
      <c r="J2" s="2717"/>
      <c r="K2" s="1368"/>
      <c r="L2" s="2718" t="s">
        <v>2815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3.5962999999999998</v>
      </c>
      <c r="T2" s="1600">
        <f ca="1">ROUND($C$5*$C$18*$C$19*$C$20*S2*$C$24,0)</f>
        <v>4759</v>
      </c>
      <c r="U2" s="1601"/>
      <c r="V2" s="1600">
        <f ca="1">ROUND(T2*U2/10000,0)</f>
        <v>0</v>
      </c>
      <c r="W2" s="1604"/>
      <c r="X2" s="1604"/>
      <c r="Y2" s="1604"/>
      <c r="Z2" s="1604"/>
      <c r="AA2" s="1604"/>
      <c r="AB2" s="1604"/>
      <c r="AC2" s="1605"/>
      <c r="AD2" s="1606"/>
      <c r="AE2" s="1606"/>
      <c r="AF2" s="1606"/>
      <c r="AG2" s="1606"/>
      <c r="AH2" s="1606"/>
      <c r="AI2" s="1606"/>
      <c r="AJ2" s="1607"/>
    </row>
    <row r="3" spans="1:36" ht="15.75">
      <c r="A3" s="246" t="s">
        <v>2816</v>
      </c>
      <c r="B3" s="247">
        <f ca="1">ROUND(B2*10000/D1,0)</f>
        <v>2425</v>
      </c>
      <c r="C3" s="2713" t="s">
        <v>2817</v>
      </c>
      <c r="D3" s="2714" t="s">
        <v>2818</v>
      </c>
      <c r="E3" s="2719" t="s">
        <v>3087</v>
      </c>
      <c r="F3" s="2720" t="s">
        <v>2819</v>
      </c>
      <c r="G3" s="914">
        <f>IF(F3="宗地容积率",'数据-汇总表'!I4,IF(F3="估价对象容积率",'数据-汇总表'!I6,'数据-汇总表'!I7))</f>
        <v>0.54</v>
      </c>
      <c r="H3" s="197" t="s">
        <v>2820</v>
      </c>
      <c r="I3" s="942">
        <v>1</v>
      </c>
      <c r="J3" s="2717" t="s">
        <v>2821</v>
      </c>
      <c r="K3" s="1368"/>
      <c r="L3" s="2718"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2.3702000000000001</v>
      </c>
      <c r="T3" s="1600">
        <f t="shared" ref="T3:T16" ca="1" si="0">ROUND($C$5*$C$18*$C$19*$C$20*S3*$C$24,0)</f>
        <v>3136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18"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1.8652</v>
      </c>
      <c r="T4" s="1600">
        <f t="shared" ca="1" si="0"/>
        <v>2468</v>
      </c>
      <c r="U4" s="1601"/>
      <c r="V4" s="1600">
        <f t="shared" ca="1" si="1"/>
        <v>0</v>
      </c>
      <c r="W4" s="1604"/>
      <c r="X4" s="1604"/>
      <c r="Y4" s="1604"/>
      <c r="Z4" s="1604"/>
      <c r="AA4" s="1604"/>
      <c r="AB4" s="1604"/>
      <c r="AC4" s="1605"/>
      <c r="AD4" s="1606"/>
      <c r="AE4" s="1606"/>
      <c r="AF4" s="1606"/>
      <c r="AG4" s="1606"/>
      <c r="AH4" s="1606"/>
      <c r="AI4" s="1606"/>
      <c r="AJ4" s="1607"/>
    </row>
    <row r="5" spans="1:36" s="2730" customFormat="1" ht="15.75" thickBot="1">
      <c r="A5" s="2721" t="s">
        <v>807</v>
      </c>
      <c r="B5" s="2722" t="s">
        <v>2824</v>
      </c>
      <c r="C5" s="915">
        <f>ROUND(IF(E2="商业",C6*C7+C16,(IF(E2="住宅",C6*C12+C16,C6+C16))),0)</f>
        <v>1020</v>
      </c>
      <c r="D5" s="1777">
        <f>ROUND(C6+C16,0)</f>
        <v>1020</v>
      </c>
      <c r="E5" s="1777"/>
      <c r="F5" s="2723"/>
      <c r="G5" s="2724"/>
      <c r="H5" s="2724"/>
      <c r="I5" s="2724"/>
      <c r="J5" s="2725"/>
      <c r="K5" s="2726"/>
      <c r="L5" s="2718"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1.3935</v>
      </c>
      <c r="T5" s="1600">
        <f t="shared" ca="1" si="0"/>
        <v>1844</v>
      </c>
      <c r="U5" s="1601"/>
      <c r="V5" s="1600">
        <f t="shared" ca="1" si="1"/>
        <v>0</v>
      </c>
      <c r="W5" s="1604"/>
      <c r="X5" s="1604"/>
      <c r="Y5" s="1604"/>
      <c r="Z5" s="1604"/>
      <c r="AA5" s="1604"/>
      <c r="AB5" s="1604"/>
      <c r="AC5" s="2727"/>
      <c r="AD5" s="2728"/>
      <c r="AE5" s="2728"/>
      <c r="AF5" s="2728"/>
      <c r="AG5" s="2728"/>
      <c r="AH5" s="2728"/>
      <c r="AI5" s="2728"/>
      <c r="AJ5" s="2729"/>
    </row>
    <row r="6" spans="1:36" ht="15.75" thickBot="1">
      <c r="A6" s="2731" t="s">
        <v>2826</v>
      </c>
      <c r="B6" s="2732" t="s">
        <v>2827</v>
      </c>
      <c r="C6" s="916">
        <f>SUMIF(L1:L12,G2,M1:M12)</f>
        <v>1020</v>
      </c>
      <c r="D6" s="2733" t="s">
        <v>2828</v>
      </c>
      <c r="E6" s="2734"/>
      <c r="F6" s="2734"/>
      <c r="G6" s="2735"/>
      <c r="H6" s="2735"/>
      <c r="I6" s="2735"/>
      <c r="J6" s="2736"/>
      <c r="K6" s="1832"/>
      <c r="L6" s="2718"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1.048</v>
      </c>
      <c r="T6" s="1600">
        <f t="shared" ca="1" si="0"/>
        <v>1387</v>
      </c>
      <c r="U6" s="1601"/>
      <c r="V6" s="1600">
        <f t="shared" ca="1" si="1"/>
        <v>0</v>
      </c>
      <c r="W6" s="1604"/>
      <c r="X6" s="1604"/>
      <c r="Y6" s="1604"/>
      <c r="Z6" s="1604"/>
      <c r="AA6" s="1604"/>
      <c r="AB6" s="1604"/>
      <c r="AC6" s="2727"/>
      <c r="AD6" s="2728"/>
      <c r="AE6" s="2728"/>
      <c r="AF6" s="2728"/>
      <c r="AG6" s="2728"/>
      <c r="AH6" s="2728"/>
      <c r="AI6" s="2728"/>
      <c r="AJ6" s="2729"/>
    </row>
    <row r="7" spans="1:36" ht="24">
      <c r="A7" s="3262" t="str">
        <f>IF(E2="商业",IF(C8="不临58条商业街","",2),"")</f>
        <v/>
      </c>
      <c r="B7" s="2737" t="s">
        <v>2830</v>
      </c>
      <c r="C7" s="917" t="e">
        <f>IF(C8="不临58条商业街",1,ROUND(1+(1.6*E8+1.2*E9+0.8*E10+0.4*E11)*C9,4))</f>
        <v>#DIV/0!</v>
      </c>
      <c r="D7" s="2738" t="s">
        <v>2831</v>
      </c>
      <c r="E7" s="943"/>
      <c r="F7" s="2739"/>
      <c r="G7" s="2740"/>
      <c r="H7" s="2740"/>
      <c r="I7" s="2740"/>
      <c r="J7" s="2741"/>
      <c r="K7" s="1832"/>
      <c r="L7" s="2718"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0.83799999999999997</v>
      </c>
      <c r="T7" s="1600">
        <f t="shared" ca="1" si="0"/>
        <v>1109</v>
      </c>
      <c r="U7" s="1601"/>
      <c r="V7" s="1600">
        <f t="shared" ca="1" si="1"/>
        <v>0</v>
      </c>
      <c r="W7" s="1806" t="s">
        <v>2833</v>
      </c>
      <c r="X7" s="1602" t="str">
        <f>G2</f>
        <v>八级</v>
      </c>
      <c r="Y7" s="1602" t="s">
        <v>2834</v>
      </c>
      <c r="Z7" s="1603">
        <f>G3</f>
        <v>0.54</v>
      </c>
      <c r="AA7" s="1604"/>
      <c r="AB7" s="1604"/>
      <c r="AC7" s="1605"/>
      <c r="AD7" s="1606"/>
      <c r="AE7" s="1606"/>
      <c r="AF7" s="1606"/>
      <c r="AG7" s="1606"/>
      <c r="AH7" s="1606"/>
      <c r="AI7" s="1606"/>
      <c r="AJ7" s="1607"/>
    </row>
    <row r="8" spans="1:36" ht="15">
      <c r="A8" s="3263"/>
      <c r="B8" s="197" t="s">
        <v>2835</v>
      </c>
      <c r="C8" s="2742"/>
      <c r="D8" s="918" t="s">
        <v>139</v>
      </c>
      <c r="E8" s="919" t="e">
        <f>ROUND(C11/E7,4)</f>
        <v>#DIV/0!</v>
      </c>
      <c r="F8" s="2743" t="s">
        <v>2836</v>
      </c>
      <c r="G8" s="2744"/>
      <c r="H8" s="2744"/>
      <c r="I8" s="2744"/>
      <c r="J8" s="2745"/>
      <c r="K8" s="1368"/>
      <c r="L8" s="2718" t="s">
        <v>2837</v>
      </c>
      <c r="M8" s="1079">
        <f>SUMPRODUCT((区片价!B206:B244=I2)*(区片价!C3:F3=E2)*(区片价!C206:F244))</f>
        <v>1020</v>
      </c>
      <c r="N8" s="1081">
        <f>SUMPRODUCT((因素修正幅度!B206:B244=I2)*(因素修正幅度!C3:F3=E2)*(因素修正幅度!C206:F244))</f>
        <v>0.15</v>
      </c>
      <c r="O8" s="1368"/>
      <c r="P8" s="1368"/>
      <c r="Q8" s="1368"/>
      <c r="R8" s="1600">
        <v>7</v>
      </c>
      <c r="S8" s="1601"/>
      <c r="T8" s="1600">
        <f t="shared" ca="1" si="0"/>
        <v>0</v>
      </c>
      <c r="U8" s="1601"/>
      <c r="V8" s="1600">
        <f t="shared" ca="1" si="1"/>
        <v>0</v>
      </c>
      <c r="W8" s="3255" t="s">
        <v>2838</v>
      </c>
      <c r="X8" s="3256"/>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63"/>
      <c r="B9" s="197" t="s">
        <v>2851</v>
      </c>
      <c r="C9" s="920">
        <f>SUMIF(修正!C59:C119,C8,修正!E59:E119)</f>
        <v>0</v>
      </c>
      <c r="D9" s="199" t="s">
        <v>140</v>
      </c>
      <c r="E9" s="199" t="e">
        <f>ROUND(C11/E7,4)</f>
        <v>#DIV/0!</v>
      </c>
      <c r="F9" s="2743" t="s">
        <v>2852</v>
      </c>
      <c r="G9" s="2744"/>
      <c r="H9" s="2744"/>
      <c r="I9" s="2744"/>
      <c r="J9" s="2745"/>
      <c r="K9" s="1368"/>
      <c r="L9" s="2718"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7" t="s">
        <v>2854</v>
      </c>
      <c r="X9" s="1609" t="s">
        <v>2855</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3"/>
      <c r="B10" s="197" t="s">
        <v>2856</v>
      </c>
      <c r="C10" s="199">
        <f>SUMIF(修正!C59:C119,C8,修正!F59:F119)</f>
        <v>0</v>
      </c>
      <c r="D10" s="199" t="s">
        <v>141</v>
      </c>
      <c r="E10" s="199" t="e">
        <f>ROUND(C11/E7,4)</f>
        <v>#DIV/0!</v>
      </c>
      <c r="F10" s="2743" t="s">
        <v>2857</v>
      </c>
      <c r="G10" s="2744"/>
      <c r="H10" s="2744"/>
      <c r="I10" s="2744"/>
      <c r="J10" s="2745"/>
      <c r="K10" s="1368"/>
      <c r="L10" s="2718"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3"/>
      <c r="B11" s="2746" t="s">
        <v>2859</v>
      </c>
      <c r="C11" s="921">
        <f>C10/4</f>
        <v>0</v>
      </c>
      <c r="D11" s="921" t="s">
        <v>142</v>
      </c>
      <c r="E11" s="921" t="e">
        <f>ROUND(C11/E7,4)</f>
        <v>#DIV/0!</v>
      </c>
      <c r="F11" s="2747" t="s">
        <v>2860</v>
      </c>
      <c r="G11" s="2748"/>
      <c r="H11" s="2748"/>
      <c r="I11" s="2748"/>
      <c r="J11" s="2749"/>
      <c r="K11" s="1368"/>
      <c r="L11" s="2718"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7" t="s">
        <v>2862</v>
      </c>
      <c r="X11" s="1612" t="s">
        <v>2863</v>
      </c>
      <c r="Y11" s="1613">
        <f>$G$3</f>
        <v>0.54</v>
      </c>
      <c r="Z11" s="1613">
        <f t="shared" ref="Z11:AJ11" si="3">$G$3</f>
        <v>0.54</v>
      </c>
      <c r="AA11" s="1613">
        <f t="shared" si="3"/>
        <v>0.54</v>
      </c>
      <c r="AB11" s="1613">
        <f t="shared" si="3"/>
        <v>0.54</v>
      </c>
      <c r="AC11" s="1613">
        <f t="shared" si="3"/>
        <v>0.54</v>
      </c>
      <c r="AD11" s="1613">
        <f t="shared" si="3"/>
        <v>0.54</v>
      </c>
      <c r="AE11" s="1613">
        <f t="shared" si="3"/>
        <v>0.54</v>
      </c>
      <c r="AF11" s="1613">
        <f t="shared" si="3"/>
        <v>0.54</v>
      </c>
      <c r="AG11" s="1613">
        <f t="shared" si="3"/>
        <v>0.54</v>
      </c>
      <c r="AH11" s="1613">
        <f t="shared" si="3"/>
        <v>0.54</v>
      </c>
      <c r="AI11" s="1613">
        <f t="shared" si="3"/>
        <v>0.54</v>
      </c>
      <c r="AJ11" s="1613">
        <f t="shared" si="3"/>
        <v>0.54</v>
      </c>
    </row>
    <row r="12" spans="1:36" ht="25.5" thickBot="1">
      <c r="A12" s="3262" t="s">
        <v>2864</v>
      </c>
      <c r="B12" s="2750" t="s">
        <v>2865</v>
      </c>
      <c r="C12" s="917">
        <f>ROUND(C15*D15*E15*F15*G15*H15*I15*J15,4)</f>
        <v>1</v>
      </c>
      <c r="D12" s="2751" t="s">
        <v>2866</v>
      </c>
      <c r="E12" s="2752"/>
      <c r="F12" s="2752"/>
      <c r="G12" s="2753"/>
      <c r="H12" s="2753"/>
      <c r="I12" s="2753"/>
      <c r="J12" s="2754"/>
      <c r="K12" s="1368"/>
      <c r="L12" s="2755"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7"/>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4"/>
      <c r="B13" s="2756" t="s">
        <v>2869</v>
      </c>
      <c r="C13" s="2757" t="s">
        <v>2870</v>
      </c>
      <c r="D13" s="1798" t="s">
        <v>2871</v>
      </c>
      <c r="E13" s="1798" t="s">
        <v>2872</v>
      </c>
      <c r="F13" s="30" t="s">
        <v>2873</v>
      </c>
      <c r="G13" s="2758" t="s">
        <v>2874</v>
      </c>
      <c r="H13" s="2758" t="s">
        <v>2874</v>
      </c>
      <c r="I13" s="2758" t="s">
        <v>2874</v>
      </c>
      <c r="J13" s="2759" t="s">
        <v>2874</v>
      </c>
      <c r="K13" s="1368"/>
      <c r="L13" s="1368"/>
      <c r="M13" s="1368"/>
      <c r="N13" s="1368"/>
      <c r="O13" s="1368"/>
      <c r="P13" s="1368"/>
      <c r="Q13" s="1368"/>
      <c r="R13" s="1600">
        <v>12</v>
      </c>
      <c r="S13" s="1601"/>
      <c r="T13" s="1600">
        <f t="shared" ca="1" si="0"/>
        <v>0</v>
      </c>
      <c r="U13" s="1601"/>
      <c r="V13" s="1600">
        <f t="shared" ca="1" si="1"/>
        <v>0</v>
      </c>
      <c r="W13" s="3257"/>
      <c r="X13" s="1614"/>
      <c r="Y13" s="1611">
        <f>(-0.163*(Y12^2)-0.59*Y12+7617)*(10^(-4))/Y11</f>
        <v>1.4105555555555556</v>
      </c>
      <c r="Z13" s="1611">
        <f t="shared" ref="Z13:AJ13" si="5">(-0.163*(Z12^2)-0.59*Z12+7617)*(10^(-4))/Z11</f>
        <v>1.4105555555555556</v>
      </c>
      <c r="AA13" s="1611">
        <f t="shared" si="5"/>
        <v>1.4105555555555556</v>
      </c>
      <c r="AB13" s="1611">
        <f t="shared" si="5"/>
        <v>1.4105555555555556</v>
      </c>
      <c r="AC13" s="1611">
        <f t="shared" si="5"/>
        <v>1.4105555555555556</v>
      </c>
      <c r="AD13" s="1611">
        <f t="shared" si="5"/>
        <v>1.4105555555555556</v>
      </c>
      <c r="AE13" s="1611">
        <f t="shared" si="5"/>
        <v>1.4105555555555556</v>
      </c>
      <c r="AF13" s="1611">
        <f t="shared" si="5"/>
        <v>1.4105555555555556</v>
      </c>
      <c r="AG13" s="1611">
        <f t="shared" si="5"/>
        <v>1.4105555555555556</v>
      </c>
      <c r="AH13" s="1611">
        <f t="shared" si="5"/>
        <v>1.4105555555555556</v>
      </c>
      <c r="AI13" s="1611">
        <f t="shared" si="5"/>
        <v>1.4105555555555556</v>
      </c>
      <c r="AJ13" s="1611">
        <f t="shared" si="5"/>
        <v>1.4105555555555556</v>
      </c>
    </row>
    <row r="14" spans="1:36" ht="15">
      <c r="A14" s="3264"/>
      <c r="B14" s="2760"/>
      <c r="C14" s="2761"/>
      <c r="D14" s="2762"/>
      <c r="E14" s="2762"/>
      <c r="F14" s="2763"/>
      <c r="G14" s="2764" t="s">
        <v>2875</v>
      </c>
      <c r="H14" s="2765"/>
      <c r="I14" s="2766"/>
      <c r="J14" s="2767"/>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5"/>
      <c r="B15" s="2768" t="s">
        <v>2876</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2" t="s">
        <v>2881</v>
      </c>
      <c r="B16" s="2737" t="s">
        <v>2882</v>
      </c>
      <c r="C16" s="2924">
        <f>ROUND(IF(F17="与级别开发程度一致",0,(G17-E17)/C17),0)</f>
        <v>0</v>
      </c>
      <c r="D16" s="3276" t="s">
        <v>2886</v>
      </c>
      <c r="E16" s="3277"/>
      <c r="F16" s="3276" t="s">
        <v>2883</v>
      </c>
      <c r="G16" s="3277"/>
      <c r="H16" s="2771" t="s">
        <v>3089</v>
      </c>
      <c r="I16" s="2771" t="s">
        <v>3090</v>
      </c>
      <c r="J16" s="2928" t="s">
        <v>3091</v>
      </c>
      <c r="K16" s="2771" t="s">
        <v>3092</v>
      </c>
      <c r="L16" s="2771" t="s">
        <v>3093</v>
      </c>
      <c r="M16" s="2771"/>
      <c r="N16" s="2771"/>
      <c r="O16" s="2772"/>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66"/>
      <c r="B17" s="2935" t="s">
        <v>2885</v>
      </c>
      <c r="C17" s="2936">
        <f>SUMPRODUCT((修正!A2:A5=E2)*(修正!B1:M1=G2)*(修正!B2:M5))</f>
        <v>1</v>
      </c>
      <c r="D17" s="228" t="str">
        <f>IF(OR(G2="八级",G2="九级",G2="十级",G2="十一级",G2="十二级"),"五通一平","七通一平")</f>
        <v>五通一平</v>
      </c>
      <c r="E17" s="2925">
        <f>SUMPRODUCT((修正!B1:M1=G2)*(修正!B15:M15))</f>
        <v>155</v>
      </c>
      <c r="F17" s="2926" t="s">
        <v>3088</v>
      </c>
      <c r="G17" s="2927">
        <f>SUM(H17:O17)</f>
        <v>145</v>
      </c>
      <c r="H17" s="2936">
        <f>SUMPRODUCT((七通一平=H16)*(修正!B1:M1=G2)*(修正!B6:M14))</f>
        <v>50</v>
      </c>
      <c r="I17" s="2936">
        <f>SUMPRODUCT((七通一平=I16)*(修正!B1:M1=G2)*(修正!B6:M14))</f>
        <v>40</v>
      </c>
      <c r="J17" s="2937">
        <f>SUMPRODUCT((七通一平=J16)*(修正!B1:M1=G2)*(修正!B6:M14))</f>
        <v>10</v>
      </c>
      <c r="K17" s="2936">
        <f>SUMPRODUCT((七通一平=K16)*(修正!B1:M1=G2)*(修正!B6:M14))</f>
        <v>20</v>
      </c>
      <c r="L17" s="2936">
        <f>SUMPRODUCT((七通一平=L16)*(修正!B1:M1=G2)*(修正!B6:M14))</f>
        <v>25</v>
      </c>
      <c r="M17" s="2936">
        <f>SUMPRODUCT((七通一平=M16)*(修正!B1:M1=G2)*(修正!B6:M14))</f>
        <v>0</v>
      </c>
      <c r="N17" s="2936">
        <f>SUMPRODUCT((七通一平=N16)*(修正!B1:M1=G2)*(修正!B6:M14))</f>
        <v>0</v>
      </c>
      <c r="O17" s="2938">
        <f>SUMPRODUCT((七通一平=O16)*(修正!B1:M1=G2)*(修正!B6:M14))</f>
        <v>0</v>
      </c>
      <c r="Q17" s="1368"/>
      <c r="R17" s="1368"/>
      <c r="S17" s="1368"/>
      <c r="T17" s="1368"/>
      <c r="U17" s="1368"/>
      <c r="V17" s="1368"/>
      <c r="W17" s="1368"/>
      <c r="X17" s="1368"/>
      <c r="Y17" s="1368"/>
      <c r="Z17" s="1369"/>
      <c r="AE17" s="2775"/>
      <c r="AF17" s="2775"/>
      <c r="AG17" s="2712"/>
      <c r="AH17" s="2712"/>
      <c r="AI17" s="2712"/>
      <c r="AJ17" s="2712"/>
    </row>
    <row r="18" spans="1:37" s="2730" customFormat="1" ht="15.75" thickBot="1">
      <c r="A18" s="2929" t="s">
        <v>808</v>
      </c>
      <c r="B18" s="2930" t="s">
        <v>2888</v>
      </c>
      <c r="C18" s="2931">
        <f>SUMIF(修正!C18:C39,E3,修正!E18:E39)</f>
        <v>1</v>
      </c>
      <c r="D18" s="2932"/>
      <c r="E18" s="2933"/>
      <c r="F18" s="2933"/>
      <c r="G18" s="2933"/>
      <c r="H18" s="2933"/>
      <c r="I18" s="2933"/>
      <c r="J18" s="2934"/>
      <c r="K18" s="1375"/>
      <c r="O18" s="1373"/>
      <c r="P18" s="1373"/>
      <c r="Q18" s="1374"/>
      <c r="R18" s="1374"/>
      <c r="S18" s="1374"/>
      <c r="T18" s="1369"/>
      <c r="U18" s="1369"/>
      <c r="V18" s="1369"/>
      <c r="W18" s="1368"/>
      <c r="X18" s="1368"/>
      <c r="Y18" s="1368"/>
      <c r="Z18" s="1375"/>
      <c r="AA18" s="1376"/>
      <c r="AB18" s="1376"/>
      <c r="AC18" s="1376"/>
      <c r="AD18" s="1376"/>
      <c r="AE18" s="1370"/>
      <c r="AF18" s="1370"/>
      <c r="AG18" s="2780"/>
      <c r="AH18" s="2780"/>
      <c r="AI18" s="2780"/>
    </row>
    <row r="19" spans="1:37" s="2730" customFormat="1" ht="27.75" thickBot="1">
      <c r="A19" s="2776" t="s">
        <v>809</v>
      </c>
      <c r="B19" s="2777" t="s">
        <v>2889</v>
      </c>
      <c r="C19" s="922">
        <f>ROUND(IF(H19="按公示增长率计算",SUMPRODUCT((地价!A3:A30=YEAR(G19)&amp;"-"&amp;ROUNDUP(MONTH(G19)/3,0))*(地价!X2:AB2=E2)*(地价!X3:AB30)),IF(H19="地价指数",M20/M19,(1+I19)^O19)),4)</f>
        <v>1.3826000000000001</v>
      </c>
      <c r="D19" s="2781" t="s">
        <v>2890</v>
      </c>
      <c r="E19" s="923">
        <v>41640</v>
      </c>
      <c r="F19" s="2781" t="s">
        <v>2891</v>
      </c>
      <c r="G19" s="924">
        <f>'数据-取费表'!B2</f>
        <v>44005</v>
      </c>
      <c r="H19" s="2782" t="s">
        <v>3094</v>
      </c>
      <c r="I19" s="925" t="str">
        <f>IF(H19="季度增幅（自定义）",SUMIF(N21:N24,E2,O21:O24),"")</f>
        <v/>
      </c>
      <c r="J19" s="2779"/>
      <c r="K19" s="1375"/>
      <c r="L19" s="2783" t="s">
        <v>2892</v>
      </c>
      <c r="M19" s="1732">
        <f>ROUND(SUMIF(地价!B2:F2,E2,地价!B30:F30),0)</f>
        <v>230</v>
      </c>
      <c r="N19" s="2784" t="s">
        <v>2893</v>
      </c>
      <c r="O19" s="926">
        <f>ROUNDDOWN(DATEDIF(E19,G19,"M")/3,0)</f>
        <v>25</v>
      </c>
      <c r="P19" s="1372"/>
      <c r="Q19" s="1374"/>
      <c r="R19" s="1374"/>
      <c r="S19" s="1374"/>
      <c r="T19" s="1369"/>
      <c r="U19" s="1369"/>
      <c r="V19" s="1369"/>
      <c r="W19" s="1368"/>
      <c r="X19" s="1368"/>
      <c r="Y19" s="1368"/>
      <c r="Z19" s="1375"/>
      <c r="AA19" s="1376"/>
      <c r="AB19" s="1376"/>
      <c r="AC19" s="1376"/>
      <c r="AD19" s="1376"/>
      <c r="AE19" s="1376"/>
      <c r="AF19" s="2785"/>
      <c r="AG19" s="2786"/>
      <c r="AH19" s="2780"/>
      <c r="AI19" s="2787"/>
      <c r="AJ19" s="2787"/>
      <c r="AK19" s="2787"/>
    </row>
    <row r="20" spans="1:37" s="2730" customFormat="1" ht="27.75" thickBot="1">
      <c r="A20" s="2788" t="s">
        <v>810</v>
      </c>
      <c r="B20" s="2789" t="s">
        <v>2894</v>
      </c>
      <c r="C20" s="927">
        <f ca="1">ROUND(POWER(1+G20,J20-I20)*(POWER(1+G20,I20)-1)/(POWER(1+G20,J20)-1),4)</f>
        <v>0.87119999999999997</v>
      </c>
      <c r="D20" s="2790" t="s">
        <v>2895</v>
      </c>
      <c r="E20" s="1758">
        <f ca="1">存贷款利率!D4/100</f>
        <v>4.3499999999999997E-2</v>
      </c>
      <c r="F20" s="2790" t="s">
        <v>2887</v>
      </c>
      <c r="G20" s="932">
        <f ca="1">SUMIF(M26:P26,E2,M28:P28)</f>
        <v>4.8000000000000001E-2</v>
      </c>
      <c r="H20" s="2790" t="s">
        <v>2896</v>
      </c>
      <c r="I20" s="933">
        <f>SUMIF('数据-取费表'!C6:C15,E2,'数据-取费表'!F6:F15)/COUNTIF('数据-取费表'!C6:C15,E2)</f>
        <v>33.049999999999997</v>
      </c>
      <c r="J20" s="934">
        <f>IF(E2="住宅",70,IF(E2="商业",40,50))</f>
        <v>50</v>
      </c>
      <c r="K20" s="1375"/>
      <c r="L20" s="2791" t="s">
        <v>2897</v>
      </c>
      <c r="M20" s="1733">
        <f>ROUND(SUMPRODUCT((地价!A4:A30=YEAR(G19)&amp;"-"&amp;ROUNDUP(MONTH(G19)/3,0))*(地价!B2:F2=E2)*(地价!B4:F30)),0)</f>
        <v>318</v>
      </c>
      <c r="N20" s="2792" t="s">
        <v>2898</v>
      </c>
      <c r="O20" s="2793" t="s">
        <v>2899</v>
      </c>
      <c r="P20" s="2794" t="s">
        <v>2900</v>
      </c>
      <c r="R20" s="1374"/>
      <c r="S20" s="1374"/>
      <c r="T20" s="1369"/>
      <c r="U20" s="1369"/>
      <c r="V20" s="1369"/>
      <c r="W20" s="1368"/>
      <c r="X20" s="1368"/>
      <c r="Y20" s="1368"/>
      <c r="Z20" s="1375"/>
      <c r="AA20" s="1376"/>
      <c r="AB20" s="1376"/>
      <c r="AC20" s="1376"/>
      <c r="AD20" s="1376"/>
      <c r="AE20" s="1376"/>
      <c r="AF20" s="1376"/>
    </row>
    <row r="21" spans="1:37" s="2730" customFormat="1" ht="15">
      <c r="A21" s="2795" t="s">
        <v>811</v>
      </c>
      <c r="B21" s="2796" t="s">
        <v>3095</v>
      </c>
      <c r="C21" s="935">
        <f>IF(B21="容积率修正",IF(G3&lt;=10,D22,J22),C23)</f>
        <v>1.8667</v>
      </c>
      <c r="D21" s="2797"/>
      <c r="E21" s="2797"/>
      <c r="F21" s="2797"/>
      <c r="G21" s="2797"/>
      <c r="H21" s="2797"/>
      <c r="I21" s="2797"/>
      <c r="J21" s="2798"/>
      <c r="K21" s="1375"/>
      <c r="N21" s="2799" t="s">
        <v>2901</v>
      </c>
      <c r="O21" s="1559"/>
      <c r="P21" s="1560">
        <f>SUMPRODUCT((地价!A3:A30=YEAR(G19)&amp;"-"&amp;ROUNDUP(MONTH(G19)/3,0))*(地价!AD2:AH2=N21)*(地价!AD3:AH30))</f>
        <v>1.2800000000000001E-2</v>
      </c>
      <c r="R21" s="1374"/>
      <c r="S21" s="1374"/>
      <c r="T21" s="1369"/>
      <c r="U21" s="1369"/>
      <c r="V21" s="1369"/>
      <c r="W21" s="1368"/>
      <c r="X21" s="1368"/>
      <c r="Y21" s="1368"/>
      <c r="Z21" s="1375"/>
      <c r="AA21" s="1376"/>
      <c r="AB21" s="1376"/>
      <c r="AC21" s="1376"/>
      <c r="AD21" s="1376"/>
      <c r="AE21" s="1376"/>
      <c r="AF21" s="1376"/>
    </row>
    <row r="22" spans="1:37" s="2730" customFormat="1" ht="14.25">
      <c r="A22" s="2656" t="s">
        <v>2902</v>
      </c>
      <c r="B22" s="2800" t="s">
        <v>2903</v>
      </c>
      <c r="C22" s="1800" t="s">
        <v>2904</v>
      </c>
      <c r="D22" s="1800">
        <f>IF(E22=G22,F22,IF(G3&lt;=10,ROUND(F22+(H22-F22)*(G3-E22)/(G22-E22),4),"——"))</f>
        <v>1.8667</v>
      </c>
      <c r="E22" s="914">
        <f>ROUNDDOWN(G3,1)</f>
        <v>0.5</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4">
        <f>ROUNDUP(G3,1)</f>
        <v>0.6</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0" t="s">
        <v>155</v>
      </c>
      <c r="J22" s="936" t="str">
        <f>IF(G3&gt;10,D113,"——")</f>
        <v>——</v>
      </c>
      <c r="K22" s="1375"/>
      <c r="N22" s="2799" t="s">
        <v>2905</v>
      </c>
      <c r="O22" s="1559"/>
      <c r="P22" s="1560">
        <f>SUMPRODUCT((地价!A3:A30=YEAR(G19)&amp;"-"&amp;ROUNDUP(MONTH(G19)/3,0))*(地价!AD2:AH2=N22)*(地价!AD3:AH30))</f>
        <v>1.2800000000000001E-2</v>
      </c>
      <c r="R22" s="1374"/>
      <c r="S22" s="1374"/>
      <c r="T22" s="1369"/>
      <c r="U22" s="1369"/>
      <c r="V22" s="1369"/>
      <c r="W22" s="1368"/>
      <c r="X22" s="1368"/>
      <c r="Y22" s="1368"/>
      <c r="Z22" s="1375"/>
      <c r="AA22" s="1376"/>
      <c r="AB22" s="1376"/>
      <c r="AC22" s="1376"/>
      <c r="AD22" s="1376"/>
      <c r="AE22" s="1376"/>
      <c r="AF22" s="1376"/>
    </row>
    <row r="23" spans="1:37" ht="27.75" thickBot="1">
      <c r="A23" s="2656" t="s">
        <v>2906</v>
      </c>
      <c r="B23" s="2801" t="s">
        <v>2907</v>
      </c>
      <c r="C23" s="1011">
        <f>ROUND(IF(G3&gt;1,IF(I3&lt;7,SUMPRODUCT((B93:B98=I3)*(C92:N92=G2)*(C93:N98)),SUMIF(C92:N92,G2,C100:N100)),IF(I3&lt;7,SUMPRODUCT((B102:B107=I3)*(C92:N92=G2)*(C102:N107)),SUMIF(C92:N92,G2,C109:N109))),4)</f>
        <v>3.5962999999999998</v>
      </c>
      <c r="D23" s="2765"/>
      <c r="E23" s="2765"/>
      <c r="F23" s="2802"/>
      <c r="G23" s="2803"/>
      <c r="H23" s="2804"/>
      <c r="I23" s="2805"/>
      <c r="J23" s="2806"/>
      <c r="K23" s="1368"/>
      <c r="N23" s="2799" t="s">
        <v>2908</v>
      </c>
      <c r="O23" s="1559"/>
      <c r="P23" s="1560">
        <f>SUMPRODUCT((地价!A3:A30=YEAR(G19)&amp;"-"&amp;ROUNDUP(MONTH(G19)/3,0))*(地价!AD2:AH2=N23)*(地价!AD3:AH30))</f>
        <v>2.0299999999999999E-2</v>
      </c>
      <c r="R23" s="1374"/>
      <c r="S23" s="1374"/>
      <c r="T23" s="1369"/>
      <c r="U23" s="1369"/>
      <c r="V23" s="1369"/>
      <c r="W23" s="1368"/>
      <c r="X23" s="1368"/>
      <c r="Y23" s="1368"/>
      <c r="Z23" s="1375"/>
      <c r="AA23" s="1376"/>
      <c r="AB23" s="1376"/>
      <c r="AC23" s="1376"/>
      <c r="AD23" s="1376"/>
      <c r="AK23" s="2780"/>
    </row>
    <row r="24" spans="1:37" s="2730" customFormat="1" ht="15.75" thickBot="1">
      <c r="A24" s="2788" t="s">
        <v>812</v>
      </c>
      <c r="B24" s="2777" t="s">
        <v>2909</v>
      </c>
      <c r="C24" s="922">
        <f>SUMIF(A45:A88,E2,B45:B88)</f>
        <v>1.077</v>
      </c>
      <c r="D24" s="2778"/>
      <c r="E24" s="2807"/>
      <c r="F24" s="2807"/>
      <c r="G24" s="2807"/>
      <c r="H24" s="2807"/>
      <c r="I24" s="2807"/>
      <c r="J24" s="2808"/>
      <c r="K24" s="1375"/>
      <c r="N24" s="2809" t="s">
        <v>2910</v>
      </c>
      <c r="O24" s="1561"/>
      <c r="P24" s="1562">
        <f>SUMPRODUCT((地价!A3:A30=YEAR(G19)&amp;"-"&amp;ROUNDUP(MONTH(G19)/3,0))*(地价!AD2:AH2=N24)*(地价!AD3:AH30))</f>
        <v>1.3100000000000001E-2</v>
      </c>
      <c r="R24" s="1374"/>
      <c r="S24" s="1374"/>
      <c r="T24" s="1369"/>
      <c r="U24" s="1369"/>
      <c r="V24" s="1369"/>
      <c r="W24" s="1368"/>
      <c r="X24" s="1368"/>
      <c r="Y24" s="1368"/>
      <c r="Z24" s="1375"/>
      <c r="AA24" s="1376"/>
      <c r="AB24" s="1376"/>
      <c r="AC24" s="1376"/>
      <c r="AD24" s="1376"/>
      <c r="AE24" s="1376"/>
      <c r="AF24" s="1376"/>
    </row>
    <row r="25" spans="1:37" ht="15.75" thickBot="1">
      <c r="A25" s="2788" t="s">
        <v>813</v>
      </c>
      <c r="B25" s="2810" t="s">
        <v>2911</v>
      </c>
      <c r="C25" s="928"/>
      <c r="D25" s="2740"/>
      <c r="E25" s="2740"/>
      <c r="F25" s="2811"/>
      <c r="G25" s="2740"/>
      <c r="H25" s="2740"/>
      <c r="I25" s="2740"/>
      <c r="J25" s="2741"/>
      <c r="K25" s="1368"/>
      <c r="N25" s="2812" t="s">
        <v>2912</v>
      </c>
      <c r="O25" s="1563"/>
      <c r="P25" s="1562">
        <f>SUMPRODUCT((地价!A3:A30=YEAR(G19)&amp;"-"&amp;ROUNDUP(MONTH(G19)/3,0))*(地价!AD2:AH2=N25)*(地价!AD3:AH30))</f>
        <v>1.8499999999999999E-2</v>
      </c>
      <c r="R25" s="1374"/>
      <c r="S25" s="1374"/>
      <c r="T25" s="1369"/>
      <c r="U25" s="1369"/>
      <c r="V25" s="1369"/>
      <c r="W25" s="1368"/>
      <c r="X25" s="1368"/>
      <c r="Y25" s="1368"/>
      <c r="Z25" s="1375"/>
      <c r="AA25" s="1376"/>
      <c r="AB25" s="1376"/>
      <c r="AC25" s="1376"/>
      <c r="AD25" s="1376"/>
    </row>
    <row r="26" spans="1:37" ht="15">
      <c r="A26" s="2813"/>
      <c r="B26" s="2800" t="s">
        <v>2913</v>
      </c>
      <c r="C26" s="205">
        <f ca="1">E29+SUM(E33:E39)</f>
        <v>16246</v>
      </c>
      <c r="D26" s="2814"/>
      <c r="E26" s="2765"/>
      <c r="F26" s="2815"/>
      <c r="G26" s="2765"/>
      <c r="H26" s="2765"/>
      <c r="I26" s="2765"/>
      <c r="J26" s="2816"/>
      <c r="K26" s="1368"/>
      <c r="L26" s="2769" t="s">
        <v>2812</v>
      </c>
      <c r="M26" s="918" t="s">
        <v>2877</v>
      </c>
      <c r="N26" s="918" t="s">
        <v>2878</v>
      </c>
      <c r="O26" s="918" t="s">
        <v>2879</v>
      </c>
      <c r="P26" s="2770" t="s">
        <v>2880</v>
      </c>
      <c r="R26" s="1374"/>
      <c r="S26" s="1374"/>
      <c r="T26" s="1369"/>
      <c r="U26" s="1369"/>
      <c r="V26" s="1369"/>
      <c r="W26" s="1368"/>
      <c r="X26" s="1368"/>
      <c r="Y26" s="1368"/>
      <c r="Z26" s="1375"/>
      <c r="AA26" s="1376"/>
      <c r="AB26" s="1376"/>
      <c r="AC26" s="1376"/>
      <c r="AD26" s="1376"/>
    </row>
    <row r="27" spans="1:37" ht="15.75" thickBot="1">
      <c r="A27" s="2813"/>
      <c r="B27" s="2817" t="s">
        <v>2914</v>
      </c>
      <c r="C27" s="929">
        <f ca="1">E30+SUM(I33:I39)</f>
        <v>5</v>
      </c>
      <c r="D27" s="2818"/>
      <c r="E27" s="2819"/>
      <c r="F27" s="2820"/>
      <c r="G27" s="2819"/>
      <c r="H27" s="2819"/>
      <c r="I27" s="2819"/>
      <c r="J27" s="2821"/>
      <c r="K27" s="1368"/>
      <c r="L27" s="2773"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2"/>
      <c r="B28" s="2823" t="s">
        <v>2915</v>
      </c>
      <c r="C28" s="2824" t="s">
        <v>2916</v>
      </c>
      <c r="D28" s="2824" t="s">
        <v>2917</v>
      </c>
      <c r="E28" s="2825" t="s">
        <v>2918</v>
      </c>
      <c r="F28" s="2826"/>
      <c r="G28" s="2753"/>
      <c r="H28" s="2753"/>
      <c r="I28" s="2753"/>
      <c r="J28" s="2754"/>
      <c r="K28" s="1368"/>
      <c r="L28" s="2774" t="s">
        <v>2887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7"/>
      <c r="B29" s="2828" t="s">
        <v>2919</v>
      </c>
      <c r="C29" s="205">
        <f ca="1">ROUND(C5*C18*C19*C20*C21*C24,0)</f>
        <v>2470</v>
      </c>
      <c r="D29" s="2829">
        <f>'数据-汇总表'!F27</f>
        <v>65627.570000000007</v>
      </c>
      <c r="E29" s="940">
        <f ca="1">ROUND(C29*D29/10000,0)</f>
        <v>16210</v>
      </c>
      <c r="F29" s="2830" t="s">
        <v>2920</v>
      </c>
      <c r="G29" s="2831"/>
      <c r="H29" s="2831"/>
      <c r="I29" s="2831"/>
      <c r="J29" s="2832"/>
      <c r="K29" s="1368"/>
      <c r="L29" s="1368"/>
      <c r="M29" s="1368"/>
      <c r="N29" s="1368"/>
      <c r="O29" s="1373"/>
      <c r="P29" s="1373"/>
      <c r="Q29" s="1374"/>
      <c r="R29" s="1374"/>
      <c r="S29" s="1374"/>
      <c r="T29" s="1369"/>
      <c r="U29" s="1369"/>
      <c r="V29" s="1369"/>
      <c r="W29" s="1368"/>
      <c r="X29" s="1368"/>
      <c r="Y29" s="1368"/>
      <c r="Z29" s="1375"/>
      <c r="AA29" s="1376"/>
      <c r="AB29" s="1376"/>
      <c r="AC29" s="1376"/>
      <c r="AD29" s="1376"/>
      <c r="AE29" s="2775"/>
      <c r="AF29" s="2775"/>
      <c r="AG29" s="2712"/>
      <c r="AH29" s="2712"/>
      <c r="AI29" s="2712"/>
      <c r="AJ29" s="2712"/>
    </row>
    <row r="30" spans="1:37" ht="25.5" thickBot="1">
      <c r="A30" s="2833"/>
      <c r="B30" s="2834" t="s">
        <v>2921</v>
      </c>
      <c r="C30" s="228">
        <f ca="1">ROUND(IF(E2="工业",C29*M39,C29*M38),0)</f>
        <v>371</v>
      </c>
      <c r="D30" s="2835"/>
      <c r="E30" s="940">
        <f ca="1">ROUND(C30*D30/10000,0)</f>
        <v>0</v>
      </c>
      <c r="F30" s="2836" t="s">
        <v>2922</v>
      </c>
      <c r="G30" s="2837"/>
      <c r="H30" s="2837"/>
      <c r="I30" s="2837"/>
      <c r="J30" s="2838"/>
      <c r="K30" s="1368"/>
      <c r="L30" s="1368"/>
      <c r="M30" s="1368"/>
      <c r="N30" s="1368"/>
      <c r="O30" s="1373"/>
      <c r="P30" s="1373"/>
      <c r="Q30" s="1374"/>
      <c r="R30" s="1374"/>
      <c r="S30" s="1374"/>
      <c r="T30" s="1369"/>
      <c r="U30" s="1369"/>
      <c r="V30" s="1369"/>
      <c r="W30" s="1368"/>
      <c r="X30" s="1368"/>
      <c r="Y30" s="1368"/>
      <c r="Z30" s="1375"/>
      <c r="AA30" s="1376"/>
      <c r="AB30" s="1376"/>
      <c r="AC30" s="1376"/>
      <c r="AD30" s="1376"/>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75"/>
      <c r="AF31" s="2775"/>
      <c r="AG31" s="2712"/>
      <c r="AH31" s="2712"/>
      <c r="AI31" s="2712"/>
      <c r="AJ31" s="2712"/>
    </row>
    <row r="32" spans="1:37" ht="24">
      <c r="A32" s="2827"/>
      <c r="B32" s="2843"/>
      <c r="C32" s="500" t="s">
        <v>2916</v>
      </c>
      <c r="D32" s="497" t="s">
        <v>2917</v>
      </c>
      <c r="E32" s="497" t="s">
        <v>2918</v>
      </c>
      <c r="F32" s="387" t="s">
        <v>2926</v>
      </c>
      <c r="G32" s="2844" t="s">
        <v>2916</v>
      </c>
      <c r="H32" s="2844" t="s">
        <v>2917</v>
      </c>
      <c r="I32" s="2844"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5"/>
      <c r="AF32" s="2775"/>
      <c r="AG32" s="2712"/>
      <c r="AH32" s="2712"/>
      <c r="AI32" s="2712"/>
      <c r="AJ32" s="2712"/>
    </row>
    <row r="33" spans="1:37" ht="36" customHeight="1">
      <c r="A33" s="3273" t="s">
        <v>2927</v>
      </c>
      <c r="B33" s="2845" t="s">
        <v>2928</v>
      </c>
      <c r="C33" s="205">
        <f ca="1">ROUND(D5*C19*C20*C24*F33,0)</f>
        <v>794</v>
      </c>
      <c r="D33" s="2829"/>
      <c r="E33" s="199">
        <f ca="1">ROUND(C33*D33/10000,0)</f>
        <v>0</v>
      </c>
      <c r="F33" s="199">
        <f>SUMIF(修正!A45:A56,G2,修正!B45:B56)</f>
        <v>0.6</v>
      </c>
      <c r="G33" s="199">
        <f t="shared" ref="G33" ca="1" si="6">ROUND(IF(E2="工业",C33*$M$39,C33*$M$38),0)</f>
        <v>119</v>
      </c>
      <c r="H33" s="199">
        <f>D33</f>
        <v>0</v>
      </c>
      <c r="I33" s="199">
        <f ca="1">ROUND(G33*H33/10000,0)</f>
        <v>0</v>
      </c>
      <c r="J33" s="284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4"/>
      <c r="B34" s="2757" t="s">
        <v>2929</v>
      </c>
      <c r="C34" s="205">
        <f ca="1">ROUND(D5*C19*C20*C24*F34,0)</f>
        <v>397</v>
      </c>
      <c r="D34" s="2829"/>
      <c r="E34" s="199">
        <f t="shared" ref="E34:E39" ca="1" si="7">ROUND(C34*D34/10000,0)</f>
        <v>0</v>
      </c>
      <c r="F34" s="199">
        <f>SUMIF(修正!A45:A56,G2,修正!C45:C56)</f>
        <v>0.3</v>
      </c>
      <c r="G34" s="199">
        <f ca="1">ROUND(IF(E2="工业",C34*$M$39,C34*$M$38),0)</f>
        <v>60</v>
      </c>
      <c r="H34" s="199">
        <f t="shared" ref="H34:H39" si="8">D34</f>
        <v>0</v>
      </c>
      <c r="I34" s="199">
        <f t="shared" ref="I34:I39" ca="1" si="9">ROUND(G34*H34/10000,0)</f>
        <v>0</v>
      </c>
      <c r="J34" s="284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4"/>
      <c r="B35" s="2757" t="s">
        <v>2930</v>
      </c>
      <c r="C35" s="205">
        <f ca="1">ROUND(D5*C19*C20*C24*F35,0)</f>
        <v>265</v>
      </c>
      <c r="D35" s="2829"/>
      <c r="E35" s="199">
        <f t="shared" ca="1" si="7"/>
        <v>0</v>
      </c>
      <c r="F35" s="199">
        <f>SUMIF(修正!A45:A56,G2,修正!D45:D56)</f>
        <v>0.2</v>
      </c>
      <c r="G35" s="199">
        <f ca="1">ROUND(IF(E2="工业",C35*$M$39,C35*$M$38),0)</f>
        <v>40</v>
      </c>
      <c r="H35" s="199">
        <f t="shared" si="8"/>
        <v>0</v>
      </c>
      <c r="I35" s="199">
        <f t="shared" ca="1" si="9"/>
        <v>0</v>
      </c>
      <c r="J35" s="2846"/>
      <c r="K35" s="1368"/>
      <c r="L35" s="1368"/>
      <c r="M35" s="1368"/>
      <c r="N35" s="1368"/>
      <c r="O35" s="1368"/>
      <c r="P35" s="1368"/>
      <c r="Q35" s="1368"/>
      <c r="R35" s="1368"/>
      <c r="S35" s="1368"/>
      <c r="T35" s="1368"/>
      <c r="U35" s="1368"/>
      <c r="V35" s="1368"/>
      <c r="W35" s="1368"/>
      <c r="X35" s="1368"/>
      <c r="Y35" s="1368"/>
      <c r="Z35" s="1369"/>
    </row>
    <row r="36" spans="1:37" ht="13.5" thickBot="1">
      <c r="A36" s="3275"/>
      <c r="B36" s="2757" t="s">
        <v>2931</v>
      </c>
      <c r="C36" s="205">
        <f ca="1">ROUND(D5*C19*C20*C24*F36,0)</f>
        <v>265</v>
      </c>
      <c r="D36" s="2829"/>
      <c r="E36" s="199">
        <f t="shared" ca="1" si="7"/>
        <v>0</v>
      </c>
      <c r="F36" s="199">
        <f>SUMIF(修正!A45:A56,G2,修正!E45:E56)</f>
        <v>0.2</v>
      </c>
      <c r="G36" s="199">
        <f ca="1">ROUND(IF(E2="工业",C36*$M$39,C36*$M$38),0)</f>
        <v>40</v>
      </c>
      <c r="H36" s="199">
        <f t="shared" si="8"/>
        <v>0</v>
      </c>
      <c r="I36" s="199">
        <f t="shared" ca="1" si="9"/>
        <v>0</v>
      </c>
      <c r="J36" s="2846"/>
      <c r="K36" s="1368"/>
      <c r="L36" s="2711"/>
      <c r="M36" s="2711"/>
      <c r="N36" s="1368"/>
      <c r="O36" s="1368"/>
      <c r="P36" s="1368"/>
      <c r="Q36" s="1368"/>
      <c r="R36" s="1368"/>
      <c r="S36" s="1368"/>
      <c r="T36" s="1368"/>
      <c r="U36" s="1368"/>
      <c r="V36" s="1368"/>
      <c r="W36" s="1368"/>
      <c r="X36" s="1368"/>
      <c r="Y36" s="1368"/>
      <c r="Z36" s="1369"/>
    </row>
    <row r="37" spans="1:37">
      <c r="A37" s="2847"/>
      <c r="B37" s="2757" t="s">
        <v>2932</v>
      </c>
      <c r="C37" s="199">
        <f ca="1">ROUND(D5*C19*C20*C24*F37,0)</f>
        <v>265</v>
      </c>
      <c r="D37" s="2829"/>
      <c r="E37" s="199">
        <f t="shared" ca="1" si="7"/>
        <v>0</v>
      </c>
      <c r="F37" s="205">
        <f>SUMIF(修正!A45:A56,G2,修正!F45:F56)</f>
        <v>0.2</v>
      </c>
      <c r="G37" s="199">
        <f ca="1">ROUND(IF(E2="工业",C37*$M$39,C37*$M$38),0)</f>
        <v>40</v>
      </c>
      <c r="H37" s="199">
        <f t="shared" si="8"/>
        <v>0</v>
      </c>
      <c r="I37" s="199">
        <f t="shared" ca="1" si="9"/>
        <v>0</v>
      </c>
      <c r="J37" s="2846"/>
      <c r="K37" s="1368"/>
      <c r="L37" s="2848" t="s">
        <v>2933</v>
      </c>
      <c r="M37" s="2849"/>
      <c r="N37" s="1368"/>
      <c r="O37" s="1368"/>
      <c r="P37" s="1368"/>
      <c r="Q37" s="1368"/>
      <c r="R37" s="1368"/>
      <c r="S37" s="1368"/>
      <c r="T37" s="1368"/>
      <c r="U37" s="1368"/>
      <c r="V37" s="1368"/>
      <c r="W37" s="1368"/>
      <c r="X37" s="1368"/>
      <c r="Y37" s="1368"/>
      <c r="Z37" s="1369"/>
    </row>
    <row r="38" spans="1:37">
      <c r="A38" s="2847"/>
      <c r="B38" s="2757" t="s">
        <v>2934</v>
      </c>
      <c r="C38" s="199">
        <f ca="1">ROUND(D5*C19*C41*C24*F38,0)</f>
        <v>265</v>
      </c>
      <c r="D38" s="2829">
        <f>'数据-基础表'!M13</f>
        <v>1361.37</v>
      </c>
      <c r="E38" s="199">
        <f t="shared" ca="1" si="7"/>
        <v>36</v>
      </c>
      <c r="F38" s="205">
        <f>SUMIF(修正!A45:A56,G2,修正!G45:G56)</f>
        <v>0.2</v>
      </c>
      <c r="G38" s="199">
        <f ca="1">ROUND(IF(E2="工业",C38*$M$39,C38*$M$38),0)</f>
        <v>40</v>
      </c>
      <c r="H38" s="199">
        <f t="shared" si="8"/>
        <v>1361.37</v>
      </c>
      <c r="I38" s="199">
        <f t="shared" ca="1" si="9"/>
        <v>5</v>
      </c>
      <c r="J38" s="2846"/>
      <c r="K38" s="1368"/>
      <c r="L38" s="1877" t="s">
        <v>2935</v>
      </c>
      <c r="M38" s="2850">
        <v>0.25</v>
      </c>
      <c r="N38" s="1368"/>
      <c r="O38" s="1368"/>
      <c r="P38" s="1368"/>
      <c r="Q38" s="1368"/>
      <c r="R38" s="1368"/>
      <c r="S38" s="1368"/>
      <c r="T38" s="1368"/>
      <c r="U38" s="1368"/>
      <c r="V38" s="1368"/>
      <c r="W38" s="1368"/>
      <c r="X38" s="1368"/>
      <c r="Y38" s="1368"/>
      <c r="Z38" s="1369"/>
    </row>
    <row r="39" spans="1:37" ht="13.5" thickBot="1">
      <c r="A39" s="2833"/>
      <c r="B39" s="2851" t="s">
        <v>2936</v>
      </c>
      <c r="C39" s="228">
        <f ca="1">ROUND(D5*C19*C41*C24*F39,0)</f>
        <v>198</v>
      </c>
      <c r="D39" s="2835"/>
      <c r="E39" s="228">
        <f t="shared" ca="1" si="7"/>
        <v>0</v>
      </c>
      <c r="F39" s="930">
        <f>SUMIF(修正!A45:A56,G2,修正!H45:H56)</f>
        <v>0.15</v>
      </c>
      <c r="G39" s="228">
        <f ca="1">ROUND(IF(E2="工业",C39*$M$39,C39*$M$38),0)</f>
        <v>30</v>
      </c>
      <c r="H39" s="228">
        <f t="shared" si="8"/>
        <v>0</v>
      </c>
      <c r="I39" s="228">
        <f t="shared" ca="1" si="9"/>
        <v>0</v>
      </c>
      <c r="J39" s="2852"/>
      <c r="K39" s="1368"/>
      <c r="L39" s="2853" t="s">
        <v>2880</v>
      </c>
      <c r="M39" s="285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2" t="s">
        <v>3044</v>
      </c>
      <c r="C41" s="387">
        <f ca="1">ROUND(POWER(1+E41,H41-G41)*(POWER(1+E41,G41)-1)/(POWER(1+E41,H41)-1),4)</f>
        <v>0.87119999999999997</v>
      </c>
      <c r="D41" s="199" t="s">
        <v>2887</v>
      </c>
      <c r="E41" s="2921">
        <f ca="1">G20</f>
        <v>4.8000000000000001E-2</v>
      </c>
      <c r="F41" s="199" t="s">
        <v>2896</v>
      </c>
      <c r="G41" s="217">
        <f>项目基本情况!I15</f>
        <v>33.049999999999997</v>
      </c>
      <c r="H41" s="199">
        <v>50</v>
      </c>
      <c r="Z41" s="1369"/>
      <c r="AA41" s="1369"/>
      <c r="AB41" s="1369"/>
      <c r="AC41" s="1369"/>
      <c r="AD41" s="1369"/>
      <c r="AE41" s="1369"/>
      <c r="AF41" s="1369"/>
      <c r="AG41" s="1369"/>
      <c r="AH41" s="1369"/>
      <c r="AI41" s="1369"/>
      <c r="AJ41" s="1369"/>
    </row>
    <row r="42" spans="1:37" s="1368" customFormat="1">
      <c r="A42" s="1369"/>
      <c r="B42" s="2855"/>
      <c r="Z42" s="1369"/>
      <c r="AA42" s="1369"/>
      <c r="AB42" s="1369"/>
      <c r="AC42" s="1369"/>
      <c r="AD42" s="1369"/>
      <c r="AE42" s="1369"/>
      <c r="AF42" s="1369"/>
      <c r="AG42" s="1369"/>
      <c r="AH42" s="1369"/>
      <c r="AI42" s="1369"/>
      <c r="AJ42" s="1369"/>
    </row>
    <row r="43" spans="1:37" s="1368" customFormat="1">
      <c r="A43" s="1369"/>
      <c r="B43" s="2855"/>
      <c r="Z43" s="1369"/>
      <c r="AA43" s="1369"/>
      <c r="AB43" s="1369"/>
      <c r="AC43" s="1369"/>
      <c r="AD43" s="1369"/>
      <c r="AE43" s="1369"/>
      <c r="AF43" s="1369"/>
      <c r="AG43" s="1369"/>
      <c r="AH43" s="1369"/>
      <c r="AI43" s="1369"/>
      <c r="AJ43" s="1369"/>
    </row>
    <row r="44" spans="1:37" s="1368" customFormat="1">
      <c r="A44" s="1369"/>
      <c r="B44" s="2855"/>
      <c r="Z44" s="1369"/>
      <c r="AA44" s="1369"/>
      <c r="AB44" s="1369"/>
      <c r="AC44" s="1369"/>
      <c r="AD44" s="1369"/>
      <c r="AE44" s="1369"/>
      <c r="AF44" s="1369"/>
      <c r="AG44" s="1369"/>
      <c r="AH44" s="1369"/>
      <c r="AI44" s="1369"/>
      <c r="AJ44" s="1369"/>
    </row>
    <row r="45" spans="1:37" s="1368" customFormat="1" ht="15.75" thickBot="1">
      <c r="A45" s="2856" t="s">
        <v>2937</v>
      </c>
      <c r="B45" s="2857"/>
      <c r="C45" s="7"/>
      <c r="D45" s="7"/>
      <c r="E45" s="7"/>
      <c r="F45" s="6"/>
      <c r="G45" s="6"/>
      <c r="H45" s="6"/>
      <c r="I45" s="7"/>
      <c r="J45" s="7"/>
      <c r="K45" s="7"/>
      <c r="L45" s="7"/>
      <c r="M45" s="7"/>
      <c r="N45" s="2775"/>
      <c r="Z45" s="1369"/>
      <c r="AA45" s="1369"/>
      <c r="AB45" s="1369"/>
      <c r="AC45" s="1369"/>
      <c r="AD45" s="1369"/>
      <c r="AE45" s="1369"/>
      <c r="AF45" s="1369"/>
      <c r="AG45" s="1369"/>
      <c r="AH45" s="1369"/>
      <c r="AI45" s="1369"/>
      <c r="AJ45" s="1369"/>
    </row>
    <row r="46" spans="1:37" s="1368" customFormat="1" ht="15">
      <c r="A46" s="2858" t="s">
        <v>2938</v>
      </c>
      <c r="B46" s="2859">
        <f>1+E48</f>
        <v>1</v>
      </c>
      <c r="C46" s="2860"/>
      <c r="D46" s="812"/>
      <c r="E46" s="813"/>
      <c r="F46" s="2861"/>
      <c r="G46" s="6"/>
      <c r="H46" s="7"/>
      <c r="I46" s="7"/>
      <c r="J46" s="7"/>
      <c r="K46" s="7"/>
      <c r="L46" s="7"/>
      <c r="M46" s="7"/>
      <c r="N46" s="2775"/>
      <c r="Z46" s="1369"/>
      <c r="AA46" s="1369"/>
      <c r="AB46" s="1369"/>
      <c r="AC46" s="1369"/>
      <c r="AD46" s="1369"/>
      <c r="AE46" s="1369"/>
      <c r="AF46" s="1369"/>
      <c r="AG46" s="1369"/>
      <c r="AH46" s="1369"/>
      <c r="AI46" s="1369"/>
      <c r="AJ46" s="1369"/>
    </row>
    <row r="47" spans="1:37" s="1368" customFormat="1" ht="24.75">
      <c r="A47" s="2862" t="s">
        <v>2939</v>
      </c>
      <c r="B47" s="1799" t="s">
        <v>2940</v>
      </c>
      <c r="C47" s="1799" t="s">
        <v>2941</v>
      </c>
      <c r="D47" s="1799" t="s">
        <v>2942</v>
      </c>
      <c r="E47" s="817" t="s">
        <v>2943</v>
      </c>
      <c r="F47" s="2863" t="s">
        <v>2944</v>
      </c>
      <c r="G47" s="1799" t="s">
        <v>754</v>
      </c>
      <c r="H47" s="2864" t="s">
        <v>2945</v>
      </c>
      <c r="I47" s="1799" t="s">
        <v>2946</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38.25">
      <c r="A48" s="2862" t="s">
        <v>2947</v>
      </c>
      <c r="B48" s="2865" t="str">
        <f>估价对象房地状况!C4</f>
        <v>估价对象位于XX商圈，周边商业氛围成熟，人流量大，商业繁华度好</v>
      </c>
      <c r="C48" s="2762"/>
      <c r="D48" s="1284">
        <f t="shared" ref="D48:D56" si="10">SUMIF($J$47:$N$47,C48,J48:N48)</f>
        <v>0</v>
      </c>
      <c r="E48" s="819">
        <f>ROUND(SUM(D48:D56),4)</f>
        <v>0</v>
      </c>
      <c r="F48" s="2493"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2" t="s">
        <v>2948</v>
      </c>
      <c r="B49" s="2866" t="str">
        <f>估价对象房地状况!C18</f>
        <v>估价对象周边道路状况、公共交通通达情况、停车便捷程度，综合评价交通便捷度较好</v>
      </c>
      <c r="C49" s="2762"/>
      <c r="D49" s="1284">
        <f t="shared" si="10"/>
        <v>0</v>
      </c>
      <c r="E49" s="820"/>
      <c r="F49" s="2493"/>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2" t="s">
        <v>2949</v>
      </c>
      <c r="B50" s="2866">
        <f>估价对象房地状况!C19</f>
        <v>0</v>
      </c>
      <c r="C50" s="2762"/>
      <c r="D50" s="1284">
        <f t="shared" si="10"/>
        <v>0</v>
      </c>
      <c r="E50" s="820"/>
      <c r="F50" s="2493"/>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2" t="s">
        <v>2950</v>
      </c>
      <c r="B51" s="2867" t="s">
        <v>2951</v>
      </c>
      <c r="C51" s="2762"/>
      <c r="D51" s="1284">
        <f t="shared" si="10"/>
        <v>0</v>
      </c>
      <c r="E51" s="820"/>
      <c r="F51" s="2493"/>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2" t="s">
        <v>2952</v>
      </c>
      <c r="B52" s="2866">
        <f>估价对象房地状况!C24</f>
        <v>0</v>
      </c>
      <c r="C52" s="2762"/>
      <c r="D52" s="1284">
        <f t="shared" si="10"/>
        <v>0</v>
      </c>
      <c r="E52" s="820"/>
      <c r="F52" s="2493"/>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2" t="s">
        <v>2953</v>
      </c>
      <c r="B53" s="2868" t="s">
        <v>2954</v>
      </c>
      <c r="C53" s="2762"/>
      <c r="D53" s="1284">
        <f t="shared" si="10"/>
        <v>0</v>
      </c>
      <c r="E53" s="820"/>
      <c r="F53" s="2493"/>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69" t="s">
        <v>2955</v>
      </c>
      <c r="B54" s="1723" t="str">
        <f>估价对象房地状况!C21</f>
        <v>估价对象所在区域公共配套设施齐备情况</v>
      </c>
      <c r="C54" s="2762"/>
      <c r="D54" s="1284">
        <f t="shared" si="10"/>
        <v>0</v>
      </c>
      <c r="E54" s="820"/>
      <c r="F54" s="2493"/>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69" t="s">
        <v>2956</v>
      </c>
      <c r="B55" s="2866" t="str">
        <f>估价对象房地状况!C22</f>
        <v>估价对象所在区域基础设施水平</v>
      </c>
      <c r="C55" s="2762"/>
      <c r="D55" s="1284">
        <f t="shared" si="10"/>
        <v>0</v>
      </c>
      <c r="E55" s="820"/>
      <c r="F55" s="2493"/>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0" t="s">
        <v>2957</v>
      </c>
      <c r="B56" s="2871" t="str">
        <f>估价对象房地状况!C20</f>
        <v>区域自然环境：；人文环境；综合评价环境状况一般</v>
      </c>
      <c r="C56" s="2762"/>
      <c r="D56" s="1284">
        <f t="shared" si="10"/>
        <v>0</v>
      </c>
      <c r="E56" s="823"/>
      <c r="F56" s="2493"/>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58" t="s">
        <v>2958</v>
      </c>
      <c r="B57" s="2859">
        <f>1+E59</f>
        <v>1</v>
      </c>
      <c r="C57" s="812"/>
      <c r="D57" s="812"/>
      <c r="E57" s="813"/>
      <c r="F57" s="286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2" t="s">
        <v>2939</v>
      </c>
      <c r="B58" s="1799"/>
      <c r="C58" s="1799" t="s">
        <v>2941</v>
      </c>
      <c r="D58" s="1799" t="s">
        <v>2942</v>
      </c>
      <c r="E58" s="817" t="s">
        <v>2943</v>
      </c>
      <c r="F58" s="2863" t="s">
        <v>2959</v>
      </c>
      <c r="G58" s="1799" t="s">
        <v>754</v>
      </c>
      <c r="H58" s="2864" t="s">
        <v>2945</v>
      </c>
      <c r="I58" s="1799" t="s">
        <v>2946</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38.25">
      <c r="A59" s="2862" t="s">
        <v>2960</v>
      </c>
      <c r="B59" s="2865" t="str">
        <f>估价对象房地状况!C17</f>
        <v>估价对象位于XX商圈，周边办公楼项目较多，入驻率高，办公集聚程度较好</v>
      </c>
      <c r="C59" s="2762"/>
      <c r="D59" s="1284">
        <f t="shared" ref="D59:D67" si="15">SUMIF($J$58:$N$58,C59,J59:N59)</f>
        <v>0</v>
      </c>
      <c r="E59" s="819">
        <f>ROUND(SUM(D59:D67),4)</f>
        <v>0</v>
      </c>
      <c r="F59" s="2493"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2" t="s">
        <v>2948</v>
      </c>
      <c r="B60" s="2866" t="str">
        <f>估价对象房地状况!C18</f>
        <v>估价对象周边道路状况、公共交通通达情况、停车便捷程度，综合评价交通便捷度较好</v>
      </c>
      <c r="C60" s="2762"/>
      <c r="D60" s="1284">
        <f t="shared" si="15"/>
        <v>0</v>
      </c>
      <c r="E60" s="820"/>
      <c r="F60" s="2493"/>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2" t="s">
        <v>2949</v>
      </c>
      <c r="B61" s="2866">
        <f>估价对象房地状况!C19</f>
        <v>0</v>
      </c>
      <c r="C61" s="2762"/>
      <c r="D61" s="1284">
        <f t="shared" si="15"/>
        <v>0</v>
      </c>
      <c r="E61" s="820"/>
      <c r="F61" s="2493"/>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2" t="s">
        <v>2950</v>
      </c>
      <c r="B62" s="2867" t="s">
        <v>2951</v>
      </c>
      <c r="C62" s="2762"/>
      <c r="D62" s="1284">
        <f t="shared" si="15"/>
        <v>0</v>
      </c>
      <c r="E62" s="820"/>
      <c r="F62" s="2493"/>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2" t="s">
        <v>2952</v>
      </c>
      <c r="B63" s="2866">
        <f>估价对象房地状况!C24</f>
        <v>0</v>
      </c>
      <c r="C63" s="2762"/>
      <c r="D63" s="1284">
        <f t="shared" si="15"/>
        <v>0</v>
      </c>
      <c r="E63" s="820"/>
      <c r="F63" s="2493"/>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2" t="s">
        <v>2953</v>
      </c>
      <c r="B64" s="2868" t="s">
        <v>2954</v>
      </c>
      <c r="C64" s="2762"/>
      <c r="D64" s="1284">
        <f t="shared" si="15"/>
        <v>0</v>
      </c>
      <c r="E64" s="820"/>
      <c r="F64" s="2493"/>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2" t="s">
        <v>2955</v>
      </c>
      <c r="B65" s="1723" t="str">
        <f>估价对象房地状况!C21</f>
        <v>估价对象所在区域公共配套设施齐备情况</v>
      </c>
      <c r="C65" s="2762"/>
      <c r="D65" s="1284">
        <f t="shared" si="15"/>
        <v>0</v>
      </c>
      <c r="E65" s="820"/>
      <c r="F65" s="2493"/>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2" t="s">
        <v>2956</v>
      </c>
      <c r="B66" s="1723" t="str">
        <f>估价对象房地状况!C22</f>
        <v>估价对象所在区域基础设施水平</v>
      </c>
      <c r="C66" s="2762"/>
      <c r="D66" s="1284">
        <f t="shared" si="15"/>
        <v>0</v>
      </c>
      <c r="E66" s="820"/>
      <c r="F66" s="2493"/>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0" t="s">
        <v>2957</v>
      </c>
      <c r="B67" s="2872" t="str">
        <f>估价对象房地状况!C20</f>
        <v>区域自然环境：；人文环境；综合评价环境状况一般</v>
      </c>
      <c r="C67" s="2762"/>
      <c r="D67" s="1284">
        <f t="shared" si="15"/>
        <v>0</v>
      </c>
      <c r="E67" s="823"/>
      <c r="F67" s="2493"/>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8" t="s">
        <v>2961</v>
      </c>
      <c r="B68" s="2859">
        <f>1+E70</f>
        <v>1</v>
      </c>
      <c r="C68" s="812"/>
      <c r="D68" s="812"/>
      <c r="E68" s="813"/>
      <c r="F68" s="286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2" t="s">
        <v>2939</v>
      </c>
      <c r="B69" s="1799"/>
      <c r="C69" s="1799" t="s">
        <v>2941</v>
      </c>
      <c r="D69" s="1799" t="s">
        <v>2942</v>
      </c>
      <c r="E69" s="817" t="s">
        <v>2943</v>
      </c>
      <c r="F69" s="2863" t="s">
        <v>2959</v>
      </c>
      <c r="G69" s="1799" t="s">
        <v>754</v>
      </c>
      <c r="H69" s="2864" t="s">
        <v>2945</v>
      </c>
      <c r="I69" s="1799" t="s">
        <v>2946</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51">
      <c r="A70" s="2862" t="s">
        <v>2962</v>
      </c>
      <c r="B70" s="2865" t="str">
        <f>估价对象房地状况!C15</f>
        <v>估价对象周边居住用地比例、居住小区规模和社区发展完善程度，综合评价居住社区成熟度一般</v>
      </c>
      <c r="C70" s="2762"/>
      <c r="D70" s="1284">
        <f t="shared" ref="D70:D78" si="20">SUMIF($J$69:$N$69,C70,J70:N70)</f>
        <v>0</v>
      </c>
      <c r="E70" s="819">
        <f>ROUND(SUM(D70:D78),4)</f>
        <v>0</v>
      </c>
      <c r="F70" s="2493"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2" t="s">
        <v>2948</v>
      </c>
      <c r="B71" s="2866" t="str">
        <f>估价对象房地状况!C18</f>
        <v>估价对象周边道路状况、公共交通通达情况、停车便捷程度，综合评价交通便捷度较好</v>
      </c>
      <c r="C71" s="2762"/>
      <c r="D71" s="1284">
        <f t="shared" si="20"/>
        <v>0</v>
      </c>
      <c r="E71" s="824"/>
      <c r="F71" s="2493"/>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2" t="s">
        <v>2949</v>
      </c>
      <c r="B72" s="2866">
        <f>估价对象房地状况!C19</f>
        <v>0</v>
      </c>
      <c r="C72" s="2762"/>
      <c r="D72" s="1284">
        <f t="shared" si="20"/>
        <v>0</v>
      </c>
      <c r="E72" s="824"/>
      <c r="F72" s="2493"/>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2" t="s">
        <v>2963</v>
      </c>
      <c r="B73" s="2866">
        <f>估价对象房地状况!C24</f>
        <v>0</v>
      </c>
      <c r="C73" s="2762"/>
      <c r="D73" s="1284">
        <f t="shared" si="20"/>
        <v>0</v>
      </c>
      <c r="E73" s="824"/>
      <c r="F73" s="2493"/>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2" t="s">
        <v>2955</v>
      </c>
      <c r="B74" s="1723" t="str">
        <f>估价对象房地状况!C21</f>
        <v>估价对象所在区域公共配套设施齐备情况</v>
      </c>
      <c r="C74" s="2762"/>
      <c r="D74" s="1284">
        <f t="shared" si="20"/>
        <v>0</v>
      </c>
      <c r="E74" s="824"/>
      <c r="F74" s="2493"/>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2" t="s">
        <v>2956</v>
      </c>
      <c r="B75" s="1723" t="str">
        <f>估价对象房地状况!C22</f>
        <v>估价对象所在区域基础设施水平</v>
      </c>
      <c r="C75" s="2762"/>
      <c r="D75" s="1284">
        <f t="shared" si="20"/>
        <v>0</v>
      </c>
      <c r="E75" s="824"/>
      <c r="F75" s="2493"/>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62" t="s">
        <v>2953</v>
      </c>
      <c r="B76" s="2868" t="s">
        <v>2954</v>
      </c>
      <c r="C76" s="2762"/>
      <c r="D76" s="1284">
        <f t="shared" si="20"/>
        <v>0</v>
      </c>
      <c r="E76" s="824"/>
      <c r="F76" s="2493"/>
      <c r="G76" s="1282"/>
      <c r="H76" s="1286" t="str">
        <f t="shared" si="21"/>
        <v>——</v>
      </c>
      <c r="I76" s="818">
        <v>0.05</v>
      </c>
      <c r="J76" s="1283">
        <f t="shared" si="22"/>
        <v>0</v>
      </c>
      <c r="K76" s="1283">
        <f t="shared" si="23"/>
        <v>0</v>
      </c>
      <c r="L76" s="1283">
        <v>0</v>
      </c>
      <c r="M76" s="1283">
        <f t="shared" si="24"/>
        <v>0</v>
      </c>
      <c r="N76" s="1283">
        <f t="shared" si="24"/>
        <v>0</v>
      </c>
      <c r="AA76" s="2873"/>
      <c r="AB76" s="1369"/>
      <c r="AC76" s="1369"/>
      <c r="AD76" s="1369"/>
      <c r="AE76" s="1369"/>
      <c r="AF76" s="1369"/>
      <c r="AG76" s="1369"/>
      <c r="AH76" s="2873"/>
      <c r="AI76" s="2873"/>
      <c r="AJ76" s="2873"/>
      <c r="AK76" s="2873"/>
    </row>
    <row r="77" spans="1:37" ht="38.25">
      <c r="A77" s="2862" t="s">
        <v>2957</v>
      </c>
      <c r="B77" s="2865" t="str">
        <f>估价对象房地状况!C20</f>
        <v>区域自然环境：；人文环境；综合评价环境状况一般</v>
      </c>
      <c r="C77" s="2762"/>
      <c r="D77" s="1284">
        <f t="shared" si="20"/>
        <v>0</v>
      </c>
      <c r="E77" s="824"/>
      <c r="F77" s="2493"/>
      <c r="G77" s="1282"/>
      <c r="H77" s="1286" t="str">
        <f t="shared" si="21"/>
        <v>——</v>
      </c>
      <c r="I77" s="818">
        <v>0.15</v>
      </c>
      <c r="J77" s="1283">
        <f t="shared" si="22"/>
        <v>0</v>
      </c>
      <c r="K77" s="1283">
        <f t="shared" si="23"/>
        <v>0</v>
      </c>
      <c r="L77" s="1283">
        <v>0</v>
      </c>
      <c r="M77" s="1283">
        <f t="shared" si="24"/>
        <v>0</v>
      </c>
      <c r="N77" s="1283">
        <f t="shared" si="24"/>
        <v>0</v>
      </c>
      <c r="Z77" s="2712"/>
      <c r="AA77" s="2780"/>
      <c r="AG77" s="1370"/>
      <c r="AK77" s="2780"/>
    </row>
    <row r="78" spans="1:37" ht="24.75" thickBot="1">
      <c r="A78" s="2870" t="s">
        <v>2964</v>
      </c>
      <c r="B78" s="2874"/>
      <c r="C78" s="2762"/>
      <c r="D78" s="1284">
        <f t="shared" si="20"/>
        <v>0</v>
      </c>
      <c r="E78" s="825"/>
      <c r="F78" s="2493"/>
      <c r="G78" s="1282"/>
      <c r="H78" s="1286" t="str">
        <f t="shared" si="21"/>
        <v>——</v>
      </c>
      <c r="I78" s="822">
        <v>0.04</v>
      </c>
      <c r="J78" s="1283">
        <f t="shared" si="22"/>
        <v>0</v>
      </c>
      <c r="K78" s="1283">
        <f t="shared" si="23"/>
        <v>0</v>
      </c>
      <c r="L78" s="1283">
        <v>0</v>
      </c>
      <c r="M78" s="1283">
        <f t="shared" si="24"/>
        <v>0</v>
      </c>
      <c r="N78" s="1283">
        <f t="shared" si="24"/>
        <v>0</v>
      </c>
      <c r="Z78" s="2712"/>
      <c r="AA78" s="2780"/>
      <c r="AG78" s="1370"/>
      <c r="AK78" s="2780"/>
    </row>
    <row r="79" spans="1:37" ht="15">
      <c r="A79" s="2858" t="s">
        <v>2965</v>
      </c>
      <c r="B79" s="2859">
        <f>1+E81</f>
        <v>1.077</v>
      </c>
      <c r="C79" s="812"/>
      <c r="D79" s="812"/>
      <c r="E79" s="813"/>
      <c r="F79" s="2861"/>
      <c r="G79" s="6"/>
      <c r="H79" s="6"/>
      <c r="I79" s="6"/>
      <c r="J79" s="7"/>
      <c r="K79" s="7"/>
      <c r="L79" s="7"/>
      <c r="M79" s="7"/>
      <c r="N79" s="7"/>
      <c r="Z79" s="2712"/>
      <c r="AA79" s="2780"/>
      <c r="AG79" s="1370"/>
      <c r="AK79" s="2780"/>
    </row>
    <row r="80" spans="1:37" ht="24.75">
      <c r="A80" s="2862" t="s">
        <v>2939</v>
      </c>
      <c r="B80" s="1799"/>
      <c r="C80" s="1799" t="s">
        <v>2941</v>
      </c>
      <c r="D80" s="1799" t="s">
        <v>2942</v>
      </c>
      <c r="E80" s="817" t="s">
        <v>2943</v>
      </c>
      <c r="F80" s="2863" t="s">
        <v>2959</v>
      </c>
      <c r="G80" s="1799" t="s">
        <v>754</v>
      </c>
      <c r="H80" s="2864" t="s">
        <v>2945</v>
      </c>
      <c r="I80" s="1799" t="s">
        <v>2946</v>
      </c>
      <c r="J80" s="602" t="s">
        <v>2596</v>
      </c>
      <c r="K80" s="602" t="s">
        <v>2597</v>
      </c>
      <c r="L80" s="602" t="s">
        <v>2598</v>
      </c>
      <c r="M80" s="602" t="s">
        <v>2599</v>
      </c>
      <c r="N80" s="602" t="s">
        <v>2600</v>
      </c>
      <c r="Z80" s="2712"/>
      <c r="AA80" s="2780"/>
      <c r="AG80" s="1370"/>
      <c r="AK80" s="2780"/>
    </row>
    <row r="81" spans="1:37" ht="38.25">
      <c r="A81" s="2862" t="s">
        <v>2966</v>
      </c>
      <c r="B81" s="2866" t="str">
        <f>估价对象房地状况!G15</f>
        <v>估价对象位于XX开发区，园区建设成熟度XX，产业集聚程度XX</v>
      </c>
      <c r="C81" s="2762" t="s">
        <v>3096</v>
      </c>
      <c r="D81" s="1284">
        <f t="shared" ref="D81:D88" si="25">SUMIF($J$80:$N$80,C81,J81:N81)</f>
        <v>1.95E-2</v>
      </c>
      <c r="E81" s="819">
        <f>ROUND(SUM(D81:D88),4)</f>
        <v>7.6999999999999999E-2</v>
      </c>
      <c r="F81" s="2493">
        <f>IF(E2="工业",SUMIF(L1:L12,G2,N1:N12),"——")</f>
        <v>0.15</v>
      </c>
      <c r="G81" s="1282">
        <f>H81</f>
        <v>1.95E-2</v>
      </c>
      <c r="H81" s="1286">
        <f t="shared" ref="H81:H88" si="26">IFERROR(ROUNDDOWN($F$81*I81/2,4),"——")</f>
        <v>1.95E-2</v>
      </c>
      <c r="I81" s="818">
        <v>0.26</v>
      </c>
      <c r="J81" s="1283">
        <f t="shared" ref="J81:J88" si="27">K81+$G81</f>
        <v>3.9E-2</v>
      </c>
      <c r="K81" s="1283">
        <f t="shared" ref="K81:K88" si="28">$L81+$G81</f>
        <v>1.95E-2</v>
      </c>
      <c r="L81" s="1283">
        <v>0</v>
      </c>
      <c r="M81" s="1283">
        <f t="shared" ref="M81:N88" si="29">L81-$G81</f>
        <v>-1.95E-2</v>
      </c>
      <c r="N81" s="1283">
        <f t="shared" si="29"/>
        <v>-3.9E-2</v>
      </c>
      <c r="Z81" s="2712"/>
      <c r="AA81" s="2780"/>
      <c r="AG81" s="1370"/>
      <c r="AK81" s="2780"/>
    </row>
    <row r="82" spans="1:37" ht="51">
      <c r="A82" s="2862" t="s">
        <v>2948</v>
      </c>
      <c r="B82" s="2866" t="str">
        <f>估价对象房地状况!G16</f>
        <v>估价对象周边道路状况、公共交通通达情况、停车便捷程度，综合评价交通便捷度较好</v>
      </c>
      <c r="C82" s="2762" t="s">
        <v>3096</v>
      </c>
      <c r="D82" s="1284">
        <f t="shared" si="25"/>
        <v>2.47E-2</v>
      </c>
      <c r="E82" s="824"/>
      <c r="F82" s="2493"/>
      <c r="G82" s="1282">
        <f t="shared" ref="G82:G88" si="30">H82</f>
        <v>2.47E-2</v>
      </c>
      <c r="H82" s="1286">
        <f t="shared" si="26"/>
        <v>2.47E-2</v>
      </c>
      <c r="I82" s="818">
        <v>0.33</v>
      </c>
      <c r="J82" s="1283">
        <f t="shared" si="27"/>
        <v>4.9399999999999999E-2</v>
      </c>
      <c r="K82" s="1283">
        <f t="shared" si="28"/>
        <v>2.47E-2</v>
      </c>
      <c r="L82" s="1283">
        <v>0</v>
      </c>
      <c r="M82" s="1283">
        <f t="shared" si="29"/>
        <v>-2.47E-2</v>
      </c>
      <c r="N82" s="1283">
        <f t="shared" si="29"/>
        <v>-4.9399999999999999E-2</v>
      </c>
      <c r="Z82" s="2712"/>
      <c r="AA82" s="2780"/>
      <c r="AG82" s="1370"/>
      <c r="AK82" s="2780"/>
    </row>
    <row r="83" spans="1:37" ht="24">
      <c r="A83" s="2862" t="s">
        <v>2949</v>
      </c>
      <c r="B83" s="2866">
        <f>估价对象房地状况!G17</f>
        <v>0</v>
      </c>
      <c r="C83" s="2762" t="s">
        <v>3096</v>
      </c>
      <c r="D83" s="1284">
        <f t="shared" si="25"/>
        <v>3.7000000000000002E-3</v>
      </c>
      <c r="E83" s="824"/>
      <c r="F83" s="2493"/>
      <c r="G83" s="1282">
        <f t="shared" si="30"/>
        <v>3.7000000000000002E-3</v>
      </c>
      <c r="H83" s="1286">
        <f t="shared" si="26"/>
        <v>3.7000000000000002E-3</v>
      </c>
      <c r="I83" s="818">
        <v>0.05</v>
      </c>
      <c r="J83" s="1283">
        <f t="shared" si="27"/>
        <v>7.4000000000000003E-3</v>
      </c>
      <c r="K83" s="1283">
        <f t="shared" si="28"/>
        <v>3.7000000000000002E-3</v>
      </c>
      <c r="L83" s="1283">
        <v>0</v>
      </c>
      <c r="M83" s="1283">
        <f t="shared" si="29"/>
        <v>-3.7000000000000002E-3</v>
      </c>
      <c r="N83" s="1283">
        <f t="shared" si="29"/>
        <v>-7.4000000000000003E-3</v>
      </c>
      <c r="Z83" s="2712"/>
      <c r="AA83" s="2780"/>
      <c r="AG83" s="1370"/>
      <c r="AK83" s="2780"/>
    </row>
    <row r="84" spans="1:37" ht="14.25">
      <c r="A84" s="2862" t="s">
        <v>2963</v>
      </c>
      <c r="B84" s="2866">
        <f>估价对象房地状况!G22</f>
        <v>0</v>
      </c>
      <c r="C84" s="2762" t="s">
        <v>3096</v>
      </c>
      <c r="D84" s="1284">
        <f t="shared" si="25"/>
        <v>3.0000000000000001E-3</v>
      </c>
      <c r="E84" s="824"/>
      <c r="F84" s="2493"/>
      <c r="G84" s="1282">
        <f t="shared" si="30"/>
        <v>3.0000000000000001E-3</v>
      </c>
      <c r="H84" s="1286">
        <f t="shared" si="26"/>
        <v>3.0000000000000001E-3</v>
      </c>
      <c r="I84" s="818">
        <v>0.04</v>
      </c>
      <c r="J84" s="1283">
        <f t="shared" si="27"/>
        <v>6.0000000000000001E-3</v>
      </c>
      <c r="K84" s="1283">
        <f t="shared" si="28"/>
        <v>3.0000000000000001E-3</v>
      </c>
      <c r="L84" s="1283">
        <v>0</v>
      </c>
      <c r="M84" s="1283">
        <f t="shared" si="29"/>
        <v>-3.0000000000000001E-3</v>
      </c>
      <c r="N84" s="1283">
        <f t="shared" si="29"/>
        <v>-6.0000000000000001E-3</v>
      </c>
      <c r="Z84" s="2712"/>
      <c r="AA84" s="2780"/>
      <c r="AG84" s="1370"/>
      <c r="AK84" s="2780"/>
    </row>
    <row r="85" spans="1:37" ht="25.5">
      <c r="A85" s="2862" t="s">
        <v>2955</v>
      </c>
      <c r="B85" s="1723" t="str">
        <f>估价对象房地状况!G19</f>
        <v>估价对象所在区域公共配套设施齐备情况</v>
      </c>
      <c r="C85" s="2762" t="s">
        <v>3098</v>
      </c>
      <c r="D85" s="1284">
        <f t="shared" si="25"/>
        <v>0</v>
      </c>
      <c r="E85" s="824"/>
      <c r="F85" s="2493"/>
      <c r="G85" s="1282">
        <f t="shared" si="30"/>
        <v>4.4999999999999997E-3</v>
      </c>
      <c r="H85" s="1286">
        <f t="shared" si="26"/>
        <v>4.4999999999999997E-3</v>
      </c>
      <c r="I85" s="818">
        <v>0.06</v>
      </c>
      <c r="J85" s="1283">
        <f t="shared" si="27"/>
        <v>8.9999999999999993E-3</v>
      </c>
      <c r="K85" s="1283">
        <f t="shared" si="28"/>
        <v>4.4999999999999997E-3</v>
      </c>
      <c r="L85" s="1283">
        <v>0</v>
      </c>
      <c r="M85" s="1283">
        <f t="shared" si="29"/>
        <v>-4.4999999999999997E-3</v>
      </c>
      <c r="N85" s="1283">
        <f t="shared" si="29"/>
        <v>-8.9999999999999993E-3</v>
      </c>
      <c r="Z85" s="2712"/>
      <c r="AA85" s="2780"/>
      <c r="AG85" s="1370"/>
      <c r="AK85" s="2780"/>
    </row>
    <row r="86" spans="1:37" ht="25.5">
      <c r="A86" s="2862" t="s">
        <v>2956</v>
      </c>
      <c r="B86" s="1723" t="str">
        <f>估价对象房地状况!G20</f>
        <v>估价对象所在区域基础设施水平</v>
      </c>
      <c r="C86" s="2762" t="s">
        <v>3097</v>
      </c>
      <c r="D86" s="1284">
        <f t="shared" si="25"/>
        <v>2.24E-2</v>
      </c>
      <c r="E86" s="824"/>
      <c r="F86" s="2493"/>
      <c r="G86" s="1282">
        <f t="shared" si="30"/>
        <v>1.12E-2</v>
      </c>
      <c r="H86" s="1286">
        <f t="shared" si="26"/>
        <v>1.12E-2</v>
      </c>
      <c r="I86" s="818">
        <v>0.15</v>
      </c>
      <c r="J86" s="1283">
        <f t="shared" si="27"/>
        <v>2.24E-2</v>
      </c>
      <c r="K86" s="1283">
        <f t="shared" si="28"/>
        <v>1.12E-2</v>
      </c>
      <c r="L86" s="1283">
        <v>0</v>
      </c>
      <c r="M86" s="1283">
        <f t="shared" si="29"/>
        <v>-1.12E-2</v>
      </c>
      <c r="N86" s="1283">
        <f t="shared" si="29"/>
        <v>-2.24E-2</v>
      </c>
      <c r="Z86" s="2712"/>
      <c r="AA86" s="2780"/>
      <c r="AG86" s="1370"/>
      <c r="AK86" s="2780"/>
    </row>
    <row r="87" spans="1:37" ht="24">
      <c r="A87" s="2862" t="s">
        <v>2953</v>
      </c>
      <c r="B87" s="2868" t="s">
        <v>2967</v>
      </c>
      <c r="C87" s="2762" t="s">
        <v>3096</v>
      </c>
      <c r="D87" s="1284">
        <f t="shared" si="25"/>
        <v>3.7000000000000002E-3</v>
      </c>
      <c r="E87" s="824"/>
      <c r="F87" s="2493"/>
      <c r="G87" s="1282">
        <f t="shared" si="30"/>
        <v>3.7000000000000002E-3</v>
      </c>
      <c r="H87" s="1286">
        <f t="shared" si="26"/>
        <v>3.7000000000000002E-3</v>
      </c>
      <c r="I87" s="818">
        <v>0.05</v>
      </c>
      <c r="J87" s="1283">
        <f t="shared" si="27"/>
        <v>7.4000000000000003E-3</v>
      </c>
      <c r="K87" s="1283">
        <f t="shared" si="28"/>
        <v>3.7000000000000002E-3</v>
      </c>
      <c r="L87" s="1283">
        <v>0</v>
      </c>
      <c r="M87" s="1283">
        <f t="shared" si="29"/>
        <v>-3.7000000000000002E-3</v>
      </c>
      <c r="N87" s="1283">
        <f t="shared" si="29"/>
        <v>-7.4000000000000003E-3</v>
      </c>
      <c r="Z87" s="2712"/>
      <c r="AA87" s="2780"/>
      <c r="AG87" s="1370"/>
      <c r="AK87" s="2780"/>
    </row>
    <row r="88" spans="1:37" ht="39" thickBot="1">
      <c r="A88" s="2870" t="s">
        <v>2968</v>
      </c>
      <c r="B88" s="2875" t="str">
        <f>估价对象房地状况!G18</f>
        <v>该园区内是否有污染型企业，绿化情况，卫生条件，整体环境状况判断</v>
      </c>
      <c r="C88" s="2762" t="s">
        <v>3098</v>
      </c>
      <c r="D88" s="1284">
        <f t="shared" si="25"/>
        <v>0</v>
      </c>
      <c r="E88" s="825"/>
      <c r="F88" s="2493"/>
      <c r="G88" s="1282">
        <f t="shared" si="30"/>
        <v>4.4999999999999997E-3</v>
      </c>
      <c r="H88" s="1286">
        <f t="shared" si="26"/>
        <v>4.4999999999999997E-3</v>
      </c>
      <c r="I88" s="822">
        <v>0.06</v>
      </c>
      <c r="J88" s="1283">
        <f t="shared" si="27"/>
        <v>8.9999999999999993E-3</v>
      </c>
      <c r="K88" s="1283">
        <f t="shared" si="28"/>
        <v>4.4999999999999997E-3</v>
      </c>
      <c r="L88" s="1283">
        <v>0</v>
      </c>
      <c r="M88" s="1283">
        <f t="shared" si="29"/>
        <v>-4.4999999999999997E-3</v>
      </c>
      <c r="N88" s="1283">
        <f t="shared" si="29"/>
        <v>-8.9999999999999993E-3</v>
      </c>
      <c r="Z88" s="2712"/>
      <c r="AA88" s="2780"/>
      <c r="AG88" s="1370"/>
      <c r="AK88" s="2780"/>
    </row>
    <row r="90" spans="1:37">
      <c r="A90" s="3267" t="s">
        <v>2969</v>
      </c>
      <c r="B90" s="3267"/>
      <c r="C90" s="3267"/>
      <c r="D90" s="3267"/>
      <c r="E90" s="3267"/>
      <c r="F90" s="3267"/>
      <c r="G90" s="3267"/>
      <c r="H90" s="3267"/>
      <c r="I90" s="3267"/>
      <c r="J90" s="3267"/>
      <c r="K90" s="2876"/>
      <c r="L90" s="2876"/>
      <c r="M90" s="2876"/>
      <c r="N90" s="2876"/>
    </row>
    <row r="91" spans="1:37">
      <c r="A91" s="3269" t="s">
        <v>2970</v>
      </c>
      <c r="B91" s="3269" t="s">
        <v>2971</v>
      </c>
      <c r="C91" s="2830" t="s">
        <v>2972</v>
      </c>
      <c r="D91" s="2831"/>
      <c r="E91" s="2831"/>
      <c r="F91" s="2831"/>
      <c r="G91" s="2831"/>
      <c r="H91" s="2831"/>
      <c r="I91" s="2831"/>
      <c r="J91" s="2877"/>
      <c r="K91" s="2878"/>
      <c r="L91" s="2878"/>
      <c r="M91" s="2878"/>
      <c r="N91" s="2878"/>
    </row>
    <row r="92" spans="1:37">
      <c r="A92" s="3269"/>
      <c r="B92" s="3269"/>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70"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1"/>
      <c r="B99" s="2879" t="s">
        <v>2855</v>
      </c>
      <c r="C99" s="2881">
        <f>$I$3</f>
        <v>1</v>
      </c>
      <c r="D99" s="2881">
        <f t="shared" ref="D99:M99" si="31">$I$3</f>
        <v>1</v>
      </c>
      <c r="E99" s="2881">
        <f t="shared" si="31"/>
        <v>1</v>
      </c>
      <c r="F99" s="2881">
        <f t="shared" si="31"/>
        <v>1</v>
      </c>
      <c r="G99" s="2881">
        <f t="shared" si="31"/>
        <v>1</v>
      </c>
      <c r="H99" s="2881">
        <f t="shared" si="31"/>
        <v>1</v>
      </c>
      <c r="I99" s="2881">
        <f t="shared" si="31"/>
        <v>1</v>
      </c>
      <c r="J99" s="2881">
        <f t="shared" si="31"/>
        <v>1</v>
      </c>
      <c r="K99" s="2881">
        <f t="shared" si="31"/>
        <v>1</v>
      </c>
      <c r="L99" s="2881">
        <f t="shared" si="31"/>
        <v>1</v>
      </c>
      <c r="M99" s="2881">
        <f t="shared" si="31"/>
        <v>1</v>
      </c>
      <c r="N99" s="2881">
        <f>$I$3</f>
        <v>1</v>
      </c>
    </row>
    <row r="100" spans="1:14">
      <c r="A100" s="3272"/>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270" t="s">
        <v>2974</v>
      </c>
      <c r="B101" s="2883" t="s">
        <v>2975</v>
      </c>
      <c r="C101" s="2884">
        <f>$G$3</f>
        <v>0.54</v>
      </c>
      <c r="D101" s="2884">
        <f t="shared" ref="D101:N101" si="32">$G$3</f>
        <v>0.54</v>
      </c>
      <c r="E101" s="2884">
        <f t="shared" si="32"/>
        <v>0.54</v>
      </c>
      <c r="F101" s="2884">
        <f t="shared" si="32"/>
        <v>0.54</v>
      </c>
      <c r="G101" s="2884">
        <f t="shared" si="32"/>
        <v>0.54</v>
      </c>
      <c r="H101" s="2884">
        <f t="shared" si="32"/>
        <v>0.54</v>
      </c>
      <c r="I101" s="2884">
        <f t="shared" si="32"/>
        <v>0.54</v>
      </c>
      <c r="J101" s="2884">
        <f t="shared" si="32"/>
        <v>0.54</v>
      </c>
      <c r="K101" s="2884">
        <f t="shared" si="32"/>
        <v>0.54</v>
      </c>
      <c r="L101" s="2884">
        <f t="shared" si="32"/>
        <v>0.54</v>
      </c>
      <c r="M101" s="2884">
        <f t="shared" si="32"/>
        <v>0.54</v>
      </c>
      <c r="N101" s="2884">
        <f t="shared" si="32"/>
        <v>0.54</v>
      </c>
    </row>
    <row r="102" spans="1:14">
      <c r="A102" s="3271"/>
      <c r="B102" s="2879">
        <v>1</v>
      </c>
      <c r="C102" s="2880">
        <f>1.9362/C101</f>
        <v>3.5855555555555552</v>
      </c>
      <c r="D102" s="2880">
        <f>1.9362/D101</f>
        <v>3.5855555555555552</v>
      </c>
      <c r="E102" s="2880">
        <f>1.8629/E101</f>
        <v>3.4498148148148147</v>
      </c>
      <c r="F102" s="2880">
        <f>1.8629/F101</f>
        <v>3.4498148148148147</v>
      </c>
      <c r="G102" s="2880">
        <f>1.8629/G101</f>
        <v>3.4498148148148147</v>
      </c>
      <c r="H102" s="2880">
        <f>1.8629/H101</f>
        <v>3.4498148148148147</v>
      </c>
      <c r="I102" s="2880">
        <f>1.8629/I101</f>
        <v>3.4498148148148147</v>
      </c>
      <c r="J102" s="2880">
        <f>1.942/J101</f>
        <v>3.5962962962962961</v>
      </c>
      <c r="K102" s="2880">
        <f>1.942/K101</f>
        <v>3.5962962962962961</v>
      </c>
      <c r="L102" s="2880">
        <f>1.942/L101</f>
        <v>3.5962962962962961</v>
      </c>
      <c r="M102" s="2880">
        <f>1.942/M101</f>
        <v>3.5962962962962961</v>
      </c>
      <c r="N102" s="2880">
        <f>1.942/N101</f>
        <v>3.5962962962962961</v>
      </c>
    </row>
    <row r="103" spans="1:14">
      <c r="A103" s="3271"/>
      <c r="B103" s="2879">
        <v>2</v>
      </c>
      <c r="C103" s="2880">
        <f>1.4198/C101</f>
        <v>2.6292592592592592</v>
      </c>
      <c r="D103" s="2880">
        <f>1.4198/D101</f>
        <v>2.6292592592592592</v>
      </c>
      <c r="E103" s="2880">
        <f>1.3372/E101</f>
        <v>2.476296296296296</v>
      </c>
      <c r="F103" s="2880">
        <f>1.3372/F101</f>
        <v>2.476296296296296</v>
      </c>
      <c r="G103" s="2880">
        <f>1.3372/G101</f>
        <v>2.476296296296296</v>
      </c>
      <c r="H103" s="2880">
        <f>1.3372/H101</f>
        <v>2.476296296296296</v>
      </c>
      <c r="I103" s="2880">
        <f>1.3372/I101</f>
        <v>2.476296296296296</v>
      </c>
      <c r="J103" s="2880">
        <f>1.2799/J101</f>
        <v>2.3701851851851852</v>
      </c>
      <c r="K103" s="2880">
        <f>1.2799/K101</f>
        <v>2.3701851851851852</v>
      </c>
      <c r="L103" s="2880">
        <f>1.2799/L101</f>
        <v>2.3701851851851852</v>
      </c>
      <c r="M103" s="2880">
        <f>1.2799/M101</f>
        <v>2.3701851851851852</v>
      </c>
      <c r="N103" s="2880">
        <f>1.2799/N101</f>
        <v>2.3701851851851852</v>
      </c>
    </row>
    <row r="104" spans="1:14">
      <c r="A104" s="3271"/>
      <c r="B104" s="2879">
        <v>3</v>
      </c>
      <c r="C104" s="2880">
        <f>1.1594/C101</f>
        <v>2.1470370370370371</v>
      </c>
      <c r="D104" s="2880">
        <f>1.1594/D101</f>
        <v>2.1470370370370371</v>
      </c>
      <c r="E104" s="2880">
        <f>1.0788/E101</f>
        <v>1.9977777777777777</v>
      </c>
      <c r="F104" s="2880">
        <f>1.0788/F101</f>
        <v>1.9977777777777777</v>
      </c>
      <c r="G104" s="2880">
        <f>1.0788/G101</f>
        <v>1.9977777777777777</v>
      </c>
      <c r="H104" s="2880">
        <f>1.0788/H101</f>
        <v>1.9977777777777777</v>
      </c>
      <c r="I104" s="2880">
        <f>1.0788/I101</f>
        <v>1.9977777777777777</v>
      </c>
      <c r="J104" s="2880">
        <f>1.0072/J101</f>
        <v>1.8651851851851853</v>
      </c>
      <c r="K104" s="2880">
        <f>1.0072/K101</f>
        <v>1.8651851851851853</v>
      </c>
      <c r="L104" s="2880">
        <f>1.0072/L101</f>
        <v>1.8651851851851853</v>
      </c>
      <c r="M104" s="2880">
        <f>1.0072/M101</f>
        <v>1.8651851851851853</v>
      </c>
      <c r="N104" s="2880">
        <f>1.0072/N101</f>
        <v>1.8651851851851853</v>
      </c>
    </row>
    <row r="105" spans="1:14">
      <c r="A105" s="3271"/>
      <c r="B105" s="2879">
        <v>4</v>
      </c>
      <c r="C105" s="2880">
        <f>0.9622/C101</f>
        <v>1.7818518518518518</v>
      </c>
      <c r="D105" s="2880">
        <f>0.9622/D101</f>
        <v>1.7818518518518518</v>
      </c>
      <c r="E105" s="2880">
        <f>0.8656/E101</f>
        <v>1.6029629629629629</v>
      </c>
      <c r="F105" s="2880">
        <f>0.8656/F101</f>
        <v>1.6029629629629629</v>
      </c>
      <c r="G105" s="2880">
        <f>0.8656/G101</f>
        <v>1.6029629629629629</v>
      </c>
      <c r="H105" s="2880">
        <f>0.8656/H101</f>
        <v>1.6029629629629629</v>
      </c>
      <c r="I105" s="2880">
        <f>0.8656/I101</f>
        <v>1.6029629629629629</v>
      </c>
      <c r="J105" s="2880">
        <f>0.7525/J101</f>
        <v>1.3935185185185184</v>
      </c>
      <c r="K105" s="2880">
        <f>0.7525/K101</f>
        <v>1.3935185185185184</v>
      </c>
      <c r="L105" s="2880">
        <f>0.7525/L101</f>
        <v>1.3935185185185184</v>
      </c>
      <c r="M105" s="2880">
        <f>0.7525/M101</f>
        <v>1.3935185185185184</v>
      </c>
      <c r="N105" s="2880">
        <f>0.7525/N101</f>
        <v>1.3935185185185184</v>
      </c>
    </row>
    <row r="106" spans="1:14">
      <c r="A106" s="3271"/>
      <c r="B106" s="2879">
        <v>5</v>
      </c>
      <c r="C106" s="2880">
        <f>0.8417/C101</f>
        <v>1.5587037037037037</v>
      </c>
      <c r="D106" s="2880">
        <f>0.8417/D101</f>
        <v>1.5587037037037037</v>
      </c>
      <c r="E106" s="2880">
        <f>0.7371/E101</f>
        <v>1.3649999999999998</v>
      </c>
      <c r="F106" s="2880">
        <f>0.7371/F101</f>
        <v>1.3649999999999998</v>
      </c>
      <c r="G106" s="2880">
        <f>0.7371/G101</f>
        <v>1.3649999999999998</v>
      </c>
      <c r="H106" s="2880">
        <f>0.7371/H101</f>
        <v>1.3649999999999998</v>
      </c>
      <c r="I106" s="2880">
        <f>0.7371/I101</f>
        <v>1.3649999999999998</v>
      </c>
      <c r="J106" s="2880">
        <f>0.5659/J101</f>
        <v>1.0479629629629628</v>
      </c>
      <c r="K106" s="2880">
        <f>0.5659/K101</f>
        <v>1.0479629629629628</v>
      </c>
      <c r="L106" s="2880">
        <f>0.5659/L101</f>
        <v>1.0479629629629628</v>
      </c>
      <c r="M106" s="2880">
        <f>0.5659/M101</f>
        <v>1.0479629629629628</v>
      </c>
      <c r="N106" s="2880">
        <f>0.5659/N101</f>
        <v>1.0479629629629628</v>
      </c>
    </row>
    <row r="107" spans="1:14">
      <c r="A107" s="3271"/>
      <c r="B107" s="2879">
        <v>6</v>
      </c>
      <c r="C107" s="2880">
        <f>0.7608/C101</f>
        <v>1.4088888888888889</v>
      </c>
      <c r="D107" s="2880">
        <f>0.7608/D101</f>
        <v>1.4088888888888889</v>
      </c>
      <c r="E107" s="2880">
        <f>0.6482/E101</f>
        <v>1.2003703703703703</v>
      </c>
      <c r="F107" s="2880">
        <f>0.6482/F101</f>
        <v>1.2003703703703703</v>
      </c>
      <c r="G107" s="2880">
        <f>0.6482/G101</f>
        <v>1.2003703703703703</v>
      </c>
      <c r="H107" s="2880">
        <f>0.6482/H101</f>
        <v>1.2003703703703703</v>
      </c>
      <c r="I107" s="2880">
        <f>0.6482/I101</f>
        <v>1.2003703703703703</v>
      </c>
      <c r="J107" s="2880">
        <f>0.4525/J101</f>
        <v>0.83796296296296291</v>
      </c>
      <c r="K107" s="2880">
        <f>0.4525/K101</f>
        <v>0.83796296296296291</v>
      </c>
      <c r="L107" s="2880">
        <f>0.4525/L101</f>
        <v>0.83796296296296291</v>
      </c>
      <c r="M107" s="2880">
        <f>0.4525/M101</f>
        <v>0.83796296296296291</v>
      </c>
      <c r="N107" s="2880">
        <f>0.4525/N101</f>
        <v>0.83796296296296291</v>
      </c>
    </row>
    <row r="108" spans="1:14">
      <c r="A108" s="3271"/>
      <c r="B108" s="3126" t="s">
        <v>2976</v>
      </c>
      <c r="C108" s="2881">
        <f>C99</f>
        <v>1</v>
      </c>
      <c r="D108" s="2881">
        <f t="shared" ref="D108:N108" si="33">D99</f>
        <v>1</v>
      </c>
      <c r="E108" s="2881">
        <f t="shared" si="33"/>
        <v>1</v>
      </c>
      <c r="F108" s="2881">
        <f t="shared" si="33"/>
        <v>1</v>
      </c>
      <c r="G108" s="2881">
        <f t="shared" si="33"/>
        <v>1</v>
      </c>
      <c r="H108" s="2881">
        <f t="shared" si="33"/>
        <v>1</v>
      </c>
      <c r="I108" s="2881">
        <f t="shared" si="33"/>
        <v>1</v>
      </c>
      <c r="J108" s="2881">
        <f t="shared" si="33"/>
        <v>1</v>
      </c>
      <c r="K108" s="2881">
        <f t="shared" si="33"/>
        <v>1</v>
      </c>
      <c r="L108" s="2881">
        <f t="shared" si="33"/>
        <v>1</v>
      </c>
      <c r="M108" s="2881">
        <f t="shared" si="33"/>
        <v>1</v>
      </c>
      <c r="N108" s="2881">
        <f t="shared" si="33"/>
        <v>1</v>
      </c>
    </row>
    <row r="109" spans="1:14">
      <c r="A109" s="3272"/>
      <c r="B109" s="3127"/>
      <c r="C109" s="2882">
        <f>(-0.163*(C108^2)-0.59*C108+7617)*(10^(-4))/C101</f>
        <v>1.4104161111111111</v>
      </c>
      <c r="D109" s="2882">
        <f>(-0.163*(D108^2)-0.59*D108+7617)*(10^(-4))/D101</f>
        <v>1.4104161111111111</v>
      </c>
      <c r="E109" s="2882">
        <f>(-0.161*(E108^2)-7.509*E108+6533)*(10^(-4))/E101</f>
        <v>1.2083944444444443</v>
      </c>
      <c r="F109" s="2882">
        <f>(-0.161*(F108^2)-7.509*F108+6533)*(10^(-4))/F101</f>
        <v>1.2083944444444443</v>
      </c>
      <c r="G109" s="2882">
        <f>(-0.161*(G108^2)-7.509*G108+6533)*(10^(-4))/G101</f>
        <v>1.2083944444444443</v>
      </c>
      <c r="H109" s="2882">
        <f>(-0.161*(H108^2)-7.509*H108+6533)*(10^(-4))/H101</f>
        <v>1.2083944444444443</v>
      </c>
      <c r="I109" s="2882">
        <f>(-0.161*(I108^2)-7.509*I108+6533)*(10^(-4))/I101</f>
        <v>1.2083944444444443</v>
      </c>
      <c r="J109" s="2882">
        <f>(-0.214*(J108^2)-21.991*J108+4665)*(10^(-4))/J101</f>
        <v>0.85977685185185182</v>
      </c>
      <c r="K109" s="2882">
        <f>(-0.214*(K108^2)-21.991*K108+4665)*(10^(-4))/K101</f>
        <v>0.85977685185185182</v>
      </c>
      <c r="L109" s="2882">
        <f>(-0.214*(L108^2)-21.991*L108+4665)*(10^(-4))/L101</f>
        <v>0.85977685185185182</v>
      </c>
      <c r="M109" s="2882">
        <f>(-0.214*(M108^2)-21.991*M108+4665)*(10^(-4))/M101</f>
        <v>0.85977685185185182</v>
      </c>
      <c r="N109" s="2882">
        <f>(-0.214*(N108^2)-21.991*N108+4665)*(10^(-4))/N101</f>
        <v>0.85977685185185182</v>
      </c>
    </row>
    <row r="110" spans="1:14">
      <c r="A110" s="3268" t="s">
        <v>2977</v>
      </c>
      <c r="B110" s="3268"/>
      <c r="C110" s="3268"/>
      <c r="D110" s="3268"/>
      <c r="E110" s="3268"/>
      <c r="F110" s="3268"/>
      <c r="G110" s="3268"/>
      <c r="H110" s="3268"/>
      <c r="I110" s="3268"/>
      <c r="J110" s="3268"/>
      <c r="K110" s="2885"/>
      <c r="L110" s="2885"/>
      <c r="M110" s="2885"/>
      <c r="N110" s="2885"/>
    </row>
    <row r="112" spans="1:14" ht="13.5" thickBot="1"/>
    <row r="113" spans="1:13" ht="25.5" thickBot="1">
      <c r="A113" s="901" t="s">
        <v>2978</v>
      </c>
      <c r="B113" s="1285">
        <f>G3</f>
        <v>0.54</v>
      </c>
      <c r="C113" s="902" t="s">
        <v>2979</v>
      </c>
      <c r="D113" s="903">
        <f>SUMPRODUCT((A115:A118=F113)*(B114:M114=H113)*B115:M118)</f>
        <v>0.55940000000000001</v>
      </c>
      <c r="E113" s="2716" t="s">
        <v>2812</v>
      </c>
      <c r="F113" s="2887" t="str">
        <f>E2</f>
        <v>工业</v>
      </c>
      <c r="G113" s="2716" t="s">
        <v>2813</v>
      </c>
      <c r="H113" s="2887" t="str">
        <f>G2</f>
        <v>八级</v>
      </c>
      <c r="I113" s="2716"/>
      <c r="J113" s="2888"/>
      <c r="K113" s="2888"/>
      <c r="L113" s="2888"/>
      <c r="M113" s="2888"/>
    </row>
    <row r="114" spans="1:13">
      <c r="A114" s="906"/>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7" t="s">
        <v>2877</v>
      </c>
      <c r="B115" s="908">
        <f>ROUND(0.9335-0.0094*B113,4)</f>
        <v>0.9284</v>
      </c>
      <c r="C115" s="908">
        <f>B115</f>
        <v>0.9284</v>
      </c>
      <c r="D115" s="908">
        <f>ROUND(0.8331-0.0109*B113,4)</f>
        <v>0.82720000000000005</v>
      </c>
      <c r="E115" s="908">
        <f>D115</f>
        <v>0.82720000000000005</v>
      </c>
      <c r="F115" s="908">
        <f>E115</f>
        <v>0.82720000000000005</v>
      </c>
      <c r="G115" s="908">
        <f>F115</f>
        <v>0.82720000000000005</v>
      </c>
      <c r="H115" s="908">
        <f>G115</f>
        <v>0.82720000000000005</v>
      </c>
      <c r="I115" s="908">
        <f>ROUND(0.689-0.0155*B113,4)</f>
        <v>0.68059999999999998</v>
      </c>
      <c r="J115" s="908">
        <f t="shared" ref="J115:M118" si="34">I115</f>
        <v>0.68059999999999998</v>
      </c>
      <c r="K115" s="908">
        <f t="shared" si="34"/>
        <v>0.68059999999999998</v>
      </c>
      <c r="L115" s="908">
        <f t="shared" si="34"/>
        <v>0.68059999999999998</v>
      </c>
      <c r="M115" s="909">
        <f t="shared" si="34"/>
        <v>0.68059999999999998</v>
      </c>
    </row>
    <row r="116" spans="1:13">
      <c r="A116" s="907" t="s">
        <v>2878</v>
      </c>
      <c r="B116" s="908">
        <f>ROUND(0.949-0.012*B113,4)</f>
        <v>0.9425</v>
      </c>
      <c r="C116" s="908">
        <f>B116</f>
        <v>0.9425</v>
      </c>
      <c r="D116" s="908">
        <f>ROUND(0.8567-0.013*B113,4)</f>
        <v>0.84970000000000001</v>
      </c>
      <c r="E116" s="908">
        <f t="shared" ref="E116:H117" si="35">D116</f>
        <v>0.84970000000000001</v>
      </c>
      <c r="F116" s="908">
        <f t="shared" si="35"/>
        <v>0.84970000000000001</v>
      </c>
      <c r="G116" s="908">
        <f t="shared" si="35"/>
        <v>0.84970000000000001</v>
      </c>
      <c r="H116" s="908">
        <f t="shared" si="35"/>
        <v>0.84970000000000001</v>
      </c>
      <c r="I116" s="908">
        <f>ROUND(0.7694-0.014*B113,4)</f>
        <v>0.76180000000000003</v>
      </c>
      <c r="J116" s="908">
        <f t="shared" si="34"/>
        <v>0.76180000000000003</v>
      </c>
      <c r="K116" s="908">
        <f t="shared" si="34"/>
        <v>0.76180000000000003</v>
      </c>
      <c r="L116" s="908">
        <f t="shared" si="34"/>
        <v>0.76180000000000003</v>
      </c>
      <c r="M116" s="909">
        <f t="shared" si="34"/>
        <v>0.76180000000000003</v>
      </c>
    </row>
    <row r="117" spans="1:13">
      <c r="A117" s="907" t="s">
        <v>2879</v>
      </c>
      <c r="B117" s="908">
        <f>ROUND(0.8808-0.006*B113,4)</f>
        <v>0.87760000000000005</v>
      </c>
      <c r="C117" s="908">
        <f>B117</f>
        <v>0.87760000000000005</v>
      </c>
      <c r="D117" s="908">
        <f>ROUND(0.8748-0.008*B113,4)</f>
        <v>0.87050000000000005</v>
      </c>
      <c r="E117" s="908">
        <f t="shared" si="35"/>
        <v>0.87050000000000005</v>
      </c>
      <c r="F117" s="908">
        <f t="shared" si="35"/>
        <v>0.87050000000000005</v>
      </c>
      <c r="G117" s="908">
        <f t="shared" si="35"/>
        <v>0.87050000000000005</v>
      </c>
      <c r="H117" s="908">
        <f t="shared" si="35"/>
        <v>0.87050000000000005</v>
      </c>
      <c r="I117" s="908">
        <f>ROUND(0.7412-0.0095*B113,4)</f>
        <v>0.73609999999999998</v>
      </c>
      <c r="J117" s="908">
        <f t="shared" si="34"/>
        <v>0.73609999999999998</v>
      </c>
      <c r="K117" s="908">
        <f t="shared" si="34"/>
        <v>0.73609999999999998</v>
      </c>
      <c r="L117" s="908">
        <f t="shared" si="34"/>
        <v>0.73609999999999998</v>
      </c>
      <c r="M117" s="909">
        <f t="shared" si="34"/>
        <v>0.73609999999999998</v>
      </c>
    </row>
    <row r="118" spans="1:13" ht="13.5" thickBot="1">
      <c r="A118" s="713" t="s">
        <v>2880</v>
      </c>
      <c r="B118" s="910">
        <f>ROUND(0.7275-0.01*B113,4)</f>
        <v>0.72209999999999996</v>
      </c>
      <c r="C118" s="910">
        <f>B118</f>
        <v>0.72209999999999996</v>
      </c>
      <c r="D118" s="910">
        <f>ROUND(0.7043-0.012*B113,4)</f>
        <v>0.69779999999999998</v>
      </c>
      <c r="E118" s="910">
        <f>D118</f>
        <v>0.69779999999999998</v>
      </c>
      <c r="F118" s="910">
        <f>E118</f>
        <v>0.69779999999999998</v>
      </c>
      <c r="G118" s="910">
        <f>ROUND(0.6299-0.0122*B113,4)</f>
        <v>0.62329999999999997</v>
      </c>
      <c r="H118" s="910">
        <f>G118</f>
        <v>0.62329999999999997</v>
      </c>
      <c r="I118" s="910">
        <f>ROUND(0.5667-0.0136*B113,4)</f>
        <v>0.55940000000000001</v>
      </c>
      <c r="J118" s="910">
        <f t="shared" si="34"/>
        <v>0.55940000000000001</v>
      </c>
      <c r="K118" s="910">
        <f t="shared" si="34"/>
        <v>0.55940000000000001</v>
      </c>
      <c r="L118" s="910">
        <f t="shared" si="34"/>
        <v>0.55940000000000001</v>
      </c>
      <c r="M118" s="911">
        <f t="shared" si="34"/>
        <v>0.55940000000000001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2326</v>
      </c>
      <c r="B2" s="670" t="e">
        <f ca="1">F61</f>
        <v>#N/A</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 ca="1">ROUND(IF(D3="",B2*10000/'数据-汇总表'!E3,B2*10000/D3),0)</f>
        <v>#N/A</v>
      </c>
      <c r="C3" s="246" t="s">
        <v>2745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01" t="s">
        <v>2647</v>
      </c>
      <c r="AC4" s="3200" t="s">
        <v>2648</v>
      </c>
    </row>
    <row r="5" spans="1:29" ht="15">
      <c r="A5" s="403"/>
      <c r="B5" s="404"/>
      <c r="C5" s="3222" t="s">
        <v>2541</v>
      </c>
      <c r="D5" s="3223"/>
      <c r="E5" s="3229" t="s">
        <v>2542</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01"/>
      <c r="AC5" s="3201"/>
    </row>
    <row r="6" spans="1:29" ht="15.75" thickBot="1">
      <c r="A6" s="405"/>
      <c r="B6" s="406"/>
      <c r="C6" s="3251" t="s">
        <v>2796</v>
      </c>
      <c r="D6" s="3252"/>
      <c r="E6" s="3253" t="s">
        <v>2796</v>
      </c>
      <c r="F6" s="3254"/>
      <c r="G6" s="3251" t="s">
        <v>2796</v>
      </c>
      <c r="H6" s="3252"/>
      <c r="I6" s="3251" t="s">
        <v>2796</v>
      </c>
      <c r="J6" s="3252"/>
      <c r="K6" s="609" t="s">
        <v>2546</v>
      </c>
      <c r="L6" s="1128"/>
      <c r="M6" s="1129"/>
      <c r="N6" s="1129"/>
      <c r="O6" s="1129"/>
      <c r="P6" s="3211"/>
      <c r="Q6" s="3212"/>
      <c r="R6" s="3215"/>
      <c r="S6" s="3216"/>
      <c r="T6" s="3217"/>
      <c r="U6" s="3218"/>
      <c r="V6" s="3219"/>
      <c r="W6" s="3219"/>
      <c r="X6" s="1803"/>
      <c r="Y6" s="3217"/>
      <c r="Z6" s="3218"/>
      <c r="AA6" s="3202"/>
      <c r="AB6" s="3202"/>
      <c r="AC6" s="3202"/>
    </row>
    <row r="7" spans="1:29" s="117" customFormat="1" ht="15.75" thickBot="1">
      <c r="A7" s="407" t="s">
        <v>2547</v>
      </c>
      <c r="B7" s="408"/>
      <c r="C7" s="409">
        <f>'数据-取费表'!B2</f>
        <v>44005</v>
      </c>
      <c r="D7" s="410">
        <v>100</v>
      </c>
      <c r="E7" s="411">
        <f>C7</f>
        <v>44005</v>
      </c>
      <c r="F7" s="412">
        <f>SUMIF(65:65,YEAR(E7)&amp;"-"&amp;INT((MONTH(E7)+2)/3),66:66)</f>
        <v>100</v>
      </c>
      <c r="G7" s="2688">
        <f>C7</f>
        <v>44005</v>
      </c>
      <c r="H7" s="410">
        <f>SUMIF(65:65,YEAR(G7)&amp;"-"&amp;INT((MONTH(G7)+2)/3),66:66)</f>
        <v>100</v>
      </c>
      <c r="I7" s="2688">
        <f>C7</f>
        <v>44005</v>
      </c>
      <c r="J7" s="410">
        <f>SUMIF(65:65,YEAR(I7)&amp;"-"&amp;INT((MONTH(I7)+2)/3),66:66)</f>
        <v>100</v>
      </c>
      <c r="K7" s="610"/>
      <c r="L7" s="1130"/>
      <c r="M7" s="1131"/>
      <c r="N7" s="1131"/>
      <c r="O7" s="1131"/>
      <c r="P7" s="3224" t="s">
        <v>2548</v>
      </c>
      <c r="Q7" s="3226"/>
      <c r="R7" s="768" t="s">
        <v>17</v>
      </c>
      <c r="S7" s="769">
        <f t="shared" ref="S7:S15" si="0">F7</f>
        <v>100</v>
      </c>
      <c r="T7" s="768" t="s">
        <v>17</v>
      </c>
      <c r="U7" s="769">
        <f t="shared" ref="U7:U15" si="1">H7</f>
        <v>100</v>
      </c>
      <c r="V7" s="768" t="s">
        <v>17</v>
      </c>
      <c r="W7" s="769">
        <f t="shared" ref="W7:W15" si="2">J7</f>
        <v>100</v>
      </c>
      <c r="X7" s="770"/>
      <c r="Y7" s="3224" t="s">
        <v>2548</v>
      </c>
      <c r="Z7" s="3225"/>
      <c r="AA7" s="771">
        <f>D7/F7</f>
        <v>1</v>
      </c>
      <c r="AB7" s="771">
        <f>D7/H7</f>
        <v>1</v>
      </c>
      <c r="AC7" s="771">
        <f>D7/J7</f>
        <v>1</v>
      </c>
    </row>
    <row r="8" spans="1:29" s="117" customFormat="1" ht="15.75" thickBot="1">
      <c r="A8" s="407" t="s">
        <v>2549</v>
      </c>
      <c r="B8" s="408"/>
      <c r="C8" s="413" t="s">
        <v>2550</v>
      </c>
      <c r="D8" s="410">
        <v>100</v>
      </c>
      <c r="E8" s="413" t="s">
        <v>3140</v>
      </c>
      <c r="F8" s="412">
        <f>SUMIF(68:68,E8,69:69)-SUMIF(68:68,C8,69:69)+100</f>
        <v>100</v>
      </c>
      <c r="G8" s="413" t="s">
        <v>3140</v>
      </c>
      <c r="H8" s="410">
        <f>SUMIF(68:68,G8,69:69)-SUMIF(68:68,C8,69:69)+100</f>
        <v>100</v>
      </c>
      <c r="I8" s="413" t="s">
        <v>3140</v>
      </c>
      <c r="J8" s="410">
        <f>SUMIF(68:68,I8,69:69)-SUMIF(68:68,C8,69:69)+100</f>
        <v>100</v>
      </c>
      <c r="K8" s="610"/>
      <c r="L8" s="1130"/>
      <c r="M8" s="1131"/>
      <c r="N8" s="1131"/>
      <c r="O8" s="1131"/>
      <c r="P8" s="3224" t="s">
        <v>2551</v>
      </c>
      <c r="Q8" s="3225"/>
      <c r="R8" s="768" t="s">
        <v>17</v>
      </c>
      <c r="S8" s="769">
        <f t="shared" si="0"/>
        <v>100</v>
      </c>
      <c r="T8" s="768" t="s">
        <v>17</v>
      </c>
      <c r="U8" s="769">
        <f t="shared" si="1"/>
        <v>100</v>
      </c>
      <c r="V8" s="768" t="s">
        <v>17</v>
      </c>
      <c r="W8" s="769">
        <f t="shared" si="2"/>
        <v>100</v>
      </c>
      <c r="X8" s="770"/>
      <c r="Y8" s="3224" t="s">
        <v>2551</v>
      </c>
      <c r="Z8" s="3225"/>
      <c r="AA8" s="771">
        <f t="shared" ref="AA8:AA40" si="3">D8/F8</f>
        <v>1</v>
      </c>
      <c r="AB8" s="771">
        <f t="shared" ref="AB8:AB40" si="4">D8/H8</f>
        <v>1</v>
      </c>
      <c r="AC8" s="771">
        <f t="shared" ref="AC8:AC40" si="5">D8/J8</f>
        <v>1</v>
      </c>
    </row>
    <row r="9" spans="1:29" s="117" customFormat="1">
      <c r="A9" s="414" t="s">
        <v>2552</v>
      </c>
      <c r="B9" s="71" t="s">
        <v>2553</v>
      </c>
      <c r="C9" s="2691"/>
      <c r="D9" s="134">
        <v>100</v>
      </c>
      <c r="E9" s="2691"/>
      <c r="F9" s="134">
        <f>SUMIF(70:70,E9,71:71)-SUMIF(70:70,C9,71:71)+100</f>
        <v>100</v>
      </c>
      <c r="G9" s="2691"/>
      <c r="H9" s="134">
        <f>SUMIF(70:70,G9,71:71)-SUMIF(70:70,C9,71:71)+100</f>
        <v>100</v>
      </c>
      <c r="I9" s="2691"/>
      <c r="J9" s="134">
        <f>SUMIF(70:70,I9,71:71)-SUMIF(70:70,C9,71:71)+100</f>
        <v>100</v>
      </c>
      <c r="K9" s="610"/>
      <c r="L9" s="1130"/>
      <c r="M9" s="1131"/>
      <c r="N9" s="1131"/>
      <c r="O9" s="1132"/>
      <c r="P9" s="3188"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771">
        <f t="shared" si="5"/>
        <v>1</v>
      </c>
    </row>
    <row r="10" spans="1:29" s="426" customFormat="1" ht="27">
      <c r="A10" s="420"/>
      <c r="B10" s="421" t="s">
        <v>2556</v>
      </c>
      <c r="C10" s="431"/>
      <c r="D10" s="135">
        <v>100</v>
      </c>
      <c r="E10" s="431"/>
      <c r="F10" s="135">
        <f ca="1">ROUND(100/'数据-取费表'!G16,0)</f>
        <v>115</v>
      </c>
      <c r="G10" s="431"/>
      <c r="H10" s="135">
        <f ca="1">ROUND(100/'数据-取费表'!G16,0)</f>
        <v>115</v>
      </c>
      <c r="I10" s="431"/>
      <c r="J10" s="135">
        <f ca="1">ROUND(100/'数据-取费表'!G16,0)</f>
        <v>115</v>
      </c>
      <c r="K10" s="671"/>
      <c r="L10" s="1133"/>
      <c r="M10" s="1134"/>
      <c r="N10" s="1134"/>
      <c r="O10" s="1135"/>
      <c r="P10" s="3188"/>
      <c r="Q10" s="1785" t="str">
        <f t="shared" si="6"/>
        <v>土地使用年限（年）</v>
      </c>
      <c r="R10" s="768" t="s">
        <v>17</v>
      </c>
      <c r="S10" s="769">
        <f t="shared" ca="1" si="0"/>
        <v>115</v>
      </c>
      <c r="T10" s="768" t="s">
        <v>17</v>
      </c>
      <c r="U10" s="769">
        <f t="shared" ca="1" si="1"/>
        <v>115</v>
      </c>
      <c r="V10" s="768" t="s">
        <v>17</v>
      </c>
      <c r="W10" s="769">
        <f t="shared" ca="1" si="2"/>
        <v>115</v>
      </c>
      <c r="X10" s="770"/>
      <c r="Y10" s="3011"/>
      <c r="Z10" s="55" t="str">
        <f t="shared" si="7"/>
        <v>土地使用年限（年）</v>
      </c>
      <c r="AA10" s="771">
        <f t="shared" ca="1" si="3"/>
        <v>0.86956521739130432</v>
      </c>
      <c r="AB10" s="771">
        <f t="shared" ca="1" si="4"/>
        <v>0.86956521739130432</v>
      </c>
      <c r="AC10" s="771">
        <f t="shared" ca="1" si="5"/>
        <v>0.86956521739130432</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8"/>
      <c r="Q11" s="1785"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29" s="117"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8"/>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8"/>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8"/>
      <c r="Q14" s="1785">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771">
        <f t="shared" si="5"/>
        <v>1</v>
      </c>
    </row>
    <row r="15" spans="1:29" ht="57">
      <c r="A15" s="439" t="s">
        <v>2558</v>
      </c>
      <c r="B15" s="628" t="s">
        <v>2797</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90" t="s">
        <v>2559</v>
      </c>
      <c r="Q15" s="1800" t="str">
        <f t="shared" si="6"/>
        <v>产业集聚程度</v>
      </c>
      <c r="R15" s="772" t="s">
        <v>17</v>
      </c>
      <c r="S15" s="773">
        <f t="shared" si="0"/>
        <v>100</v>
      </c>
      <c r="T15" s="772" t="s">
        <v>17</v>
      </c>
      <c r="U15" s="773">
        <f t="shared" si="1"/>
        <v>100</v>
      </c>
      <c r="V15" s="772" t="s">
        <v>17</v>
      </c>
      <c r="W15" s="773">
        <f t="shared" si="2"/>
        <v>100</v>
      </c>
      <c r="X15" s="1803"/>
      <c r="Y15" s="3190" t="s">
        <v>2559</v>
      </c>
      <c r="Z15" s="1804" t="str">
        <f t="shared" si="7"/>
        <v>产业集聚程度</v>
      </c>
      <c r="AA15" s="1801">
        <f t="shared" si="3"/>
        <v>1</v>
      </c>
      <c r="AB15" s="1801">
        <f t="shared" si="4"/>
        <v>1</v>
      </c>
      <c r="AC15" s="1801">
        <f t="shared" si="5"/>
        <v>1</v>
      </c>
    </row>
    <row r="16" spans="1:29" ht="15">
      <c r="A16" s="427"/>
      <c r="B16" s="629"/>
      <c r="C16" s="446"/>
      <c r="D16" s="447"/>
      <c r="E16" s="2603"/>
      <c r="F16" s="447"/>
      <c r="G16" s="2603"/>
      <c r="H16" s="449"/>
      <c r="I16" s="2603"/>
      <c r="J16" s="447"/>
      <c r="K16" s="671"/>
      <c r="L16" s="1138"/>
      <c r="M16" s="1129"/>
      <c r="N16" s="1129"/>
      <c r="O16" s="1137"/>
      <c r="P16" s="3191"/>
      <c r="Q16" s="1800"/>
      <c r="R16" s="772"/>
      <c r="S16" s="773"/>
      <c r="T16" s="772"/>
      <c r="U16" s="773"/>
      <c r="V16" s="772"/>
      <c r="W16" s="773"/>
      <c r="X16" s="1803"/>
      <c r="Y16" s="3191"/>
      <c r="Z16" s="1804"/>
      <c r="AA16" s="1801">
        <v>1</v>
      </c>
      <c r="AB16" s="1801">
        <v>1</v>
      </c>
      <c r="AC16" s="1801">
        <v>1</v>
      </c>
    </row>
    <row r="17" spans="1:29" ht="85.5">
      <c r="A17" s="427"/>
      <c r="B17" s="630" t="s">
        <v>2708</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1"/>
      <c r="Q17" s="1800" t="str">
        <f>B17</f>
        <v>交通便捷度</v>
      </c>
      <c r="R17" s="772" t="s">
        <v>17</v>
      </c>
      <c r="S17" s="773">
        <f>F17</f>
        <v>100</v>
      </c>
      <c r="T17" s="772" t="s">
        <v>17</v>
      </c>
      <c r="U17" s="773">
        <f>H17</f>
        <v>100</v>
      </c>
      <c r="V17" s="772" t="s">
        <v>17</v>
      </c>
      <c r="W17" s="773">
        <f>J17</f>
        <v>100</v>
      </c>
      <c r="X17" s="1803"/>
      <c r="Y17" s="3191"/>
      <c r="Z17" s="1804" t="str">
        <f>Q17</f>
        <v>交通便捷度</v>
      </c>
      <c r="AA17" s="1801">
        <f t="shared" si="3"/>
        <v>1</v>
      </c>
      <c r="AB17" s="1801">
        <f t="shared" si="4"/>
        <v>1</v>
      </c>
      <c r="AC17" s="1801">
        <f t="shared" si="5"/>
        <v>1</v>
      </c>
    </row>
    <row r="18" spans="1:29" ht="15">
      <c r="A18" s="427"/>
      <c r="B18" s="631"/>
      <c r="C18" s="446"/>
      <c r="D18" s="447"/>
      <c r="E18" s="2597"/>
      <c r="F18" s="447"/>
      <c r="G18" s="2597"/>
      <c r="H18" s="447"/>
      <c r="I18" s="2596"/>
      <c r="J18" s="447"/>
      <c r="K18" s="671"/>
      <c r="L18" s="1138"/>
      <c r="M18" s="1129"/>
      <c r="N18" s="1129"/>
      <c r="O18" s="1137"/>
      <c r="P18" s="3191"/>
      <c r="Q18" s="1800"/>
      <c r="R18" s="772"/>
      <c r="S18" s="773"/>
      <c r="T18" s="772"/>
      <c r="U18" s="773"/>
      <c r="V18" s="772"/>
      <c r="W18" s="773"/>
      <c r="X18" s="1803"/>
      <c r="Y18" s="3191"/>
      <c r="Z18" s="1804"/>
      <c r="AA18" s="1801">
        <v>1</v>
      </c>
      <c r="AB18" s="1801">
        <v>1</v>
      </c>
      <c r="AC18" s="1801">
        <v>1</v>
      </c>
    </row>
    <row r="19" spans="1:29" ht="15">
      <c r="A19" s="427"/>
      <c r="B19" s="630" t="s">
        <v>2747</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1"/>
      <c r="Q19" s="1800" t="str">
        <f t="shared" ref="Q19:Q33" si="8">B19</f>
        <v>区域土地利用方向</v>
      </c>
      <c r="R19" s="772" t="s">
        <v>17</v>
      </c>
      <c r="S19" s="773">
        <f>F19</f>
        <v>100</v>
      </c>
      <c r="T19" s="772" t="s">
        <v>17</v>
      </c>
      <c r="U19" s="773">
        <f>H19</f>
        <v>100</v>
      </c>
      <c r="V19" s="772" t="s">
        <v>17</v>
      </c>
      <c r="W19" s="773">
        <f>J19</f>
        <v>100</v>
      </c>
      <c r="X19" s="1803"/>
      <c r="Y19" s="3191"/>
      <c r="Z19" s="1804" t="str">
        <f>Q19</f>
        <v>区域土地利用方向</v>
      </c>
      <c r="AA19" s="1801">
        <f t="shared" si="3"/>
        <v>1</v>
      </c>
      <c r="AB19" s="1801">
        <f t="shared" si="4"/>
        <v>1</v>
      </c>
      <c r="AC19" s="1801">
        <f t="shared" si="5"/>
        <v>1</v>
      </c>
    </row>
    <row r="20" spans="1:29" ht="15">
      <c r="A20" s="403"/>
      <c r="B20" s="631"/>
      <c r="C20" s="446"/>
      <c r="D20" s="447"/>
      <c r="E20" s="2597"/>
      <c r="F20" s="447"/>
      <c r="G20" s="2597"/>
      <c r="H20" s="447"/>
      <c r="I20" s="2597"/>
      <c r="J20" s="447"/>
      <c r="K20" s="810"/>
      <c r="L20" s="1138"/>
      <c r="M20" s="1129"/>
      <c r="N20" s="1129"/>
      <c r="O20" s="1137"/>
      <c r="P20" s="3191"/>
      <c r="Q20" s="1800"/>
      <c r="R20" s="772"/>
      <c r="S20" s="773"/>
      <c r="T20" s="772"/>
      <c r="U20" s="773"/>
      <c r="V20" s="772"/>
      <c r="W20" s="773"/>
      <c r="X20" s="1803"/>
      <c r="Y20" s="3191"/>
      <c r="Z20" s="1804"/>
      <c r="AA20" s="1801"/>
      <c r="AB20" s="1801"/>
      <c r="AC20" s="1801"/>
    </row>
    <row r="21" spans="1:29" ht="71.25">
      <c r="A21" s="403"/>
      <c r="B21" s="630" t="s">
        <v>2798</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1"/>
      <c r="Q21" s="1800" t="str">
        <f t="shared" si="8"/>
        <v>环境状况</v>
      </c>
      <c r="R21" s="772" t="s">
        <v>17</v>
      </c>
      <c r="S21" s="773">
        <f>F21</f>
        <v>100</v>
      </c>
      <c r="T21" s="772" t="s">
        <v>17</v>
      </c>
      <c r="U21" s="773">
        <f>H21</f>
        <v>100</v>
      </c>
      <c r="V21" s="772" t="s">
        <v>17</v>
      </c>
      <c r="W21" s="773">
        <f>J21</f>
        <v>100</v>
      </c>
      <c r="X21" s="1803"/>
      <c r="Y21" s="3191"/>
      <c r="Z21" s="1804" t="str">
        <f>Q21</f>
        <v>环境状况</v>
      </c>
      <c r="AA21" s="1801">
        <f t="shared" si="3"/>
        <v>1</v>
      </c>
      <c r="AB21" s="1801">
        <f t="shared" si="4"/>
        <v>1</v>
      </c>
      <c r="AC21" s="1801">
        <f t="shared" si="5"/>
        <v>1</v>
      </c>
    </row>
    <row r="22" spans="1:29" ht="15">
      <c r="A22" s="403"/>
      <c r="B22" s="631"/>
      <c r="C22" s="446"/>
      <c r="D22" s="447"/>
      <c r="E22" s="2603"/>
      <c r="F22" s="447"/>
      <c r="G22" s="2603"/>
      <c r="H22" s="447"/>
      <c r="I22" s="446"/>
      <c r="J22" s="447"/>
      <c r="K22" s="671"/>
      <c r="L22" s="1138"/>
      <c r="M22" s="1129"/>
      <c r="N22" s="1129"/>
      <c r="O22" s="1137"/>
      <c r="P22" s="3191"/>
      <c r="Q22" s="1800"/>
      <c r="R22" s="772"/>
      <c r="S22" s="773"/>
      <c r="T22" s="772"/>
      <c r="U22" s="773"/>
      <c r="V22" s="772"/>
      <c r="W22" s="773"/>
      <c r="X22" s="1803"/>
      <c r="Y22" s="3191"/>
      <c r="Z22" s="1804"/>
      <c r="AA22" s="1801">
        <v>1</v>
      </c>
      <c r="AB22" s="1801">
        <v>1</v>
      </c>
      <c r="AC22" s="1801">
        <v>1</v>
      </c>
    </row>
    <row r="23" spans="1:29" s="117" customFormat="1" ht="42.75">
      <c r="A23" s="648"/>
      <c r="B23" s="632" t="s">
        <v>2653</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1"/>
      <c r="Q23" s="1785" t="str">
        <f t="shared" si="8"/>
        <v>公共配套设施</v>
      </c>
      <c r="R23" s="768" t="s">
        <v>17</v>
      </c>
      <c r="S23" s="769">
        <f>F23</f>
        <v>100</v>
      </c>
      <c r="T23" s="768" t="s">
        <v>17</v>
      </c>
      <c r="U23" s="769">
        <f>H23</f>
        <v>100</v>
      </c>
      <c r="V23" s="768" t="s">
        <v>17</v>
      </c>
      <c r="W23" s="769">
        <f>J23</f>
        <v>100</v>
      </c>
      <c r="X23" s="770"/>
      <c r="Y23" s="3191"/>
      <c r="Z23" s="55" t="str">
        <f>Q23</f>
        <v>公共配套设施</v>
      </c>
      <c r="AA23" s="1801">
        <f>D23/F23</f>
        <v>1</v>
      </c>
      <c r="AB23" s="1801">
        <f>D23/H23</f>
        <v>1</v>
      </c>
      <c r="AC23" s="1801">
        <f>D23/J23</f>
        <v>1</v>
      </c>
    </row>
    <row r="24" spans="1:29" s="117" customFormat="1" ht="15">
      <c r="A24" s="648"/>
      <c r="B24" s="631"/>
      <c r="C24" s="2692"/>
      <c r="D24" s="447"/>
      <c r="E24" s="2603"/>
      <c r="F24" s="447"/>
      <c r="G24" s="2603"/>
      <c r="H24" s="447"/>
      <c r="I24" s="446"/>
      <c r="J24" s="447"/>
      <c r="K24" s="671"/>
      <c r="L24" s="1130"/>
      <c r="M24" s="1131"/>
      <c r="N24" s="1131"/>
      <c r="O24" s="1132"/>
      <c r="P24" s="3191"/>
      <c r="Q24" s="1785"/>
      <c r="R24" s="768"/>
      <c r="S24" s="769"/>
      <c r="T24" s="768"/>
      <c r="U24" s="769"/>
      <c r="V24" s="768"/>
      <c r="W24" s="769"/>
      <c r="X24" s="770"/>
      <c r="Y24" s="3191"/>
      <c r="Z24" s="55"/>
      <c r="AA24" s="771">
        <v>1</v>
      </c>
      <c r="AB24" s="771">
        <v>1</v>
      </c>
      <c r="AC24" s="771">
        <v>1</v>
      </c>
    </row>
    <row r="25" spans="1:29" s="117" customFormat="1" ht="28.5">
      <c r="A25" s="648"/>
      <c r="B25" s="632" t="s">
        <v>2654</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1"/>
      <c r="Q25" s="1785" t="str">
        <f t="shared" ref="Q25" si="9">B25</f>
        <v>基础设施水平</v>
      </c>
      <c r="R25" s="768" t="s">
        <v>17</v>
      </c>
      <c r="S25" s="769">
        <f>F25</f>
        <v>100</v>
      </c>
      <c r="T25" s="768" t="s">
        <v>17</v>
      </c>
      <c r="U25" s="769">
        <f>H25</f>
        <v>100</v>
      </c>
      <c r="V25" s="768" t="s">
        <v>17</v>
      </c>
      <c r="W25" s="769">
        <f>J25</f>
        <v>100</v>
      </c>
      <c r="X25" s="770"/>
      <c r="Y25" s="3191"/>
      <c r="Z25" s="55" t="str">
        <f>Q25</f>
        <v>基础设施水平</v>
      </c>
      <c r="AA25" s="1801">
        <f>D25/F25</f>
        <v>1</v>
      </c>
      <c r="AB25" s="1801">
        <f>D25/H25</f>
        <v>1</v>
      </c>
      <c r="AC25" s="1801">
        <f>D25/J25</f>
        <v>1</v>
      </c>
    </row>
    <row r="26" spans="1:29" s="117" customFormat="1" ht="15">
      <c r="A26" s="648"/>
      <c r="B26" s="631"/>
      <c r="C26" s="2692"/>
      <c r="D26" s="447"/>
      <c r="E26" s="2693"/>
      <c r="F26" s="447"/>
      <c r="G26" s="2693"/>
      <c r="H26" s="447"/>
      <c r="I26" s="2693"/>
      <c r="J26" s="447"/>
      <c r="K26" s="671"/>
      <c r="L26" s="1130"/>
      <c r="M26" s="1131"/>
      <c r="N26" s="1131"/>
      <c r="O26" s="1132"/>
      <c r="P26" s="3191"/>
      <c r="Q26" s="1785"/>
      <c r="R26" s="768"/>
      <c r="S26" s="769"/>
      <c r="T26" s="768"/>
      <c r="U26" s="769"/>
      <c r="V26" s="768"/>
      <c r="W26" s="769"/>
      <c r="X26" s="770"/>
      <c r="Y26" s="3191"/>
      <c r="Z26" s="55"/>
      <c r="AA26" s="771">
        <v>1</v>
      </c>
      <c r="AB26" s="771">
        <v>1</v>
      </c>
      <c r="AC26" s="771">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1"/>
      <c r="Q27" s="1800" t="str">
        <f t="shared" si="8"/>
        <v>临街状况</v>
      </c>
      <c r="R27" s="772" t="s">
        <v>17</v>
      </c>
      <c r="S27" s="773">
        <f t="shared" ref="S27:S40" si="10">F27</f>
        <v>100</v>
      </c>
      <c r="T27" s="772" t="s">
        <v>17</v>
      </c>
      <c r="U27" s="773">
        <f t="shared" ref="U27:U40" si="11">H27</f>
        <v>100</v>
      </c>
      <c r="V27" s="772" t="s">
        <v>17</v>
      </c>
      <c r="W27" s="773">
        <f t="shared" ref="W27:W40" si="12">J27</f>
        <v>100</v>
      </c>
      <c r="X27" s="1803"/>
      <c r="Y27" s="3191"/>
      <c r="Z27" s="1804" t="str">
        <f t="shared" ref="Z27:Z40" si="13">Q27</f>
        <v>临街状况</v>
      </c>
      <c r="AA27" s="1801">
        <f t="shared" si="3"/>
        <v>1</v>
      </c>
      <c r="AB27" s="1801">
        <f t="shared" si="4"/>
        <v>1</v>
      </c>
      <c r="AC27" s="1801">
        <f t="shared" si="5"/>
        <v>1</v>
      </c>
    </row>
    <row r="28" spans="1:29" ht="27">
      <c r="A28" s="427"/>
      <c r="B28" s="632" t="s">
        <v>2690</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1"/>
      <c r="Q28" s="1800" t="str">
        <f t="shared" si="8"/>
        <v>毗邻道路的类型与等级</v>
      </c>
      <c r="R28" s="772" t="s">
        <v>17</v>
      </c>
      <c r="S28" s="773">
        <f t="shared" si="10"/>
        <v>100</v>
      </c>
      <c r="T28" s="772" t="s">
        <v>17</v>
      </c>
      <c r="U28" s="773">
        <f t="shared" si="11"/>
        <v>100</v>
      </c>
      <c r="V28" s="772" t="s">
        <v>17</v>
      </c>
      <c r="W28" s="773">
        <f t="shared" si="12"/>
        <v>100</v>
      </c>
      <c r="X28" s="1803"/>
      <c r="Y28" s="3191"/>
      <c r="Z28" s="1804" t="str">
        <f t="shared" si="13"/>
        <v>毗邻道路的类型与等级</v>
      </c>
      <c r="AA28" s="1801">
        <f t="shared" si="3"/>
        <v>1</v>
      </c>
      <c r="AB28" s="1801">
        <f t="shared" si="4"/>
        <v>1</v>
      </c>
      <c r="AC28" s="1801">
        <f t="shared" si="5"/>
        <v>1</v>
      </c>
    </row>
    <row r="29" spans="1:29" ht="15">
      <c r="A29" s="427"/>
      <c r="B29" s="631"/>
      <c r="C29" s="446"/>
      <c r="D29" s="447"/>
      <c r="E29" s="2603"/>
      <c r="F29" s="447"/>
      <c r="G29" s="2603"/>
      <c r="H29" s="447"/>
      <c r="I29" s="2603"/>
      <c r="J29" s="447"/>
      <c r="K29" s="612"/>
      <c r="L29" s="1138"/>
      <c r="M29" s="1129"/>
      <c r="N29" s="1129"/>
      <c r="O29" s="1137"/>
      <c r="P29" s="3191"/>
      <c r="Q29" s="1800"/>
      <c r="R29" s="772"/>
      <c r="S29" s="773"/>
      <c r="T29" s="772"/>
      <c r="U29" s="773"/>
      <c r="V29" s="772"/>
      <c r="W29" s="773"/>
      <c r="X29" s="1803"/>
      <c r="Y29" s="3191"/>
      <c r="Z29" s="1804"/>
      <c r="AA29" s="1801">
        <v>1</v>
      </c>
      <c r="AB29" s="1801">
        <v>1</v>
      </c>
      <c r="AC29" s="1801">
        <v>1</v>
      </c>
    </row>
    <row r="30" spans="1:29" ht="15">
      <c r="A30" s="427"/>
      <c r="B30" s="653" t="s">
        <v>2749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1"/>
      <c r="Q30" s="1800" t="str">
        <f t="shared" si="8"/>
        <v>土地级别</v>
      </c>
      <c r="R30" s="772" t="s">
        <v>17</v>
      </c>
      <c r="S30" s="773">
        <f t="shared" si="10"/>
        <v>100</v>
      </c>
      <c r="T30" s="772" t="s">
        <v>17</v>
      </c>
      <c r="U30" s="773">
        <f t="shared" si="11"/>
        <v>100</v>
      </c>
      <c r="V30" s="772" t="s">
        <v>17</v>
      </c>
      <c r="W30" s="773">
        <f t="shared" si="12"/>
        <v>100</v>
      </c>
      <c r="X30" s="1803"/>
      <c r="Y30" s="3191"/>
      <c r="Z30" s="1804" t="str">
        <f t="shared" si="13"/>
        <v>土地级别</v>
      </c>
      <c r="AA30" s="1801">
        <f t="shared" si="3"/>
        <v>1</v>
      </c>
      <c r="AB30" s="1801">
        <f t="shared" si="4"/>
        <v>1</v>
      </c>
      <c r="AC30" s="1801">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1"/>
      <c r="Q31" s="1800">
        <f t="shared" si="8"/>
        <v>111</v>
      </c>
      <c r="R31" s="772" t="s">
        <v>17</v>
      </c>
      <c r="S31" s="773">
        <f t="shared" si="10"/>
        <v>100</v>
      </c>
      <c r="T31" s="772" t="s">
        <v>17</v>
      </c>
      <c r="U31" s="773">
        <f t="shared" si="11"/>
        <v>100</v>
      </c>
      <c r="V31" s="772" t="s">
        <v>17</v>
      </c>
      <c r="W31" s="773">
        <f t="shared" si="12"/>
        <v>100</v>
      </c>
      <c r="X31" s="1803"/>
      <c r="Y31" s="3191"/>
      <c r="Z31" s="1804">
        <f t="shared" si="13"/>
        <v>111</v>
      </c>
      <c r="AA31" s="1801">
        <f t="shared" si="3"/>
        <v>1</v>
      </c>
      <c r="AB31" s="1801">
        <f t="shared" si="4"/>
        <v>1</v>
      </c>
      <c r="AC31" s="1801">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6" t="s">
        <v>2564</v>
      </c>
      <c r="Q32" s="1800">
        <f t="shared" si="8"/>
        <v>111</v>
      </c>
      <c r="R32" s="772" t="s">
        <v>17</v>
      </c>
      <c r="S32" s="773">
        <f t="shared" si="10"/>
        <v>100</v>
      </c>
      <c r="T32" s="772" t="s">
        <v>17</v>
      </c>
      <c r="U32" s="773">
        <f t="shared" si="11"/>
        <v>100</v>
      </c>
      <c r="V32" s="772" t="s">
        <v>17</v>
      </c>
      <c r="W32" s="773">
        <f t="shared" si="12"/>
        <v>100</v>
      </c>
      <c r="X32" s="1803"/>
      <c r="Y32" s="3195" t="s">
        <v>2564</v>
      </c>
      <c r="Z32" s="1804">
        <f t="shared" si="13"/>
        <v>111</v>
      </c>
      <c r="AA32" s="1801">
        <f t="shared" si="3"/>
        <v>1</v>
      </c>
      <c r="AB32" s="1801">
        <f t="shared" si="4"/>
        <v>1</v>
      </c>
      <c r="AC32" s="1801">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5"/>
      <c r="Q33" s="1800">
        <f t="shared" si="8"/>
        <v>111</v>
      </c>
      <c r="R33" s="775" t="s">
        <v>17</v>
      </c>
      <c r="S33" s="776">
        <f t="shared" si="10"/>
        <v>100</v>
      </c>
      <c r="T33" s="775" t="s">
        <v>17</v>
      </c>
      <c r="U33" s="776">
        <f t="shared" si="11"/>
        <v>100</v>
      </c>
      <c r="V33" s="775" t="s">
        <v>17</v>
      </c>
      <c r="W33" s="776">
        <f t="shared" si="12"/>
        <v>100</v>
      </c>
      <c r="X33" s="777"/>
      <c r="Y33" s="3195"/>
      <c r="Z33" s="778">
        <f t="shared" si="13"/>
        <v>111</v>
      </c>
      <c r="AA33" s="1801">
        <f t="shared" si="3"/>
        <v>1</v>
      </c>
      <c r="AB33" s="1801">
        <f t="shared" si="4"/>
        <v>1</v>
      </c>
      <c r="AC33" s="1801">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5"/>
      <c r="Q34" s="1800" t="str">
        <f>B34</f>
        <v>宗地面积</v>
      </c>
      <c r="R34" s="772" t="s">
        <v>17</v>
      </c>
      <c r="S34" s="773" t="e">
        <f t="shared" si="10"/>
        <v>#N/A</v>
      </c>
      <c r="T34" s="772" t="s">
        <v>17</v>
      </c>
      <c r="U34" s="773" t="e">
        <f t="shared" si="11"/>
        <v>#N/A</v>
      </c>
      <c r="V34" s="772" t="s">
        <v>17</v>
      </c>
      <c r="W34" s="773" t="e">
        <f t="shared" si="12"/>
        <v>#N/A</v>
      </c>
      <c r="X34" s="1803"/>
      <c r="Y34" s="3195"/>
      <c r="Z34" s="1804" t="str">
        <f t="shared" si="13"/>
        <v>宗地面积</v>
      </c>
      <c r="AA34" s="1801" t="e">
        <f t="shared" si="3"/>
        <v>#N/A</v>
      </c>
      <c r="AB34" s="1801" t="e">
        <f t="shared" si="4"/>
        <v>#N/A</v>
      </c>
      <c r="AC34" s="1801" t="e">
        <f t="shared" si="5"/>
        <v>#N/A</v>
      </c>
    </row>
    <row r="35" spans="1:29" ht="15">
      <c r="A35" s="471"/>
      <c r="B35" s="421" t="s">
        <v>2751</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195"/>
      <c r="Q35" s="1800" t="str">
        <f t="shared" ref="Q35:Q40" si="14">B35</f>
        <v>宗地形状</v>
      </c>
      <c r="R35" s="772" t="s">
        <v>17</v>
      </c>
      <c r="S35" s="773">
        <f t="shared" si="10"/>
        <v>100</v>
      </c>
      <c r="T35" s="772" t="s">
        <v>17</v>
      </c>
      <c r="U35" s="773">
        <f t="shared" si="11"/>
        <v>100</v>
      </c>
      <c r="V35" s="772" t="s">
        <v>17</v>
      </c>
      <c r="W35" s="773">
        <f t="shared" si="12"/>
        <v>100</v>
      </c>
      <c r="X35" s="1803"/>
      <c r="Y35" s="3195"/>
      <c r="Z35" s="1804" t="str">
        <f t="shared" si="13"/>
        <v>宗地形状</v>
      </c>
      <c r="AA35" s="1801">
        <f t="shared" si="3"/>
        <v>1</v>
      </c>
      <c r="AB35" s="1801">
        <f t="shared" si="4"/>
        <v>1</v>
      </c>
      <c r="AC35" s="1801">
        <f t="shared" si="5"/>
        <v>1</v>
      </c>
    </row>
    <row r="36" spans="1:29" s="117" customFormat="1" ht="15">
      <c r="A36" s="472"/>
      <c r="B36" s="421" t="s">
        <v>2753</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30"/>
      <c r="M36" s="1131"/>
      <c r="N36" s="1131"/>
      <c r="O36" s="1132"/>
      <c r="P36" s="3195"/>
      <c r="Q36" s="1800" t="str">
        <f t="shared" si="14"/>
        <v>宗地开发程度</v>
      </c>
      <c r="R36" s="768" t="s">
        <v>17</v>
      </c>
      <c r="S36" s="769">
        <f t="shared" si="10"/>
        <v>100</v>
      </c>
      <c r="T36" s="768" t="s">
        <v>17</v>
      </c>
      <c r="U36" s="769">
        <f t="shared" si="11"/>
        <v>100</v>
      </c>
      <c r="V36" s="768" t="s">
        <v>17</v>
      </c>
      <c r="W36" s="769">
        <f t="shared" si="12"/>
        <v>100</v>
      </c>
      <c r="X36" s="770"/>
      <c r="Y36" s="3195"/>
      <c r="Z36" s="55" t="str">
        <f t="shared" si="13"/>
        <v>宗地开发程度</v>
      </c>
      <c r="AA36" s="771">
        <f t="shared" si="3"/>
        <v>1</v>
      </c>
      <c r="AB36" s="771">
        <f t="shared" si="4"/>
        <v>1</v>
      </c>
      <c r="AC36" s="771">
        <f t="shared" si="5"/>
        <v>1</v>
      </c>
    </row>
    <row r="37" spans="1:29" ht="15">
      <c r="A37" s="471"/>
      <c r="B37" s="421" t="s">
        <v>2754</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195" t="s">
        <v>2564</v>
      </c>
      <c r="Q37" s="1800" t="str">
        <f t="shared" si="14"/>
        <v>工程地质条件</v>
      </c>
      <c r="R37" s="772" t="s">
        <v>17</v>
      </c>
      <c r="S37" s="773">
        <f t="shared" si="10"/>
        <v>100</v>
      </c>
      <c r="T37" s="772" t="s">
        <v>17</v>
      </c>
      <c r="U37" s="773">
        <f t="shared" si="11"/>
        <v>100</v>
      </c>
      <c r="V37" s="772" t="s">
        <v>17</v>
      </c>
      <c r="W37" s="773">
        <f t="shared" si="12"/>
        <v>100</v>
      </c>
      <c r="X37" s="1803"/>
      <c r="Y37" s="3195" t="s">
        <v>2564</v>
      </c>
      <c r="Z37" s="1804" t="str">
        <f t="shared" si="13"/>
        <v>工程地质条件</v>
      </c>
      <c r="AA37" s="1801">
        <f t="shared" si="3"/>
        <v>1</v>
      </c>
      <c r="AB37" s="1801">
        <f t="shared" si="4"/>
        <v>1</v>
      </c>
      <c r="AC37" s="1801">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5"/>
      <c r="Q38" s="1800">
        <f t="shared" si="14"/>
        <v>111</v>
      </c>
      <c r="R38" s="772" t="s">
        <v>17</v>
      </c>
      <c r="S38" s="773">
        <f t="shared" si="10"/>
        <v>100</v>
      </c>
      <c r="T38" s="772" t="s">
        <v>17</v>
      </c>
      <c r="U38" s="773">
        <f t="shared" si="11"/>
        <v>100</v>
      </c>
      <c r="V38" s="772" t="s">
        <v>17</v>
      </c>
      <c r="W38" s="773">
        <f t="shared" si="12"/>
        <v>100</v>
      </c>
      <c r="X38" s="1803"/>
      <c r="Y38" s="3195"/>
      <c r="Z38" s="1804">
        <f t="shared" si="13"/>
        <v>111</v>
      </c>
      <c r="AA38" s="1801">
        <f t="shared" si="3"/>
        <v>1</v>
      </c>
      <c r="AB38" s="1801">
        <f t="shared" si="4"/>
        <v>1</v>
      </c>
      <c r="AC38" s="1801">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5"/>
      <c r="Q39" s="1800">
        <f t="shared" si="14"/>
        <v>111</v>
      </c>
      <c r="R39" s="772" t="s">
        <v>17</v>
      </c>
      <c r="S39" s="773">
        <f t="shared" si="10"/>
        <v>100</v>
      </c>
      <c r="T39" s="772" t="s">
        <v>17</v>
      </c>
      <c r="U39" s="773">
        <f t="shared" si="11"/>
        <v>100</v>
      </c>
      <c r="V39" s="772" t="s">
        <v>17</v>
      </c>
      <c r="W39" s="773">
        <f t="shared" si="12"/>
        <v>100</v>
      </c>
      <c r="X39" s="1803"/>
      <c r="Y39" s="3195"/>
      <c r="Z39" s="1804">
        <f t="shared" si="13"/>
        <v>111</v>
      </c>
      <c r="AA39" s="1801">
        <f t="shared" si="3"/>
        <v>1</v>
      </c>
      <c r="AB39" s="1801">
        <f t="shared" si="4"/>
        <v>1</v>
      </c>
      <c r="AC39" s="1801">
        <f t="shared" si="5"/>
        <v>1</v>
      </c>
    </row>
    <row r="40" spans="1:29" s="470" customFormat="1" ht="15.75" thickBot="1">
      <c r="A40" s="467"/>
      <c r="B40" s="1385">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5"/>
      <c r="Q40" s="1800">
        <f t="shared" si="14"/>
        <v>111</v>
      </c>
      <c r="R40" s="775" t="s">
        <v>17</v>
      </c>
      <c r="S40" s="776">
        <f t="shared" si="10"/>
        <v>100</v>
      </c>
      <c r="T40" s="775" t="s">
        <v>17</v>
      </c>
      <c r="U40" s="776">
        <f t="shared" si="11"/>
        <v>100</v>
      </c>
      <c r="V40" s="775" t="s">
        <v>17</v>
      </c>
      <c r="W40" s="776">
        <f t="shared" si="12"/>
        <v>100</v>
      </c>
      <c r="X40" s="777"/>
      <c r="Y40" s="3195"/>
      <c r="Z40" s="778">
        <f t="shared" si="13"/>
        <v>111</v>
      </c>
      <c r="AA40" s="1801">
        <f t="shared" si="3"/>
        <v>1</v>
      </c>
      <c r="AB40" s="1801">
        <f t="shared" si="4"/>
        <v>1</v>
      </c>
      <c r="AC40" s="1801">
        <f t="shared" si="5"/>
        <v>1</v>
      </c>
    </row>
    <row r="41" spans="1:29" ht="15">
      <c r="A41" s="478" t="s">
        <v>2719</v>
      </c>
      <c r="B41" s="2696" t="s">
        <v>3103</v>
      </c>
      <c r="C41" s="681" t="s">
        <v>1</v>
      </c>
      <c r="D41" s="480"/>
      <c r="E41" s="481"/>
      <c r="F41" s="482"/>
      <c r="G41" s="483"/>
      <c r="H41" s="484"/>
      <c r="I41" s="481"/>
      <c r="J41" s="484"/>
      <c r="K41" s="781"/>
      <c r="L41" s="1141"/>
      <c r="M41" s="1129"/>
      <c r="N41" s="1129"/>
      <c r="O41" s="1142"/>
      <c r="P41" s="3188" t="str">
        <f>A41</f>
        <v>成交单价</v>
      </c>
      <c r="Q41" s="3188"/>
      <c r="R41" s="3219">
        <f>E41</f>
        <v>0</v>
      </c>
      <c r="S41" s="3219"/>
      <c r="T41" s="3219">
        <f>G41</f>
        <v>0</v>
      </c>
      <c r="U41" s="3219"/>
      <c r="V41" s="3219">
        <f>I41</f>
        <v>0</v>
      </c>
      <c r="W41" s="3219"/>
      <c r="X41" s="757"/>
      <c r="Y41" s="779"/>
      <c r="Z41" s="757"/>
      <c r="AA41" s="757"/>
      <c r="AB41" s="757"/>
      <c r="AC41" s="757"/>
    </row>
    <row r="42" spans="1:29" ht="15.75" thickBot="1">
      <c r="A42" s="485" t="s">
        <v>2668</v>
      </c>
      <c r="B42" s="682"/>
      <c r="C42" s="489" t="e">
        <f ca="1">R43</f>
        <v>#N/A</v>
      </c>
      <c r="D42" s="488"/>
      <c r="E42" s="489" t="e">
        <f ca="1">R42</f>
        <v>#N/A</v>
      </c>
      <c r="F42" s="490"/>
      <c r="G42" s="487" t="e">
        <f ca="1">T42</f>
        <v>#N/A</v>
      </c>
      <c r="H42" s="488"/>
      <c r="I42" s="489" t="e">
        <f ca="1">V42</f>
        <v>#N/A</v>
      </c>
      <c r="J42" s="488"/>
      <c r="K42" s="782"/>
      <c r="L42" s="1141"/>
      <c r="M42" s="1129"/>
      <c r="N42" s="1129"/>
      <c r="O42" s="1142"/>
      <c r="P42" s="3188" t="str">
        <f>A42</f>
        <v>比较价值（元/平方米）</v>
      </c>
      <c r="Q42" s="3188"/>
      <c r="R42" s="3247" t="e">
        <f ca="1">ROUND(PRODUCT(R41,AA7:AA40),0)</f>
        <v>#N/A</v>
      </c>
      <c r="S42" s="3247"/>
      <c r="T42" s="3247" t="e">
        <f ca="1">ROUND(PRODUCT(T41,AB7:AB40),0)</f>
        <v>#N/A</v>
      </c>
      <c r="U42" s="3247"/>
      <c r="V42" s="3247" t="e">
        <f ca="1">ROUND(PRODUCT(V41,AC7:AC40),0)</f>
        <v>#N/A</v>
      </c>
      <c r="W42" s="3247"/>
      <c r="X42" s="757"/>
      <c r="Y42" s="757"/>
      <c r="Z42" s="757"/>
      <c r="AA42" s="757"/>
      <c r="AB42" s="757"/>
      <c r="AC42" s="757"/>
    </row>
    <row r="43" spans="1:29" ht="15.75" thickBot="1">
      <c r="A43" s="491" t="s">
        <v>2669</v>
      </c>
      <c r="B43" s="492"/>
      <c r="C43" s="493" t="e">
        <f ca="1">R43</f>
        <v>#N/A</v>
      </c>
      <c r="D43" s="493"/>
      <c r="E43" s="493"/>
      <c r="F43" s="493"/>
      <c r="G43" s="493"/>
      <c r="H43" s="493"/>
      <c r="I43" s="493"/>
      <c r="J43" s="493"/>
      <c r="K43" s="783"/>
      <c r="L43" s="1141"/>
      <c r="M43" s="1129"/>
      <c r="N43" s="1129"/>
      <c r="O43" s="1142"/>
      <c r="P43" s="3185" t="str">
        <f>A43</f>
        <v>估价对象XX用房的比较价值（楼面单价，元/平方米）</v>
      </c>
      <c r="Q43" s="3186"/>
      <c r="R43" s="3248" t="e">
        <f ca="1">ROUND(AVERAGE(R42:V42),0)</f>
        <v>#N/A</v>
      </c>
      <c r="S43" s="3248"/>
      <c r="T43" s="3248"/>
      <c r="U43" s="3248"/>
      <c r="V43" s="3248"/>
      <c r="W43" s="3248"/>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 ca="1">IF(E41&lt;E42,E42/E41-1,E41/E42-1)</f>
        <v>#N/A</v>
      </c>
      <c r="F46" s="499" t="e">
        <f ca="1">IF(OR(E46&gt;=0.3,E46&lt;=-0.3),"超过30%","")</f>
        <v>#N/A</v>
      </c>
      <c r="G46" s="498" t="e">
        <f ca="1">IF(G41&lt;G42,G42/G41-1,G41/G42-1)</f>
        <v>#N/A</v>
      </c>
      <c r="H46" s="499" t="e">
        <f ca="1">IF(OR(G46&gt;=0.3,G46&lt;=-0.3),"超过30%","")</f>
        <v>#N/A</v>
      </c>
      <c r="I46" s="498" t="e">
        <f ca="1">IF(I41&lt;I42,I42/I41-1,I41/I42-1)</f>
        <v>#N/A</v>
      </c>
      <c r="J46" s="499" t="e">
        <f ca="1">IF(OR(I46&gt;=0.3,I46&lt;=-0.3),"超过30%","")</f>
        <v>#N/A</v>
      </c>
      <c r="K46" s="1103"/>
      <c r="L46" s="1104"/>
      <c r="M46" s="1129"/>
      <c r="N46" s="1129"/>
      <c r="O46" s="1142"/>
    </row>
    <row r="47" spans="1:29" ht="13.5" customHeight="1">
      <c r="A47" s="1142"/>
      <c r="B47" s="1142"/>
      <c r="C47" s="496" t="s">
        <v>2671</v>
      </c>
      <c r="D47" s="500"/>
      <c r="E47" s="498" t="e">
        <f ca="1">IF(E42&lt;G42,G42/E42-1,E42/G42-1)</f>
        <v>#N/A</v>
      </c>
      <c r="F47" s="499" t="e">
        <f ca="1">IF(OR(E47&gt;=0.2,E47&lt;=-0.2),"超过20%","")</f>
        <v>#N/A</v>
      </c>
      <c r="G47" s="498" t="e">
        <f ca="1">IF(G42&lt;I42,I42/G42-1,G42/I42-1)</f>
        <v>#N/A</v>
      </c>
      <c r="H47" s="499" t="e">
        <f ca="1">IF(OR(G47&gt;=0.2,G47&lt;=-0.2),"超过20%","")</f>
        <v>#N/A</v>
      </c>
      <c r="I47" s="498" t="e">
        <f ca="1">IF(I42&lt;E42,E42/I42-1,I42/E42-1)</f>
        <v>#N/A</v>
      </c>
      <c r="J47" s="499" t="e">
        <f ca="1">IF(OR(I47&gt;=0.2,I47&lt;=-0.2),"超过20%","")</f>
        <v>#N/A</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2757</v>
      </c>
      <c r="B50" s="684" t="s">
        <v>2758</v>
      </c>
      <c r="C50" s="2697" t="s">
        <v>2759</v>
      </c>
      <c r="D50" s="2698" t="s">
        <v>2760</v>
      </c>
      <c r="E50" s="685" t="s">
        <v>2761</v>
      </c>
      <c r="F50" s="686" t="s">
        <v>2762</v>
      </c>
      <c r="G50" s="3203" t="s">
        <v>2763</v>
      </c>
      <c r="H50" s="3249"/>
      <c r="I50" s="1804" t="s">
        <v>2799</v>
      </c>
      <c r="J50" s="1804">
        <f>项目基本情况!F35</f>
        <v>0</v>
      </c>
      <c r="K50" s="2700" t="s">
        <v>2765</v>
      </c>
      <c r="L50" s="1104"/>
      <c r="M50" s="1142"/>
      <c r="N50" s="1142"/>
      <c r="O50" s="1142"/>
    </row>
    <row r="51" spans="1:17" s="691" customFormat="1">
      <c r="A51" s="687" t="s">
        <v>2766</v>
      </c>
      <c r="B51" s="688" t="e">
        <f ca="1">C43</f>
        <v>#N/A</v>
      </c>
      <c r="C51" s="689">
        <v>1</v>
      </c>
      <c r="D51" s="1161">
        <v>1</v>
      </c>
      <c r="E51" s="689">
        <f>'数据-汇总表'!E8+'数据-汇总表'!E9</f>
        <v>65627.570000000007</v>
      </c>
      <c r="F51" s="690" t="e">
        <f t="shared" ref="F51:F60" ca="1" si="15">ROUND(B51*E51/10000,0)</f>
        <v>#N/A</v>
      </c>
      <c r="G51" s="3199"/>
      <c r="H51" s="3188"/>
      <c r="I51" s="940">
        <v>1</v>
      </c>
      <c r="J51" s="940">
        <v>1</v>
      </c>
      <c r="K51" s="1143"/>
      <c r="L51" s="939"/>
      <c r="M51" s="939"/>
      <c r="N51" s="939"/>
      <c r="O51" s="939"/>
    </row>
    <row r="52" spans="1:17" s="691" customFormat="1">
      <c r="A52" s="692" t="s">
        <v>2767</v>
      </c>
      <c r="B52" s="261" t="e">
        <f ca="1">ROUND($C$43*C52*D52,0)</f>
        <v>#N/A</v>
      </c>
      <c r="C52" s="199">
        <f t="shared" ref="C52:C60" si="16">IF($C$50="北京市系数",I52,J52)</f>
        <v>0</v>
      </c>
      <c r="D52" s="1162">
        <v>0.25</v>
      </c>
      <c r="E52" s="693"/>
      <c r="F52" s="690" t="e">
        <f t="shared" ca="1" si="15"/>
        <v>#N/A</v>
      </c>
      <c r="G52" s="3250" t="s">
        <v>2768</v>
      </c>
      <c r="H52" s="1102">
        <f>项目基本情况!B37</f>
        <v>0</v>
      </c>
      <c r="I52" s="940">
        <f>SUMIF(修正!A45:A56,H52,修正!B45:B56)</f>
        <v>0</v>
      </c>
      <c r="J52" s="941"/>
      <c r="K52" s="1142"/>
      <c r="L52" s="939"/>
      <c r="M52" s="939"/>
      <c r="N52" s="939"/>
      <c r="O52" s="939"/>
    </row>
    <row r="53" spans="1:17" s="691" customFormat="1">
      <c r="A53" s="692" t="s">
        <v>2769</v>
      </c>
      <c r="B53" s="261" t="e">
        <f t="shared" ref="B53:B60" ca="1" si="17">ROUND($C$43*C53*D53,0)</f>
        <v>#N/A</v>
      </c>
      <c r="C53" s="199">
        <f t="shared" si="16"/>
        <v>0</v>
      </c>
      <c r="D53" s="1162">
        <v>0.25</v>
      </c>
      <c r="E53" s="693"/>
      <c r="F53" s="690" t="e">
        <f t="shared" ca="1" si="15"/>
        <v>#N/A</v>
      </c>
      <c r="G53" s="3250"/>
      <c r="H53" s="1102">
        <f>项目基本情况!B37</f>
        <v>0</v>
      </c>
      <c r="I53" s="940">
        <f>SUMIF(修正!A45:A56,H53,修正!C45:C56)</f>
        <v>0</v>
      </c>
      <c r="J53" s="941"/>
      <c r="K53" s="1143"/>
      <c r="L53" s="939"/>
      <c r="M53" s="939"/>
      <c r="N53" s="939"/>
      <c r="O53" s="939"/>
    </row>
    <row r="54" spans="1:17" s="691" customFormat="1">
      <c r="A54" s="692" t="s">
        <v>2770</v>
      </c>
      <c r="B54" s="261" t="e">
        <f t="shared" ca="1" si="17"/>
        <v>#N/A</v>
      </c>
      <c r="C54" s="199">
        <f t="shared" si="16"/>
        <v>0</v>
      </c>
      <c r="D54" s="1162">
        <v>0.25</v>
      </c>
      <c r="E54" s="693"/>
      <c r="F54" s="690" t="e">
        <f t="shared" ca="1" si="15"/>
        <v>#N/A</v>
      </c>
      <c r="G54" s="3250"/>
      <c r="H54" s="1102">
        <f>项目基本情况!B37</f>
        <v>0</v>
      </c>
      <c r="I54" s="940">
        <f>SUMIF(修正!A45:A56,H54,修正!D45:D56)</f>
        <v>0</v>
      </c>
      <c r="J54" s="941"/>
      <c r="K54" s="1142"/>
      <c r="L54" s="939"/>
      <c r="M54" s="939"/>
      <c r="N54" s="939"/>
      <c r="O54" s="939"/>
    </row>
    <row r="55" spans="1:17" s="691" customFormat="1">
      <c r="A55" s="692" t="s">
        <v>2771</v>
      </c>
      <c r="B55" s="261" t="e">
        <f t="shared" ca="1" si="17"/>
        <v>#N/A</v>
      </c>
      <c r="C55" s="199">
        <f t="shared" si="16"/>
        <v>0</v>
      </c>
      <c r="D55" s="1162">
        <v>0.25</v>
      </c>
      <c r="E55" s="693"/>
      <c r="F55" s="690" t="e">
        <f t="shared" ca="1" si="15"/>
        <v>#N/A</v>
      </c>
      <c r="G55" s="3250"/>
      <c r="H55" s="1102">
        <f>项目基本情况!B37</f>
        <v>0</v>
      </c>
      <c r="I55" s="940">
        <f>SUMIF(修正!A45:A56,H55,修正!E45:E56)</f>
        <v>0</v>
      </c>
      <c r="J55" s="941"/>
      <c r="K55" s="1143"/>
      <c r="L55" s="939"/>
      <c r="M55" s="939"/>
      <c r="N55" s="939"/>
      <c r="O55" s="939"/>
    </row>
    <row r="56" spans="1:17" s="691" customFormat="1">
      <c r="A56" s="692" t="s">
        <v>2772</v>
      </c>
      <c r="B56" s="261" t="e">
        <f t="shared" ca="1" si="17"/>
        <v>#N/A</v>
      </c>
      <c r="C56" s="199">
        <f t="shared" si="16"/>
        <v>0</v>
      </c>
      <c r="D56" s="1162">
        <v>0.25</v>
      </c>
      <c r="E56" s="260">
        <f>'数据-汇总表'!E11</f>
        <v>0</v>
      </c>
      <c r="F56" s="690" t="e">
        <f t="shared" ca="1" si="15"/>
        <v>#N/A</v>
      </c>
      <c r="G56" s="2701" t="s">
        <v>2773</v>
      </c>
      <c r="H56" s="1102">
        <f>项目基本情况!C37</f>
        <v>0</v>
      </c>
      <c r="I56" s="940">
        <f>SUMIF(修正!A45:A56,H56,修正!F45:F56)</f>
        <v>0</v>
      </c>
      <c r="J56" s="941"/>
      <c r="K56" s="1142"/>
      <c r="L56" s="939"/>
      <c r="M56" s="939"/>
      <c r="N56" s="939"/>
      <c r="O56" s="939"/>
    </row>
    <row r="57" spans="1:17" s="691" customFormat="1">
      <c r="A57" s="692" t="s">
        <v>2774</v>
      </c>
      <c r="B57" s="261" t="e">
        <f t="shared" ca="1" si="17"/>
        <v>#N/A</v>
      </c>
      <c r="C57" s="199">
        <f t="shared" si="16"/>
        <v>0</v>
      </c>
      <c r="D57" s="1162">
        <v>0.25</v>
      </c>
      <c r="E57" s="260">
        <f>'数据-汇总表'!E12</f>
        <v>0</v>
      </c>
      <c r="F57" s="690" t="e">
        <f t="shared" ca="1" si="15"/>
        <v>#N/A</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2776</v>
      </c>
      <c r="B58" s="261" t="e">
        <f t="shared" ca="1" si="17"/>
        <v>#N/A</v>
      </c>
      <c r="C58" s="199">
        <f t="shared" si="16"/>
        <v>0</v>
      </c>
      <c r="D58" s="1162">
        <v>0.25</v>
      </c>
      <c r="E58" s="260">
        <f>'数据-汇总表'!E13</f>
        <v>0</v>
      </c>
      <c r="F58" s="690" t="e">
        <f t="shared" ca="1" si="15"/>
        <v>#N/A</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2778</v>
      </c>
      <c r="B59" s="261" t="e">
        <f t="shared" ca="1" si="17"/>
        <v>#N/A</v>
      </c>
      <c r="C59" s="199">
        <f t="shared" si="16"/>
        <v>0</v>
      </c>
      <c r="D59" s="1162">
        <v>0.25</v>
      </c>
      <c r="E59" s="260">
        <f>'数据-汇总表'!E14</f>
        <v>0</v>
      </c>
      <c r="F59" s="690" t="e">
        <f t="shared" ca="1" si="15"/>
        <v>#N/A</v>
      </c>
      <c r="G59" s="2701" t="s">
        <v>2768</v>
      </c>
      <c r="H59" s="1102">
        <f>项目基本情况!B37</f>
        <v>0</v>
      </c>
      <c r="I59" s="940">
        <f>SUMIF(修正!A45:A56,H59,修正!H45:H56)</f>
        <v>0</v>
      </c>
      <c r="J59" s="941"/>
      <c r="K59" s="1143"/>
      <c r="L59" s="939"/>
      <c r="M59" s="939"/>
      <c r="N59" s="939"/>
      <c r="O59" s="939"/>
    </row>
    <row r="60" spans="1:17" s="691" customFormat="1" ht="15" thickBot="1">
      <c r="A60" s="692" t="s">
        <v>2779</v>
      </c>
      <c r="B60" s="261" t="e">
        <f t="shared" ca="1" si="17"/>
        <v>#N/A</v>
      </c>
      <c r="C60" s="199">
        <f t="shared" si="16"/>
        <v>0</v>
      </c>
      <c r="D60" s="1162">
        <v>0.25</v>
      </c>
      <c r="E60" s="260">
        <f>'数据-汇总表'!E15</f>
        <v>0</v>
      </c>
      <c r="F60" s="690" t="e">
        <f t="shared" ca="1" si="15"/>
        <v>#N/A</v>
      </c>
      <c r="G60" s="2702" t="s">
        <v>2773</v>
      </c>
      <c r="H60" s="1112">
        <f>项目基本情况!C37</f>
        <v>0</v>
      </c>
      <c r="I60" s="940">
        <f>SUMIF(修正!A45:A56,H60,修正!H45:H56)</f>
        <v>0</v>
      </c>
      <c r="J60" s="941"/>
      <c r="K60" s="1142"/>
      <c r="L60" s="939"/>
      <c r="M60" s="939"/>
      <c r="N60" s="939"/>
      <c r="O60" s="939"/>
    </row>
    <row r="61" spans="1:17" s="691" customFormat="1" ht="15" thickBot="1">
      <c r="A61" s="694" t="s">
        <v>2780</v>
      </c>
      <c r="B61" s="695" t="s">
        <v>28</v>
      </c>
      <c r="C61" s="695" t="s">
        <v>29</v>
      </c>
      <c r="D61" s="695" t="s">
        <v>1025</v>
      </c>
      <c r="E61" s="695">
        <f>IF(B41="楼面地价",SUM(E51:E60),'数据-汇总表'!D3)</f>
        <v>65627.570000000007</v>
      </c>
      <c r="F61" s="696" t="e">
        <f ca="1">IF(B41="楼面地价",SUM(F51:F60),ROUND(C43*E61/10000,0))</f>
        <v>#N/A</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2673</v>
      </c>
      <c r="B64" s="757"/>
      <c r="C64" s="762"/>
      <c r="D64" s="762"/>
      <c r="E64" s="762"/>
      <c r="F64" s="763"/>
      <c r="G64" s="763"/>
      <c r="H64" s="762"/>
      <c r="I64" s="762"/>
      <c r="J64" s="762"/>
      <c r="K64" s="764"/>
      <c r="L64" s="765"/>
      <c r="M64" s="762"/>
      <c r="N64" s="762"/>
      <c r="O64" s="1157"/>
      <c r="P64" s="502"/>
      <c r="Q64" s="503"/>
    </row>
    <row r="65" spans="1:17" s="507" customFormat="1" ht="15">
      <c r="A65" s="2703" t="s">
        <v>2781</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7" customFormat="1" ht="30.75" customHeight="1">
      <c r="A66" s="2708" t="s">
        <v>2800</v>
      </c>
      <c r="B66" s="331" t="str">
        <f>"北京市平均增长率"&amp;TEXT(基准地价修正!P24,"0.00%")</f>
        <v>北京市平均增长率1.31%</v>
      </c>
      <c r="C66" s="602">
        <v>100</v>
      </c>
      <c r="D66" s="594"/>
      <c r="E66" s="594"/>
      <c r="F66" s="594"/>
      <c r="G66" s="594"/>
      <c r="H66" s="594"/>
      <c r="I66" s="594"/>
      <c r="J66" s="594"/>
      <c r="K66" s="594"/>
      <c r="L66" s="594"/>
      <c r="M66" s="1565"/>
      <c r="N66" s="1565"/>
      <c r="O66" s="1567"/>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2749</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6" t="str">
        <f t="shared" si="25"/>
        <v>(含)-</v>
      </c>
      <c r="L107" s="1756" t="str">
        <f t="shared" si="25"/>
        <v>(含)-</v>
      </c>
      <c r="M107" s="1757"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2.75"/>
  <cols>
    <col min="1" max="1" width="25.875" style="3301" customWidth="1"/>
    <col min="2" max="2" width="6.25" style="3301" customWidth="1"/>
    <col min="3" max="3" width="7.875" style="3301" customWidth="1"/>
    <col min="4" max="4" width="10.5" style="3301" customWidth="1"/>
    <col min="5" max="5" width="13.875" style="3301" customWidth="1"/>
    <col min="6" max="6" width="6.25" style="3301" customWidth="1"/>
    <col min="7" max="7" width="7.875" style="3301" customWidth="1"/>
    <col min="8" max="8" width="13.5" style="3301" customWidth="1"/>
    <col min="9" max="10" width="9" style="3301" customWidth="1"/>
    <col min="11" max="12" width="10.625" style="3301" customWidth="1"/>
    <col min="13" max="13" width="10.75" style="3301" customWidth="1"/>
    <col min="14" max="14" width="6.25" style="3301" customWidth="1"/>
    <col min="15" max="15" width="26.125" style="3301" customWidth="1"/>
    <col min="16" max="16" width="7.875" style="3301" customWidth="1"/>
    <col min="17" max="256" width="9" style="3301"/>
    <col min="257" max="257" width="41.375" style="3301" customWidth="1"/>
    <col min="258" max="258" width="6.25" style="3301" customWidth="1"/>
    <col min="259" max="259" width="7.875" style="3301" customWidth="1"/>
    <col min="260" max="261" width="13.875" style="3301" customWidth="1"/>
    <col min="262" max="262" width="6.25" style="3301" customWidth="1"/>
    <col min="263" max="263" width="7.875" style="3301" customWidth="1"/>
    <col min="264" max="264" width="13.5" style="3301" customWidth="1"/>
    <col min="265" max="266" width="9" style="3301" customWidth="1"/>
    <col min="267" max="268" width="10.625" style="3301" customWidth="1"/>
    <col min="269" max="269" width="14.375" style="3301" customWidth="1"/>
    <col min="270" max="270" width="6.25" style="3301" customWidth="1"/>
    <col min="271" max="271" width="26.125" style="3301" customWidth="1"/>
    <col min="272" max="272" width="7.875" style="3301" customWidth="1"/>
    <col min="273" max="512" width="9" style="3301"/>
    <col min="513" max="513" width="41.375" style="3301" customWidth="1"/>
    <col min="514" max="514" width="6.25" style="3301" customWidth="1"/>
    <col min="515" max="515" width="7.875" style="3301" customWidth="1"/>
    <col min="516" max="517" width="13.875" style="3301" customWidth="1"/>
    <col min="518" max="518" width="6.25" style="3301" customWidth="1"/>
    <col min="519" max="519" width="7.875" style="3301" customWidth="1"/>
    <col min="520" max="520" width="13.5" style="3301" customWidth="1"/>
    <col min="521" max="522" width="9" style="3301" customWidth="1"/>
    <col min="523" max="524" width="10.625" style="3301" customWidth="1"/>
    <col min="525" max="525" width="14.375" style="3301" customWidth="1"/>
    <col min="526" max="526" width="6.25" style="3301" customWidth="1"/>
    <col min="527" max="527" width="26.125" style="3301" customWidth="1"/>
    <col min="528" max="528" width="7.875" style="3301" customWidth="1"/>
    <col min="529" max="768" width="9" style="3301"/>
    <col min="769" max="769" width="41.375" style="3301" customWidth="1"/>
    <col min="770" max="770" width="6.25" style="3301" customWidth="1"/>
    <col min="771" max="771" width="7.875" style="3301" customWidth="1"/>
    <col min="772" max="773" width="13.875" style="3301" customWidth="1"/>
    <col min="774" max="774" width="6.25" style="3301" customWidth="1"/>
    <col min="775" max="775" width="7.875" style="3301" customWidth="1"/>
    <col min="776" max="776" width="13.5" style="3301" customWidth="1"/>
    <col min="777" max="778" width="9" style="3301" customWidth="1"/>
    <col min="779" max="780" width="10.625" style="3301" customWidth="1"/>
    <col min="781" max="781" width="14.375" style="3301" customWidth="1"/>
    <col min="782" max="782" width="6.25" style="3301" customWidth="1"/>
    <col min="783" max="783" width="26.125" style="3301" customWidth="1"/>
    <col min="784" max="784" width="7.875" style="3301" customWidth="1"/>
    <col min="785" max="1024" width="9" style="3301"/>
    <col min="1025" max="1025" width="41.375" style="3301" customWidth="1"/>
    <col min="1026" max="1026" width="6.25" style="3301" customWidth="1"/>
    <col min="1027" max="1027" width="7.875" style="3301" customWidth="1"/>
    <col min="1028" max="1029" width="13.875" style="3301" customWidth="1"/>
    <col min="1030" max="1030" width="6.25" style="3301" customWidth="1"/>
    <col min="1031" max="1031" width="7.875" style="3301" customWidth="1"/>
    <col min="1032" max="1032" width="13.5" style="3301" customWidth="1"/>
    <col min="1033" max="1034" width="9" style="3301" customWidth="1"/>
    <col min="1035" max="1036" width="10.625" style="3301" customWidth="1"/>
    <col min="1037" max="1037" width="14.375" style="3301" customWidth="1"/>
    <col min="1038" max="1038" width="6.25" style="3301" customWidth="1"/>
    <col min="1039" max="1039" width="26.125" style="3301" customWidth="1"/>
    <col min="1040" max="1040" width="7.875" style="3301" customWidth="1"/>
    <col min="1041" max="1280" width="9" style="3301"/>
    <col min="1281" max="1281" width="41.375" style="3301" customWidth="1"/>
    <col min="1282" max="1282" width="6.25" style="3301" customWidth="1"/>
    <col min="1283" max="1283" width="7.875" style="3301" customWidth="1"/>
    <col min="1284" max="1285" width="13.875" style="3301" customWidth="1"/>
    <col min="1286" max="1286" width="6.25" style="3301" customWidth="1"/>
    <col min="1287" max="1287" width="7.875" style="3301" customWidth="1"/>
    <col min="1288" max="1288" width="13.5" style="3301" customWidth="1"/>
    <col min="1289" max="1290" width="9" style="3301" customWidth="1"/>
    <col min="1291" max="1292" width="10.625" style="3301" customWidth="1"/>
    <col min="1293" max="1293" width="14.375" style="3301" customWidth="1"/>
    <col min="1294" max="1294" width="6.25" style="3301" customWidth="1"/>
    <col min="1295" max="1295" width="26.125" style="3301" customWidth="1"/>
    <col min="1296" max="1296" width="7.875" style="3301" customWidth="1"/>
    <col min="1297" max="1536" width="9" style="3301"/>
    <col min="1537" max="1537" width="41.375" style="3301" customWidth="1"/>
    <col min="1538" max="1538" width="6.25" style="3301" customWidth="1"/>
    <col min="1539" max="1539" width="7.875" style="3301" customWidth="1"/>
    <col min="1540" max="1541" width="13.875" style="3301" customWidth="1"/>
    <col min="1542" max="1542" width="6.25" style="3301" customWidth="1"/>
    <col min="1543" max="1543" width="7.875" style="3301" customWidth="1"/>
    <col min="1544" max="1544" width="13.5" style="3301" customWidth="1"/>
    <col min="1545" max="1546" width="9" style="3301" customWidth="1"/>
    <col min="1547" max="1548" width="10.625" style="3301" customWidth="1"/>
    <col min="1549" max="1549" width="14.375" style="3301" customWidth="1"/>
    <col min="1550" max="1550" width="6.25" style="3301" customWidth="1"/>
    <col min="1551" max="1551" width="26.125" style="3301" customWidth="1"/>
    <col min="1552" max="1552" width="7.875" style="3301" customWidth="1"/>
    <col min="1553" max="1792" width="9" style="3301"/>
    <col min="1793" max="1793" width="41.375" style="3301" customWidth="1"/>
    <col min="1794" max="1794" width="6.25" style="3301" customWidth="1"/>
    <col min="1795" max="1795" width="7.875" style="3301" customWidth="1"/>
    <col min="1796" max="1797" width="13.875" style="3301" customWidth="1"/>
    <col min="1798" max="1798" width="6.25" style="3301" customWidth="1"/>
    <col min="1799" max="1799" width="7.875" style="3301" customWidth="1"/>
    <col min="1800" max="1800" width="13.5" style="3301" customWidth="1"/>
    <col min="1801" max="1802" width="9" style="3301" customWidth="1"/>
    <col min="1803" max="1804" width="10.625" style="3301" customWidth="1"/>
    <col min="1805" max="1805" width="14.375" style="3301" customWidth="1"/>
    <col min="1806" max="1806" width="6.25" style="3301" customWidth="1"/>
    <col min="1807" max="1807" width="26.125" style="3301" customWidth="1"/>
    <col min="1808" max="1808" width="7.875" style="3301" customWidth="1"/>
    <col min="1809" max="2048" width="9" style="3301"/>
    <col min="2049" max="2049" width="41.375" style="3301" customWidth="1"/>
    <col min="2050" max="2050" width="6.25" style="3301" customWidth="1"/>
    <col min="2051" max="2051" width="7.875" style="3301" customWidth="1"/>
    <col min="2052" max="2053" width="13.875" style="3301" customWidth="1"/>
    <col min="2054" max="2054" width="6.25" style="3301" customWidth="1"/>
    <col min="2055" max="2055" width="7.875" style="3301" customWidth="1"/>
    <col min="2056" max="2056" width="13.5" style="3301" customWidth="1"/>
    <col min="2057" max="2058" width="9" style="3301" customWidth="1"/>
    <col min="2059" max="2060" width="10.625" style="3301" customWidth="1"/>
    <col min="2061" max="2061" width="14.375" style="3301" customWidth="1"/>
    <col min="2062" max="2062" width="6.25" style="3301" customWidth="1"/>
    <col min="2063" max="2063" width="26.125" style="3301" customWidth="1"/>
    <col min="2064" max="2064" width="7.875" style="3301" customWidth="1"/>
    <col min="2065" max="2304" width="9" style="3301"/>
    <col min="2305" max="2305" width="41.375" style="3301" customWidth="1"/>
    <col min="2306" max="2306" width="6.25" style="3301" customWidth="1"/>
    <col min="2307" max="2307" width="7.875" style="3301" customWidth="1"/>
    <col min="2308" max="2309" width="13.875" style="3301" customWidth="1"/>
    <col min="2310" max="2310" width="6.25" style="3301" customWidth="1"/>
    <col min="2311" max="2311" width="7.875" style="3301" customWidth="1"/>
    <col min="2312" max="2312" width="13.5" style="3301" customWidth="1"/>
    <col min="2313" max="2314" width="9" style="3301" customWidth="1"/>
    <col min="2315" max="2316" width="10.625" style="3301" customWidth="1"/>
    <col min="2317" max="2317" width="14.375" style="3301" customWidth="1"/>
    <col min="2318" max="2318" width="6.25" style="3301" customWidth="1"/>
    <col min="2319" max="2319" width="26.125" style="3301" customWidth="1"/>
    <col min="2320" max="2320" width="7.875" style="3301" customWidth="1"/>
    <col min="2321" max="2560" width="9" style="3301"/>
    <col min="2561" max="2561" width="41.375" style="3301" customWidth="1"/>
    <col min="2562" max="2562" width="6.25" style="3301" customWidth="1"/>
    <col min="2563" max="2563" width="7.875" style="3301" customWidth="1"/>
    <col min="2564" max="2565" width="13.875" style="3301" customWidth="1"/>
    <col min="2566" max="2566" width="6.25" style="3301" customWidth="1"/>
    <col min="2567" max="2567" width="7.875" style="3301" customWidth="1"/>
    <col min="2568" max="2568" width="13.5" style="3301" customWidth="1"/>
    <col min="2569" max="2570" width="9" style="3301" customWidth="1"/>
    <col min="2571" max="2572" width="10.625" style="3301" customWidth="1"/>
    <col min="2573" max="2573" width="14.375" style="3301" customWidth="1"/>
    <col min="2574" max="2574" width="6.25" style="3301" customWidth="1"/>
    <col min="2575" max="2575" width="26.125" style="3301" customWidth="1"/>
    <col min="2576" max="2576" width="7.875" style="3301" customWidth="1"/>
    <col min="2577" max="2816" width="9" style="3301"/>
    <col min="2817" max="2817" width="41.375" style="3301" customWidth="1"/>
    <col min="2818" max="2818" width="6.25" style="3301" customWidth="1"/>
    <col min="2819" max="2819" width="7.875" style="3301" customWidth="1"/>
    <col min="2820" max="2821" width="13.875" style="3301" customWidth="1"/>
    <col min="2822" max="2822" width="6.25" style="3301" customWidth="1"/>
    <col min="2823" max="2823" width="7.875" style="3301" customWidth="1"/>
    <col min="2824" max="2824" width="13.5" style="3301" customWidth="1"/>
    <col min="2825" max="2826" width="9" style="3301" customWidth="1"/>
    <col min="2827" max="2828" width="10.625" style="3301" customWidth="1"/>
    <col min="2829" max="2829" width="14.375" style="3301" customWidth="1"/>
    <col min="2830" max="2830" width="6.25" style="3301" customWidth="1"/>
    <col min="2831" max="2831" width="26.125" style="3301" customWidth="1"/>
    <col min="2832" max="2832" width="7.875" style="3301" customWidth="1"/>
    <col min="2833" max="3072" width="9" style="3301"/>
    <col min="3073" max="3073" width="41.375" style="3301" customWidth="1"/>
    <col min="3074" max="3074" width="6.25" style="3301" customWidth="1"/>
    <col min="3075" max="3075" width="7.875" style="3301" customWidth="1"/>
    <col min="3076" max="3077" width="13.875" style="3301" customWidth="1"/>
    <col min="3078" max="3078" width="6.25" style="3301" customWidth="1"/>
    <col min="3079" max="3079" width="7.875" style="3301" customWidth="1"/>
    <col min="3080" max="3080" width="13.5" style="3301" customWidth="1"/>
    <col min="3081" max="3082" width="9" style="3301" customWidth="1"/>
    <col min="3083" max="3084" width="10.625" style="3301" customWidth="1"/>
    <col min="3085" max="3085" width="14.375" style="3301" customWidth="1"/>
    <col min="3086" max="3086" width="6.25" style="3301" customWidth="1"/>
    <col min="3087" max="3087" width="26.125" style="3301" customWidth="1"/>
    <col min="3088" max="3088" width="7.875" style="3301" customWidth="1"/>
    <col min="3089" max="3328" width="9" style="3301"/>
    <col min="3329" max="3329" width="41.375" style="3301" customWidth="1"/>
    <col min="3330" max="3330" width="6.25" style="3301" customWidth="1"/>
    <col min="3331" max="3331" width="7.875" style="3301" customWidth="1"/>
    <col min="3332" max="3333" width="13.875" style="3301" customWidth="1"/>
    <col min="3334" max="3334" width="6.25" style="3301" customWidth="1"/>
    <col min="3335" max="3335" width="7.875" style="3301" customWidth="1"/>
    <col min="3336" max="3336" width="13.5" style="3301" customWidth="1"/>
    <col min="3337" max="3338" width="9" style="3301" customWidth="1"/>
    <col min="3339" max="3340" width="10.625" style="3301" customWidth="1"/>
    <col min="3341" max="3341" width="14.375" style="3301" customWidth="1"/>
    <col min="3342" max="3342" width="6.25" style="3301" customWidth="1"/>
    <col min="3343" max="3343" width="26.125" style="3301" customWidth="1"/>
    <col min="3344" max="3344" width="7.875" style="3301" customWidth="1"/>
    <col min="3345" max="3584" width="9" style="3301"/>
    <col min="3585" max="3585" width="41.375" style="3301" customWidth="1"/>
    <col min="3586" max="3586" width="6.25" style="3301" customWidth="1"/>
    <col min="3587" max="3587" width="7.875" style="3301" customWidth="1"/>
    <col min="3588" max="3589" width="13.875" style="3301" customWidth="1"/>
    <col min="3590" max="3590" width="6.25" style="3301" customWidth="1"/>
    <col min="3591" max="3591" width="7.875" style="3301" customWidth="1"/>
    <col min="3592" max="3592" width="13.5" style="3301" customWidth="1"/>
    <col min="3593" max="3594" width="9" style="3301" customWidth="1"/>
    <col min="3595" max="3596" width="10.625" style="3301" customWidth="1"/>
    <col min="3597" max="3597" width="14.375" style="3301" customWidth="1"/>
    <col min="3598" max="3598" width="6.25" style="3301" customWidth="1"/>
    <col min="3599" max="3599" width="26.125" style="3301" customWidth="1"/>
    <col min="3600" max="3600" width="7.875" style="3301" customWidth="1"/>
    <col min="3601" max="3840" width="9" style="3301"/>
    <col min="3841" max="3841" width="41.375" style="3301" customWidth="1"/>
    <col min="3842" max="3842" width="6.25" style="3301" customWidth="1"/>
    <col min="3843" max="3843" width="7.875" style="3301" customWidth="1"/>
    <col min="3844" max="3845" width="13.875" style="3301" customWidth="1"/>
    <col min="3846" max="3846" width="6.25" style="3301" customWidth="1"/>
    <col min="3847" max="3847" width="7.875" style="3301" customWidth="1"/>
    <col min="3848" max="3848" width="13.5" style="3301" customWidth="1"/>
    <col min="3849" max="3850" width="9" style="3301" customWidth="1"/>
    <col min="3851" max="3852" width="10.625" style="3301" customWidth="1"/>
    <col min="3853" max="3853" width="14.375" style="3301" customWidth="1"/>
    <col min="3854" max="3854" width="6.25" style="3301" customWidth="1"/>
    <col min="3855" max="3855" width="26.125" style="3301" customWidth="1"/>
    <col min="3856" max="3856" width="7.875" style="3301" customWidth="1"/>
    <col min="3857" max="4096" width="9" style="3301"/>
    <col min="4097" max="4097" width="41.375" style="3301" customWidth="1"/>
    <col min="4098" max="4098" width="6.25" style="3301" customWidth="1"/>
    <col min="4099" max="4099" width="7.875" style="3301" customWidth="1"/>
    <col min="4100" max="4101" width="13.875" style="3301" customWidth="1"/>
    <col min="4102" max="4102" width="6.25" style="3301" customWidth="1"/>
    <col min="4103" max="4103" width="7.875" style="3301" customWidth="1"/>
    <col min="4104" max="4104" width="13.5" style="3301" customWidth="1"/>
    <col min="4105" max="4106" width="9" style="3301" customWidth="1"/>
    <col min="4107" max="4108" width="10.625" style="3301" customWidth="1"/>
    <col min="4109" max="4109" width="14.375" style="3301" customWidth="1"/>
    <col min="4110" max="4110" width="6.25" style="3301" customWidth="1"/>
    <col min="4111" max="4111" width="26.125" style="3301" customWidth="1"/>
    <col min="4112" max="4112" width="7.875" style="3301" customWidth="1"/>
    <col min="4113" max="4352" width="9" style="3301"/>
    <col min="4353" max="4353" width="41.375" style="3301" customWidth="1"/>
    <col min="4354" max="4354" width="6.25" style="3301" customWidth="1"/>
    <col min="4355" max="4355" width="7.875" style="3301" customWidth="1"/>
    <col min="4356" max="4357" width="13.875" style="3301" customWidth="1"/>
    <col min="4358" max="4358" width="6.25" style="3301" customWidth="1"/>
    <col min="4359" max="4359" width="7.875" style="3301" customWidth="1"/>
    <col min="4360" max="4360" width="13.5" style="3301" customWidth="1"/>
    <col min="4361" max="4362" width="9" style="3301" customWidth="1"/>
    <col min="4363" max="4364" width="10.625" style="3301" customWidth="1"/>
    <col min="4365" max="4365" width="14.375" style="3301" customWidth="1"/>
    <col min="4366" max="4366" width="6.25" style="3301" customWidth="1"/>
    <col min="4367" max="4367" width="26.125" style="3301" customWidth="1"/>
    <col min="4368" max="4368" width="7.875" style="3301" customWidth="1"/>
    <col min="4369" max="4608" width="9" style="3301"/>
    <col min="4609" max="4609" width="41.375" style="3301" customWidth="1"/>
    <col min="4610" max="4610" width="6.25" style="3301" customWidth="1"/>
    <col min="4611" max="4611" width="7.875" style="3301" customWidth="1"/>
    <col min="4612" max="4613" width="13.875" style="3301" customWidth="1"/>
    <col min="4614" max="4614" width="6.25" style="3301" customWidth="1"/>
    <col min="4615" max="4615" width="7.875" style="3301" customWidth="1"/>
    <col min="4616" max="4616" width="13.5" style="3301" customWidth="1"/>
    <col min="4617" max="4618" width="9" style="3301" customWidth="1"/>
    <col min="4619" max="4620" width="10.625" style="3301" customWidth="1"/>
    <col min="4621" max="4621" width="14.375" style="3301" customWidth="1"/>
    <col min="4622" max="4622" width="6.25" style="3301" customWidth="1"/>
    <col min="4623" max="4623" width="26.125" style="3301" customWidth="1"/>
    <col min="4624" max="4624" width="7.875" style="3301" customWidth="1"/>
    <col min="4625" max="4864" width="9" style="3301"/>
    <col min="4865" max="4865" width="41.375" style="3301" customWidth="1"/>
    <col min="4866" max="4866" width="6.25" style="3301" customWidth="1"/>
    <col min="4867" max="4867" width="7.875" style="3301" customWidth="1"/>
    <col min="4868" max="4869" width="13.875" style="3301" customWidth="1"/>
    <col min="4870" max="4870" width="6.25" style="3301" customWidth="1"/>
    <col min="4871" max="4871" width="7.875" style="3301" customWidth="1"/>
    <col min="4872" max="4872" width="13.5" style="3301" customWidth="1"/>
    <col min="4873" max="4874" width="9" style="3301" customWidth="1"/>
    <col min="4875" max="4876" width="10.625" style="3301" customWidth="1"/>
    <col min="4877" max="4877" width="14.375" style="3301" customWidth="1"/>
    <col min="4878" max="4878" width="6.25" style="3301" customWidth="1"/>
    <col min="4879" max="4879" width="26.125" style="3301" customWidth="1"/>
    <col min="4880" max="4880" width="7.875" style="3301" customWidth="1"/>
    <col min="4881" max="5120" width="9" style="3301"/>
    <col min="5121" max="5121" width="41.375" style="3301" customWidth="1"/>
    <col min="5122" max="5122" width="6.25" style="3301" customWidth="1"/>
    <col min="5123" max="5123" width="7.875" style="3301" customWidth="1"/>
    <col min="5124" max="5125" width="13.875" style="3301" customWidth="1"/>
    <col min="5126" max="5126" width="6.25" style="3301" customWidth="1"/>
    <col min="5127" max="5127" width="7.875" style="3301" customWidth="1"/>
    <col min="5128" max="5128" width="13.5" style="3301" customWidth="1"/>
    <col min="5129" max="5130" width="9" style="3301" customWidth="1"/>
    <col min="5131" max="5132" width="10.625" style="3301" customWidth="1"/>
    <col min="5133" max="5133" width="14.375" style="3301" customWidth="1"/>
    <col min="5134" max="5134" width="6.25" style="3301" customWidth="1"/>
    <col min="5135" max="5135" width="26.125" style="3301" customWidth="1"/>
    <col min="5136" max="5136" width="7.875" style="3301" customWidth="1"/>
    <col min="5137" max="5376" width="9" style="3301"/>
    <col min="5377" max="5377" width="41.375" style="3301" customWidth="1"/>
    <col min="5378" max="5378" width="6.25" style="3301" customWidth="1"/>
    <col min="5379" max="5379" width="7.875" style="3301" customWidth="1"/>
    <col min="5380" max="5381" width="13.875" style="3301" customWidth="1"/>
    <col min="5382" max="5382" width="6.25" style="3301" customWidth="1"/>
    <col min="5383" max="5383" width="7.875" style="3301" customWidth="1"/>
    <col min="5384" max="5384" width="13.5" style="3301" customWidth="1"/>
    <col min="5385" max="5386" width="9" style="3301" customWidth="1"/>
    <col min="5387" max="5388" width="10.625" style="3301" customWidth="1"/>
    <col min="5389" max="5389" width="14.375" style="3301" customWidth="1"/>
    <col min="5390" max="5390" width="6.25" style="3301" customWidth="1"/>
    <col min="5391" max="5391" width="26.125" style="3301" customWidth="1"/>
    <col min="5392" max="5392" width="7.875" style="3301" customWidth="1"/>
    <col min="5393" max="5632" width="9" style="3301"/>
    <col min="5633" max="5633" width="41.375" style="3301" customWidth="1"/>
    <col min="5634" max="5634" width="6.25" style="3301" customWidth="1"/>
    <col min="5635" max="5635" width="7.875" style="3301" customWidth="1"/>
    <col min="5636" max="5637" width="13.875" style="3301" customWidth="1"/>
    <col min="5638" max="5638" width="6.25" style="3301" customWidth="1"/>
    <col min="5639" max="5639" width="7.875" style="3301" customWidth="1"/>
    <col min="5640" max="5640" width="13.5" style="3301" customWidth="1"/>
    <col min="5641" max="5642" width="9" style="3301" customWidth="1"/>
    <col min="5643" max="5644" width="10.625" style="3301" customWidth="1"/>
    <col min="5645" max="5645" width="14.375" style="3301" customWidth="1"/>
    <col min="5646" max="5646" width="6.25" style="3301" customWidth="1"/>
    <col min="5647" max="5647" width="26.125" style="3301" customWidth="1"/>
    <col min="5648" max="5648" width="7.875" style="3301" customWidth="1"/>
    <col min="5649" max="5888" width="9" style="3301"/>
    <col min="5889" max="5889" width="41.375" style="3301" customWidth="1"/>
    <col min="5890" max="5890" width="6.25" style="3301" customWidth="1"/>
    <col min="5891" max="5891" width="7.875" style="3301" customWidth="1"/>
    <col min="5892" max="5893" width="13.875" style="3301" customWidth="1"/>
    <col min="5894" max="5894" width="6.25" style="3301" customWidth="1"/>
    <col min="5895" max="5895" width="7.875" style="3301" customWidth="1"/>
    <col min="5896" max="5896" width="13.5" style="3301" customWidth="1"/>
    <col min="5897" max="5898" width="9" style="3301" customWidth="1"/>
    <col min="5899" max="5900" width="10.625" style="3301" customWidth="1"/>
    <col min="5901" max="5901" width="14.375" style="3301" customWidth="1"/>
    <col min="5902" max="5902" width="6.25" style="3301" customWidth="1"/>
    <col min="5903" max="5903" width="26.125" style="3301" customWidth="1"/>
    <col min="5904" max="5904" width="7.875" style="3301" customWidth="1"/>
    <col min="5905" max="6144" width="9" style="3301"/>
    <col min="6145" max="6145" width="41.375" style="3301" customWidth="1"/>
    <col min="6146" max="6146" width="6.25" style="3301" customWidth="1"/>
    <col min="6147" max="6147" width="7.875" style="3301" customWidth="1"/>
    <col min="6148" max="6149" width="13.875" style="3301" customWidth="1"/>
    <col min="6150" max="6150" width="6.25" style="3301" customWidth="1"/>
    <col min="6151" max="6151" width="7.875" style="3301" customWidth="1"/>
    <col min="6152" max="6152" width="13.5" style="3301" customWidth="1"/>
    <col min="6153" max="6154" width="9" style="3301" customWidth="1"/>
    <col min="6155" max="6156" width="10.625" style="3301" customWidth="1"/>
    <col min="6157" max="6157" width="14.375" style="3301" customWidth="1"/>
    <col min="6158" max="6158" width="6.25" style="3301" customWidth="1"/>
    <col min="6159" max="6159" width="26.125" style="3301" customWidth="1"/>
    <col min="6160" max="6160" width="7.875" style="3301" customWidth="1"/>
    <col min="6161" max="6400" width="9" style="3301"/>
    <col min="6401" max="6401" width="41.375" style="3301" customWidth="1"/>
    <col min="6402" max="6402" width="6.25" style="3301" customWidth="1"/>
    <col min="6403" max="6403" width="7.875" style="3301" customWidth="1"/>
    <col min="6404" max="6405" width="13.875" style="3301" customWidth="1"/>
    <col min="6406" max="6406" width="6.25" style="3301" customWidth="1"/>
    <col min="6407" max="6407" width="7.875" style="3301" customWidth="1"/>
    <col min="6408" max="6408" width="13.5" style="3301" customWidth="1"/>
    <col min="6409" max="6410" width="9" style="3301" customWidth="1"/>
    <col min="6411" max="6412" width="10.625" style="3301" customWidth="1"/>
    <col min="6413" max="6413" width="14.375" style="3301" customWidth="1"/>
    <col min="6414" max="6414" width="6.25" style="3301" customWidth="1"/>
    <col min="6415" max="6415" width="26.125" style="3301" customWidth="1"/>
    <col min="6416" max="6416" width="7.875" style="3301" customWidth="1"/>
    <col min="6417" max="6656" width="9" style="3301"/>
    <col min="6657" max="6657" width="41.375" style="3301" customWidth="1"/>
    <col min="6658" max="6658" width="6.25" style="3301" customWidth="1"/>
    <col min="6659" max="6659" width="7.875" style="3301" customWidth="1"/>
    <col min="6660" max="6661" width="13.875" style="3301" customWidth="1"/>
    <col min="6662" max="6662" width="6.25" style="3301" customWidth="1"/>
    <col min="6663" max="6663" width="7.875" style="3301" customWidth="1"/>
    <col min="6664" max="6664" width="13.5" style="3301" customWidth="1"/>
    <col min="6665" max="6666" width="9" style="3301" customWidth="1"/>
    <col min="6667" max="6668" width="10.625" style="3301" customWidth="1"/>
    <col min="6669" max="6669" width="14.375" style="3301" customWidth="1"/>
    <col min="6670" max="6670" width="6.25" style="3301" customWidth="1"/>
    <col min="6671" max="6671" width="26.125" style="3301" customWidth="1"/>
    <col min="6672" max="6672" width="7.875" style="3301" customWidth="1"/>
    <col min="6673" max="6912" width="9" style="3301"/>
    <col min="6913" max="6913" width="41.375" style="3301" customWidth="1"/>
    <col min="6914" max="6914" width="6.25" style="3301" customWidth="1"/>
    <col min="6915" max="6915" width="7.875" style="3301" customWidth="1"/>
    <col min="6916" max="6917" width="13.875" style="3301" customWidth="1"/>
    <col min="6918" max="6918" width="6.25" style="3301" customWidth="1"/>
    <col min="6919" max="6919" width="7.875" style="3301" customWidth="1"/>
    <col min="6920" max="6920" width="13.5" style="3301" customWidth="1"/>
    <col min="6921" max="6922" width="9" style="3301" customWidth="1"/>
    <col min="6923" max="6924" width="10.625" style="3301" customWidth="1"/>
    <col min="6925" max="6925" width="14.375" style="3301" customWidth="1"/>
    <col min="6926" max="6926" width="6.25" style="3301" customWidth="1"/>
    <col min="6927" max="6927" width="26.125" style="3301" customWidth="1"/>
    <col min="6928" max="6928" width="7.875" style="3301" customWidth="1"/>
    <col min="6929" max="7168" width="9" style="3301"/>
    <col min="7169" max="7169" width="41.375" style="3301" customWidth="1"/>
    <col min="7170" max="7170" width="6.25" style="3301" customWidth="1"/>
    <col min="7171" max="7171" width="7.875" style="3301" customWidth="1"/>
    <col min="7172" max="7173" width="13.875" style="3301" customWidth="1"/>
    <col min="7174" max="7174" width="6.25" style="3301" customWidth="1"/>
    <col min="7175" max="7175" width="7.875" style="3301" customWidth="1"/>
    <col min="7176" max="7176" width="13.5" style="3301" customWidth="1"/>
    <col min="7177" max="7178" width="9" style="3301" customWidth="1"/>
    <col min="7179" max="7180" width="10.625" style="3301" customWidth="1"/>
    <col min="7181" max="7181" width="14.375" style="3301" customWidth="1"/>
    <col min="7182" max="7182" width="6.25" style="3301" customWidth="1"/>
    <col min="7183" max="7183" width="26.125" style="3301" customWidth="1"/>
    <col min="7184" max="7184" width="7.875" style="3301" customWidth="1"/>
    <col min="7185" max="7424" width="9" style="3301"/>
    <col min="7425" max="7425" width="41.375" style="3301" customWidth="1"/>
    <col min="7426" max="7426" width="6.25" style="3301" customWidth="1"/>
    <col min="7427" max="7427" width="7.875" style="3301" customWidth="1"/>
    <col min="7428" max="7429" width="13.875" style="3301" customWidth="1"/>
    <col min="7430" max="7430" width="6.25" style="3301" customWidth="1"/>
    <col min="7431" max="7431" width="7.875" style="3301" customWidth="1"/>
    <col min="7432" max="7432" width="13.5" style="3301" customWidth="1"/>
    <col min="7433" max="7434" width="9" style="3301" customWidth="1"/>
    <col min="7435" max="7436" width="10.625" style="3301" customWidth="1"/>
    <col min="7437" max="7437" width="14.375" style="3301" customWidth="1"/>
    <col min="7438" max="7438" width="6.25" style="3301" customWidth="1"/>
    <col min="7439" max="7439" width="26.125" style="3301" customWidth="1"/>
    <col min="7440" max="7440" width="7.875" style="3301" customWidth="1"/>
    <col min="7441" max="7680" width="9" style="3301"/>
    <col min="7681" max="7681" width="41.375" style="3301" customWidth="1"/>
    <col min="7682" max="7682" width="6.25" style="3301" customWidth="1"/>
    <col min="7683" max="7683" width="7.875" style="3301" customWidth="1"/>
    <col min="7684" max="7685" width="13.875" style="3301" customWidth="1"/>
    <col min="7686" max="7686" width="6.25" style="3301" customWidth="1"/>
    <col min="7687" max="7687" width="7.875" style="3301" customWidth="1"/>
    <col min="7688" max="7688" width="13.5" style="3301" customWidth="1"/>
    <col min="7689" max="7690" width="9" style="3301" customWidth="1"/>
    <col min="7691" max="7692" width="10.625" style="3301" customWidth="1"/>
    <col min="7693" max="7693" width="14.375" style="3301" customWidth="1"/>
    <col min="7694" max="7694" width="6.25" style="3301" customWidth="1"/>
    <col min="7695" max="7695" width="26.125" style="3301" customWidth="1"/>
    <col min="7696" max="7696" width="7.875" style="3301" customWidth="1"/>
    <col min="7697" max="7936" width="9" style="3301"/>
    <col min="7937" max="7937" width="41.375" style="3301" customWidth="1"/>
    <col min="7938" max="7938" width="6.25" style="3301" customWidth="1"/>
    <col min="7939" max="7939" width="7.875" style="3301" customWidth="1"/>
    <col min="7940" max="7941" width="13.875" style="3301" customWidth="1"/>
    <col min="7942" max="7942" width="6.25" style="3301" customWidth="1"/>
    <col min="7943" max="7943" width="7.875" style="3301" customWidth="1"/>
    <col min="7944" max="7944" width="13.5" style="3301" customWidth="1"/>
    <col min="7945" max="7946" width="9" style="3301" customWidth="1"/>
    <col min="7947" max="7948" width="10.625" style="3301" customWidth="1"/>
    <col min="7949" max="7949" width="14.375" style="3301" customWidth="1"/>
    <col min="7950" max="7950" width="6.25" style="3301" customWidth="1"/>
    <col min="7951" max="7951" width="26.125" style="3301" customWidth="1"/>
    <col min="7952" max="7952" width="7.875" style="3301" customWidth="1"/>
    <col min="7953" max="8192" width="9" style="3301"/>
    <col min="8193" max="8193" width="41.375" style="3301" customWidth="1"/>
    <col min="8194" max="8194" width="6.25" style="3301" customWidth="1"/>
    <col min="8195" max="8195" width="7.875" style="3301" customWidth="1"/>
    <col min="8196" max="8197" width="13.875" style="3301" customWidth="1"/>
    <col min="8198" max="8198" width="6.25" style="3301" customWidth="1"/>
    <col min="8199" max="8199" width="7.875" style="3301" customWidth="1"/>
    <col min="8200" max="8200" width="13.5" style="3301" customWidth="1"/>
    <col min="8201" max="8202" width="9" style="3301" customWidth="1"/>
    <col min="8203" max="8204" width="10.625" style="3301" customWidth="1"/>
    <col min="8205" max="8205" width="14.375" style="3301" customWidth="1"/>
    <col min="8206" max="8206" width="6.25" style="3301" customWidth="1"/>
    <col min="8207" max="8207" width="26.125" style="3301" customWidth="1"/>
    <col min="8208" max="8208" width="7.875" style="3301" customWidth="1"/>
    <col min="8209" max="8448" width="9" style="3301"/>
    <col min="8449" max="8449" width="41.375" style="3301" customWidth="1"/>
    <col min="8450" max="8450" width="6.25" style="3301" customWidth="1"/>
    <col min="8451" max="8451" width="7.875" style="3301" customWidth="1"/>
    <col min="8452" max="8453" width="13.875" style="3301" customWidth="1"/>
    <col min="8454" max="8454" width="6.25" style="3301" customWidth="1"/>
    <col min="8455" max="8455" width="7.875" style="3301" customWidth="1"/>
    <col min="8456" max="8456" width="13.5" style="3301" customWidth="1"/>
    <col min="8457" max="8458" width="9" style="3301" customWidth="1"/>
    <col min="8459" max="8460" width="10.625" style="3301" customWidth="1"/>
    <col min="8461" max="8461" width="14.375" style="3301" customWidth="1"/>
    <col min="8462" max="8462" width="6.25" style="3301" customWidth="1"/>
    <col min="8463" max="8463" width="26.125" style="3301" customWidth="1"/>
    <col min="8464" max="8464" width="7.875" style="3301" customWidth="1"/>
    <col min="8465" max="8704" width="9" style="3301"/>
    <col min="8705" max="8705" width="41.375" style="3301" customWidth="1"/>
    <col min="8706" max="8706" width="6.25" style="3301" customWidth="1"/>
    <col min="8707" max="8707" width="7.875" style="3301" customWidth="1"/>
    <col min="8708" max="8709" width="13.875" style="3301" customWidth="1"/>
    <col min="8710" max="8710" width="6.25" style="3301" customWidth="1"/>
    <col min="8711" max="8711" width="7.875" style="3301" customWidth="1"/>
    <col min="8712" max="8712" width="13.5" style="3301" customWidth="1"/>
    <col min="8713" max="8714" width="9" style="3301" customWidth="1"/>
    <col min="8715" max="8716" width="10.625" style="3301" customWidth="1"/>
    <col min="8717" max="8717" width="14.375" style="3301" customWidth="1"/>
    <col min="8718" max="8718" width="6.25" style="3301" customWidth="1"/>
    <col min="8719" max="8719" width="26.125" style="3301" customWidth="1"/>
    <col min="8720" max="8720" width="7.875" style="3301" customWidth="1"/>
    <col min="8721" max="8960" width="9" style="3301"/>
    <col min="8961" max="8961" width="41.375" style="3301" customWidth="1"/>
    <col min="8962" max="8962" width="6.25" style="3301" customWidth="1"/>
    <col min="8963" max="8963" width="7.875" style="3301" customWidth="1"/>
    <col min="8964" max="8965" width="13.875" style="3301" customWidth="1"/>
    <col min="8966" max="8966" width="6.25" style="3301" customWidth="1"/>
    <col min="8967" max="8967" width="7.875" style="3301" customWidth="1"/>
    <col min="8968" max="8968" width="13.5" style="3301" customWidth="1"/>
    <col min="8969" max="8970" width="9" style="3301" customWidth="1"/>
    <col min="8971" max="8972" width="10.625" style="3301" customWidth="1"/>
    <col min="8973" max="8973" width="14.375" style="3301" customWidth="1"/>
    <col min="8974" max="8974" width="6.25" style="3301" customWidth="1"/>
    <col min="8975" max="8975" width="26.125" style="3301" customWidth="1"/>
    <col min="8976" max="8976" width="7.875" style="3301" customWidth="1"/>
    <col min="8977" max="9216" width="9" style="3301"/>
    <col min="9217" max="9217" width="41.375" style="3301" customWidth="1"/>
    <col min="9218" max="9218" width="6.25" style="3301" customWidth="1"/>
    <col min="9219" max="9219" width="7.875" style="3301" customWidth="1"/>
    <col min="9220" max="9221" width="13.875" style="3301" customWidth="1"/>
    <col min="9222" max="9222" width="6.25" style="3301" customWidth="1"/>
    <col min="9223" max="9223" width="7.875" style="3301" customWidth="1"/>
    <col min="9224" max="9224" width="13.5" style="3301" customWidth="1"/>
    <col min="9225" max="9226" width="9" style="3301" customWidth="1"/>
    <col min="9227" max="9228" width="10.625" style="3301" customWidth="1"/>
    <col min="9229" max="9229" width="14.375" style="3301" customWidth="1"/>
    <col min="9230" max="9230" width="6.25" style="3301" customWidth="1"/>
    <col min="9231" max="9231" width="26.125" style="3301" customWidth="1"/>
    <col min="9232" max="9232" width="7.875" style="3301" customWidth="1"/>
    <col min="9233" max="9472" width="9" style="3301"/>
    <col min="9473" max="9473" width="41.375" style="3301" customWidth="1"/>
    <col min="9474" max="9474" width="6.25" style="3301" customWidth="1"/>
    <col min="9475" max="9475" width="7.875" style="3301" customWidth="1"/>
    <col min="9476" max="9477" width="13.875" style="3301" customWidth="1"/>
    <col min="9478" max="9478" width="6.25" style="3301" customWidth="1"/>
    <col min="9479" max="9479" width="7.875" style="3301" customWidth="1"/>
    <col min="9480" max="9480" width="13.5" style="3301" customWidth="1"/>
    <col min="9481" max="9482" width="9" style="3301" customWidth="1"/>
    <col min="9483" max="9484" width="10.625" style="3301" customWidth="1"/>
    <col min="9485" max="9485" width="14.375" style="3301" customWidth="1"/>
    <col min="9486" max="9486" width="6.25" style="3301" customWidth="1"/>
    <col min="9487" max="9487" width="26.125" style="3301" customWidth="1"/>
    <col min="9488" max="9488" width="7.875" style="3301" customWidth="1"/>
    <col min="9489" max="9728" width="9" style="3301"/>
    <col min="9729" max="9729" width="41.375" style="3301" customWidth="1"/>
    <col min="9730" max="9730" width="6.25" style="3301" customWidth="1"/>
    <col min="9731" max="9731" width="7.875" style="3301" customWidth="1"/>
    <col min="9732" max="9733" width="13.875" style="3301" customWidth="1"/>
    <col min="9734" max="9734" width="6.25" style="3301" customWidth="1"/>
    <col min="9735" max="9735" width="7.875" style="3301" customWidth="1"/>
    <col min="9736" max="9736" width="13.5" style="3301" customWidth="1"/>
    <col min="9737" max="9738" width="9" style="3301" customWidth="1"/>
    <col min="9739" max="9740" width="10.625" style="3301" customWidth="1"/>
    <col min="9741" max="9741" width="14.375" style="3301" customWidth="1"/>
    <col min="9742" max="9742" width="6.25" style="3301" customWidth="1"/>
    <col min="9743" max="9743" width="26.125" style="3301" customWidth="1"/>
    <col min="9744" max="9744" width="7.875" style="3301" customWidth="1"/>
    <col min="9745" max="9984" width="9" style="3301"/>
    <col min="9985" max="9985" width="41.375" style="3301" customWidth="1"/>
    <col min="9986" max="9986" width="6.25" style="3301" customWidth="1"/>
    <col min="9987" max="9987" width="7.875" style="3301" customWidth="1"/>
    <col min="9988" max="9989" width="13.875" style="3301" customWidth="1"/>
    <col min="9990" max="9990" width="6.25" style="3301" customWidth="1"/>
    <col min="9991" max="9991" width="7.875" style="3301" customWidth="1"/>
    <col min="9992" max="9992" width="13.5" style="3301" customWidth="1"/>
    <col min="9993" max="9994" width="9" style="3301" customWidth="1"/>
    <col min="9995" max="9996" width="10.625" style="3301" customWidth="1"/>
    <col min="9997" max="9997" width="14.375" style="3301" customWidth="1"/>
    <col min="9998" max="9998" width="6.25" style="3301" customWidth="1"/>
    <col min="9999" max="9999" width="26.125" style="3301" customWidth="1"/>
    <col min="10000" max="10000" width="7.875" style="3301" customWidth="1"/>
    <col min="10001" max="10240" width="9" style="3301"/>
    <col min="10241" max="10241" width="41.375" style="3301" customWidth="1"/>
    <col min="10242" max="10242" width="6.25" style="3301" customWidth="1"/>
    <col min="10243" max="10243" width="7.875" style="3301" customWidth="1"/>
    <col min="10244" max="10245" width="13.875" style="3301" customWidth="1"/>
    <col min="10246" max="10246" width="6.25" style="3301" customWidth="1"/>
    <col min="10247" max="10247" width="7.875" style="3301" customWidth="1"/>
    <col min="10248" max="10248" width="13.5" style="3301" customWidth="1"/>
    <col min="10249" max="10250" width="9" style="3301" customWidth="1"/>
    <col min="10251" max="10252" width="10.625" style="3301" customWidth="1"/>
    <col min="10253" max="10253" width="14.375" style="3301" customWidth="1"/>
    <col min="10254" max="10254" width="6.25" style="3301" customWidth="1"/>
    <col min="10255" max="10255" width="26.125" style="3301" customWidth="1"/>
    <col min="10256" max="10256" width="7.875" style="3301" customWidth="1"/>
    <col min="10257" max="10496" width="9" style="3301"/>
    <col min="10497" max="10497" width="41.375" style="3301" customWidth="1"/>
    <col min="10498" max="10498" width="6.25" style="3301" customWidth="1"/>
    <col min="10499" max="10499" width="7.875" style="3301" customWidth="1"/>
    <col min="10500" max="10501" width="13.875" style="3301" customWidth="1"/>
    <col min="10502" max="10502" width="6.25" style="3301" customWidth="1"/>
    <col min="10503" max="10503" width="7.875" style="3301" customWidth="1"/>
    <col min="10504" max="10504" width="13.5" style="3301" customWidth="1"/>
    <col min="10505" max="10506" width="9" style="3301" customWidth="1"/>
    <col min="10507" max="10508" width="10.625" style="3301" customWidth="1"/>
    <col min="10509" max="10509" width="14.375" style="3301" customWidth="1"/>
    <col min="10510" max="10510" width="6.25" style="3301" customWidth="1"/>
    <col min="10511" max="10511" width="26.125" style="3301" customWidth="1"/>
    <col min="10512" max="10512" width="7.875" style="3301" customWidth="1"/>
    <col min="10513" max="10752" width="9" style="3301"/>
    <col min="10753" max="10753" width="41.375" style="3301" customWidth="1"/>
    <col min="10754" max="10754" width="6.25" style="3301" customWidth="1"/>
    <col min="10755" max="10755" width="7.875" style="3301" customWidth="1"/>
    <col min="10756" max="10757" width="13.875" style="3301" customWidth="1"/>
    <col min="10758" max="10758" width="6.25" style="3301" customWidth="1"/>
    <col min="10759" max="10759" width="7.875" style="3301" customWidth="1"/>
    <col min="10760" max="10760" width="13.5" style="3301" customWidth="1"/>
    <col min="10761" max="10762" width="9" style="3301" customWidth="1"/>
    <col min="10763" max="10764" width="10.625" style="3301" customWidth="1"/>
    <col min="10765" max="10765" width="14.375" style="3301" customWidth="1"/>
    <col min="10766" max="10766" width="6.25" style="3301" customWidth="1"/>
    <col min="10767" max="10767" width="26.125" style="3301" customWidth="1"/>
    <col min="10768" max="10768" width="7.875" style="3301" customWidth="1"/>
    <col min="10769" max="11008" width="9" style="3301"/>
    <col min="11009" max="11009" width="41.375" style="3301" customWidth="1"/>
    <col min="11010" max="11010" width="6.25" style="3301" customWidth="1"/>
    <col min="11011" max="11011" width="7.875" style="3301" customWidth="1"/>
    <col min="11012" max="11013" width="13.875" style="3301" customWidth="1"/>
    <col min="11014" max="11014" width="6.25" style="3301" customWidth="1"/>
    <col min="11015" max="11015" width="7.875" style="3301" customWidth="1"/>
    <col min="11016" max="11016" width="13.5" style="3301" customWidth="1"/>
    <col min="11017" max="11018" width="9" style="3301" customWidth="1"/>
    <col min="11019" max="11020" width="10.625" style="3301" customWidth="1"/>
    <col min="11021" max="11021" width="14.375" style="3301" customWidth="1"/>
    <col min="11022" max="11022" width="6.25" style="3301" customWidth="1"/>
    <col min="11023" max="11023" width="26.125" style="3301" customWidth="1"/>
    <col min="11024" max="11024" width="7.875" style="3301" customWidth="1"/>
    <col min="11025" max="11264" width="9" style="3301"/>
    <col min="11265" max="11265" width="41.375" style="3301" customWidth="1"/>
    <col min="11266" max="11266" width="6.25" style="3301" customWidth="1"/>
    <col min="11267" max="11267" width="7.875" style="3301" customWidth="1"/>
    <col min="11268" max="11269" width="13.875" style="3301" customWidth="1"/>
    <col min="11270" max="11270" width="6.25" style="3301" customWidth="1"/>
    <col min="11271" max="11271" width="7.875" style="3301" customWidth="1"/>
    <col min="11272" max="11272" width="13.5" style="3301" customWidth="1"/>
    <col min="11273" max="11274" width="9" style="3301" customWidth="1"/>
    <col min="11275" max="11276" width="10.625" style="3301" customWidth="1"/>
    <col min="11277" max="11277" width="14.375" style="3301" customWidth="1"/>
    <col min="11278" max="11278" width="6.25" style="3301" customWidth="1"/>
    <col min="11279" max="11279" width="26.125" style="3301" customWidth="1"/>
    <col min="11280" max="11280" width="7.875" style="3301" customWidth="1"/>
    <col min="11281" max="11520" width="9" style="3301"/>
    <col min="11521" max="11521" width="41.375" style="3301" customWidth="1"/>
    <col min="11522" max="11522" width="6.25" style="3301" customWidth="1"/>
    <col min="11523" max="11523" width="7.875" style="3301" customWidth="1"/>
    <col min="11524" max="11525" width="13.875" style="3301" customWidth="1"/>
    <col min="11526" max="11526" width="6.25" style="3301" customWidth="1"/>
    <col min="11527" max="11527" width="7.875" style="3301" customWidth="1"/>
    <col min="11528" max="11528" width="13.5" style="3301" customWidth="1"/>
    <col min="11529" max="11530" width="9" style="3301" customWidth="1"/>
    <col min="11531" max="11532" width="10.625" style="3301" customWidth="1"/>
    <col min="11533" max="11533" width="14.375" style="3301" customWidth="1"/>
    <col min="11534" max="11534" width="6.25" style="3301" customWidth="1"/>
    <col min="11535" max="11535" width="26.125" style="3301" customWidth="1"/>
    <col min="11536" max="11536" width="7.875" style="3301" customWidth="1"/>
    <col min="11537" max="11776" width="9" style="3301"/>
    <col min="11777" max="11777" width="41.375" style="3301" customWidth="1"/>
    <col min="11778" max="11778" width="6.25" style="3301" customWidth="1"/>
    <col min="11779" max="11779" width="7.875" style="3301" customWidth="1"/>
    <col min="11780" max="11781" width="13.875" style="3301" customWidth="1"/>
    <col min="11782" max="11782" width="6.25" style="3301" customWidth="1"/>
    <col min="11783" max="11783" width="7.875" style="3301" customWidth="1"/>
    <col min="11784" max="11784" width="13.5" style="3301" customWidth="1"/>
    <col min="11785" max="11786" width="9" style="3301" customWidth="1"/>
    <col min="11787" max="11788" width="10.625" style="3301" customWidth="1"/>
    <col min="11789" max="11789" width="14.375" style="3301" customWidth="1"/>
    <col min="11790" max="11790" width="6.25" style="3301" customWidth="1"/>
    <col min="11791" max="11791" width="26.125" style="3301" customWidth="1"/>
    <col min="11792" max="11792" width="7.875" style="3301" customWidth="1"/>
    <col min="11793" max="12032" width="9" style="3301"/>
    <col min="12033" max="12033" width="41.375" style="3301" customWidth="1"/>
    <col min="12034" max="12034" width="6.25" style="3301" customWidth="1"/>
    <col min="12035" max="12035" width="7.875" style="3301" customWidth="1"/>
    <col min="12036" max="12037" width="13.875" style="3301" customWidth="1"/>
    <col min="12038" max="12038" width="6.25" style="3301" customWidth="1"/>
    <col min="12039" max="12039" width="7.875" style="3301" customWidth="1"/>
    <col min="12040" max="12040" width="13.5" style="3301" customWidth="1"/>
    <col min="12041" max="12042" width="9" style="3301" customWidth="1"/>
    <col min="12043" max="12044" width="10.625" style="3301" customWidth="1"/>
    <col min="12045" max="12045" width="14.375" style="3301" customWidth="1"/>
    <col min="12046" max="12046" width="6.25" style="3301" customWidth="1"/>
    <col min="12047" max="12047" width="26.125" style="3301" customWidth="1"/>
    <col min="12048" max="12048" width="7.875" style="3301" customWidth="1"/>
    <col min="12049" max="12288" width="9" style="3301"/>
    <col min="12289" max="12289" width="41.375" style="3301" customWidth="1"/>
    <col min="12290" max="12290" width="6.25" style="3301" customWidth="1"/>
    <col min="12291" max="12291" width="7.875" style="3301" customWidth="1"/>
    <col min="12292" max="12293" width="13.875" style="3301" customWidth="1"/>
    <col min="12294" max="12294" width="6.25" style="3301" customWidth="1"/>
    <col min="12295" max="12295" width="7.875" style="3301" customWidth="1"/>
    <col min="12296" max="12296" width="13.5" style="3301" customWidth="1"/>
    <col min="12297" max="12298" width="9" style="3301" customWidth="1"/>
    <col min="12299" max="12300" width="10.625" style="3301" customWidth="1"/>
    <col min="12301" max="12301" width="14.375" style="3301" customWidth="1"/>
    <col min="12302" max="12302" width="6.25" style="3301" customWidth="1"/>
    <col min="12303" max="12303" width="26.125" style="3301" customWidth="1"/>
    <col min="12304" max="12304" width="7.875" style="3301" customWidth="1"/>
    <col min="12305" max="12544" width="9" style="3301"/>
    <col min="12545" max="12545" width="41.375" style="3301" customWidth="1"/>
    <col min="12546" max="12546" width="6.25" style="3301" customWidth="1"/>
    <col min="12547" max="12547" width="7.875" style="3301" customWidth="1"/>
    <col min="12548" max="12549" width="13.875" style="3301" customWidth="1"/>
    <col min="12550" max="12550" width="6.25" style="3301" customWidth="1"/>
    <col min="12551" max="12551" width="7.875" style="3301" customWidth="1"/>
    <col min="12552" max="12552" width="13.5" style="3301" customWidth="1"/>
    <col min="12553" max="12554" width="9" style="3301" customWidth="1"/>
    <col min="12555" max="12556" width="10.625" style="3301" customWidth="1"/>
    <col min="12557" max="12557" width="14.375" style="3301" customWidth="1"/>
    <col min="12558" max="12558" width="6.25" style="3301" customWidth="1"/>
    <col min="12559" max="12559" width="26.125" style="3301" customWidth="1"/>
    <col min="12560" max="12560" width="7.875" style="3301" customWidth="1"/>
    <col min="12561" max="12800" width="9" style="3301"/>
    <col min="12801" max="12801" width="41.375" style="3301" customWidth="1"/>
    <col min="12802" max="12802" width="6.25" style="3301" customWidth="1"/>
    <col min="12803" max="12803" width="7.875" style="3301" customWidth="1"/>
    <col min="12804" max="12805" width="13.875" style="3301" customWidth="1"/>
    <col min="12806" max="12806" width="6.25" style="3301" customWidth="1"/>
    <col min="12807" max="12807" width="7.875" style="3301" customWidth="1"/>
    <col min="12808" max="12808" width="13.5" style="3301" customWidth="1"/>
    <col min="12809" max="12810" width="9" style="3301" customWidth="1"/>
    <col min="12811" max="12812" width="10.625" style="3301" customWidth="1"/>
    <col min="12813" max="12813" width="14.375" style="3301" customWidth="1"/>
    <col min="12814" max="12814" width="6.25" style="3301" customWidth="1"/>
    <col min="12815" max="12815" width="26.125" style="3301" customWidth="1"/>
    <col min="12816" max="12816" width="7.875" style="3301" customWidth="1"/>
    <col min="12817" max="13056" width="9" style="3301"/>
    <col min="13057" max="13057" width="41.375" style="3301" customWidth="1"/>
    <col min="13058" max="13058" width="6.25" style="3301" customWidth="1"/>
    <col min="13059" max="13059" width="7.875" style="3301" customWidth="1"/>
    <col min="13060" max="13061" width="13.875" style="3301" customWidth="1"/>
    <col min="13062" max="13062" width="6.25" style="3301" customWidth="1"/>
    <col min="13063" max="13063" width="7.875" style="3301" customWidth="1"/>
    <col min="13064" max="13064" width="13.5" style="3301" customWidth="1"/>
    <col min="13065" max="13066" width="9" style="3301" customWidth="1"/>
    <col min="13067" max="13068" width="10.625" style="3301" customWidth="1"/>
    <col min="13069" max="13069" width="14.375" style="3301" customWidth="1"/>
    <col min="13070" max="13070" width="6.25" style="3301" customWidth="1"/>
    <col min="13071" max="13071" width="26.125" style="3301" customWidth="1"/>
    <col min="13072" max="13072" width="7.875" style="3301" customWidth="1"/>
    <col min="13073" max="13312" width="9" style="3301"/>
    <col min="13313" max="13313" width="41.375" style="3301" customWidth="1"/>
    <col min="13314" max="13314" width="6.25" style="3301" customWidth="1"/>
    <col min="13315" max="13315" width="7.875" style="3301" customWidth="1"/>
    <col min="13316" max="13317" width="13.875" style="3301" customWidth="1"/>
    <col min="13318" max="13318" width="6.25" style="3301" customWidth="1"/>
    <col min="13319" max="13319" width="7.875" style="3301" customWidth="1"/>
    <col min="13320" max="13320" width="13.5" style="3301" customWidth="1"/>
    <col min="13321" max="13322" width="9" style="3301" customWidth="1"/>
    <col min="13323" max="13324" width="10.625" style="3301" customWidth="1"/>
    <col min="13325" max="13325" width="14.375" style="3301" customWidth="1"/>
    <col min="13326" max="13326" width="6.25" style="3301" customWidth="1"/>
    <col min="13327" max="13327" width="26.125" style="3301" customWidth="1"/>
    <col min="13328" max="13328" width="7.875" style="3301" customWidth="1"/>
    <col min="13329" max="13568" width="9" style="3301"/>
    <col min="13569" max="13569" width="41.375" style="3301" customWidth="1"/>
    <col min="13570" max="13570" width="6.25" style="3301" customWidth="1"/>
    <col min="13571" max="13571" width="7.875" style="3301" customWidth="1"/>
    <col min="13572" max="13573" width="13.875" style="3301" customWidth="1"/>
    <col min="13574" max="13574" width="6.25" style="3301" customWidth="1"/>
    <col min="13575" max="13575" width="7.875" style="3301" customWidth="1"/>
    <col min="13576" max="13576" width="13.5" style="3301" customWidth="1"/>
    <col min="13577" max="13578" width="9" style="3301" customWidth="1"/>
    <col min="13579" max="13580" width="10.625" style="3301" customWidth="1"/>
    <col min="13581" max="13581" width="14.375" style="3301" customWidth="1"/>
    <col min="13582" max="13582" width="6.25" style="3301" customWidth="1"/>
    <col min="13583" max="13583" width="26.125" style="3301" customWidth="1"/>
    <col min="13584" max="13584" width="7.875" style="3301" customWidth="1"/>
    <col min="13585" max="13824" width="9" style="3301"/>
    <col min="13825" max="13825" width="41.375" style="3301" customWidth="1"/>
    <col min="13826" max="13826" width="6.25" style="3301" customWidth="1"/>
    <col min="13827" max="13827" width="7.875" style="3301" customWidth="1"/>
    <col min="13828" max="13829" width="13.875" style="3301" customWidth="1"/>
    <col min="13830" max="13830" width="6.25" style="3301" customWidth="1"/>
    <col min="13831" max="13831" width="7.875" style="3301" customWidth="1"/>
    <col min="13832" max="13832" width="13.5" style="3301" customWidth="1"/>
    <col min="13833" max="13834" width="9" style="3301" customWidth="1"/>
    <col min="13835" max="13836" width="10.625" style="3301" customWidth="1"/>
    <col min="13837" max="13837" width="14.375" style="3301" customWidth="1"/>
    <col min="13838" max="13838" width="6.25" style="3301" customWidth="1"/>
    <col min="13839" max="13839" width="26.125" style="3301" customWidth="1"/>
    <col min="13840" max="13840" width="7.875" style="3301" customWidth="1"/>
    <col min="13841" max="14080" width="9" style="3301"/>
    <col min="14081" max="14081" width="41.375" style="3301" customWidth="1"/>
    <col min="14082" max="14082" width="6.25" style="3301" customWidth="1"/>
    <col min="14083" max="14083" width="7.875" style="3301" customWidth="1"/>
    <col min="14084" max="14085" width="13.875" style="3301" customWidth="1"/>
    <col min="14086" max="14086" width="6.25" style="3301" customWidth="1"/>
    <col min="14087" max="14087" width="7.875" style="3301" customWidth="1"/>
    <col min="14088" max="14088" width="13.5" style="3301" customWidth="1"/>
    <col min="14089" max="14090" width="9" style="3301" customWidth="1"/>
    <col min="14091" max="14092" width="10.625" style="3301" customWidth="1"/>
    <col min="14093" max="14093" width="14.375" style="3301" customWidth="1"/>
    <col min="14094" max="14094" width="6.25" style="3301" customWidth="1"/>
    <col min="14095" max="14095" width="26.125" style="3301" customWidth="1"/>
    <col min="14096" max="14096" width="7.875" style="3301" customWidth="1"/>
    <col min="14097" max="14336" width="9" style="3301"/>
    <col min="14337" max="14337" width="41.375" style="3301" customWidth="1"/>
    <col min="14338" max="14338" width="6.25" style="3301" customWidth="1"/>
    <col min="14339" max="14339" width="7.875" style="3301" customWidth="1"/>
    <col min="14340" max="14341" width="13.875" style="3301" customWidth="1"/>
    <col min="14342" max="14342" width="6.25" style="3301" customWidth="1"/>
    <col min="14343" max="14343" width="7.875" style="3301" customWidth="1"/>
    <col min="14344" max="14344" width="13.5" style="3301" customWidth="1"/>
    <col min="14345" max="14346" width="9" style="3301" customWidth="1"/>
    <col min="14347" max="14348" width="10.625" style="3301" customWidth="1"/>
    <col min="14349" max="14349" width="14.375" style="3301" customWidth="1"/>
    <col min="14350" max="14350" width="6.25" style="3301" customWidth="1"/>
    <col min="14351" max="14351" width="26.125" style="3301" customWidth="1"/>
    <col min="14352" max="14352" width="7.875" style="3301" customWidth="1"/>
    <col min="14353" max="14592" width="9" style="3301"/>
    <col min="14593" max="14593" width="41.375" style="3301" customWidth="1"/>
    <col min="14594" max="14594" width="6.25" style="3301" customWidth="1"/>
    <col min="14595" max="14595" width="7.875" style="3301" customWidth="1"/>
    <col min="14596" max="14597" width="13.875" style="3301" customWidth="1"/>
    <col min="14598" max="14598" width="6.25" style="3301" customWidth="1"/>
    <col min="14599" max="14599" width="7.875" style="3301" customWidth="1"/>
    <col min="14600" max="14600" width="13.5" style="3301" customWidth="1"/>
    <col min="14601" max="14602" width="9" style="3301" customWidth="1"/>
    <col min="14603" max="14604" width="10.625" style="3301" customWidth="1"/>
    <col min="14605" max="14605" width="14.375" style="3301" customWidth="1"/>
    <col min="14606" max="14606" width="6.25" style="3301" customWidth="1"/>
    <col min="14607" max="14607" width="26.125" style="3301" customWidth="1"/>
    <col min="14608" max="14608" width="7.875" style="3301" customWidth="1"/>
    <col min="14609" max="14848" width="9" style="3301"/>
    <col min="14849" max="14849" width="41.375" style="3301" customWidth="1"/>
    <col min="14850" max="14850" width="6.25" style="3301" customWidth="1"/>
    <col min="14851" max="14851" width="7.875" style="3301" customWidth="1"/>
    <col min="14852" max="14853" width="13.875" style="3301" customWidth="1"/>
    <col min="14854" max="14854" width="6.25" style="3301" customWidth="1"/>
    <col min="14855" max="14855" width="7.875" style="3301" customWidth="1"/>
    <col min="14856" max="14856" width="13.5" style="3301" customWidth="1"/>
    <col min="14857" max="14858" width="9" style="3301" customWidth="1"/>
    <col min="14859" max="14860" width="10.625" style="3301" customWidth="1"/>
    <col min="14861" max="14861" width="14.375" style="3301" customWidth="1"/>
    <col min="14862" max="14862" width="6.25" style="3301" customWidth="1"/>
    <col min="14863" max="14863" width="26.125" style="3301" customWidth="1"/>
    <col min="14864" max="14864" width="7.875" style="3301" customWidth="1"/>
    <col min="14865" max="15104" width="9" style="3301"/>
    <col min="15105" max="15105" width="41.375" style="3301" customWidth="1"/>
    <col min="15106" max="15106" width="6.25" style="3301" customWidth="1"/>
    <col min="15107" max="15107" width="7.875" style="3301" customWidth="1"/>
    <col min="15108" max="15109" width="13.875" style="3301" customWidth="1"/>
    <col min="15110" max="15110" width="6.25" style="3301" customWidth="1"/>
    <col min="15111" max="15111" width="7.875" style="3301" customWidth="1"/>
    <col min="15112" max="15112" width="13.5" style="3301" customWidth="1"/>
    <col min="15113" max="15114" width="9" style="3301" customWidth="1"/>
    <col min="15115" max="15116" width="10.625" style="3301" customWidth="1"/>
    <col min="15117" max="15117" width="14.375" style="3301" customWidth="1"/>
    <col min="15118" max="15118" width="6.25" style="3301" customWidth="1"/>
    <col min="15119" max="15119" width="26.125" style="3301" customWidth="1"/>
    <col min="15120" max="15120" width="7.875" style="3301" customWidth="1"/>
    <col min="15121" max="15360" width="9" style="3301"/>
    <col min="15361" max="15361" width="41.375" style="3301" customWidth="1"/>
    <col min="15362" max="15362" width="6.25" style="3301" customWidth="1"/>
    <col min="15363" max="15363" width="7.875" style="3301" customWidth="1"/>
    <col min="15364" max="15365" width="13.875" style="3301" customWidth="1"/>
    <col min="15366" max="15366" width="6.25" style="3301" customWidth="1"/>
    <col min="15367" max="15367" width="7.875" style="3301" customWidth="1"/>
    <col min="15368" max="15368" width="13.5" style="3301" customWidth="1"/>
    <col min="15369" max="15370" width="9" style="3301" customWidth="1"/>
    <col min="15371" max="15372" width="10.625" style="3301" customWidth="1"/>
    <col min="15373" max="15373" width="14.375" style="3301" customWidth="1"/>
    <col min="15374" max="15374" width="6.25" style="3301" customWidth="1"/>
    <col min="15375" max="15375" width="26.125" style="3301" customWidth="1"/>
    <col min="15376" max="15376" width="7.875" style="3301" customWidth="1"/>
    <col min="15377" max="15616" width="9" style="3301"/>
    <col min="15617" max="15617" width="41.375" style="3301" customWidth="1"/>
    <col min="15618" max="15618" width="6.25" style="3301" customWidth="1"/>
    <col min="15619" max="15619" width="7.875" style="3301" customWidth="1"/>
    <col min="15620" max="15621" width="13.875" style="3301" customWidth="1"/>
    <col min="15622" max="15622" width="6.25" style="3301" customWidth="1"/>
    <col min="15623" max="15623" width="7.875" style="3301" customWidth="1"/>
    <col min="15624" max="15624" width="13.5" style="3301" customWidth="1"/>
    <col min="15625" max="15626" width="9" style="3301" customWidth="1"/>
    <col min="15627" max="15628" width="10.625" style="3301" customWidth="1"/>
    <col min="15629" max="15629" width="14.375" style="3301" customWidth="1"/>
    <col min="15630" max="15630" width="6.25" style="3301" customWidth="1"/>
    <col min="15631" max="15631" width="26.125" style="3301" customWidth="1"/>
    <col min="15632" max="15632" width="7.875" style="3301" customWidth="1"/>
    <col min="15633" max="15872" width="9" style="3301"/>
    <col min="15873" max="15873" width="41.375" style="3301" customWidth="1"/>
    <col min="15874" max="15874" width="6.25" style="3301" customWidth="1"/>
    <col min="15875" max="15875" width="7.875" style="3301" customWidth="1"/>
    <col min="15876" max="15877" width="13.875" style="3301" customWidth="1"/>
    <col min="15878" max="15878" width="6.25" style="3301" customWidth="1"/>
    <col min="15879" max="15879" width="7.875" style="3301" customWidth="1"/>
    <col min="15880" max="15880" width="13.5" style="3301" customWidth="1"/>
    <col min="15881" max="15882" width="9" style="3301" customWidth="1"/>
    <col min="15883" max="15884" width="10.625" style="3301" customWidth="1"/>
    <col min="15885" max="15885" width="14.375" style="3301" customWidth="1"/>
    <col min="15886" max="15886" width="6.25" style="3301" customWidth="1"/>
    <col min="15887" max="15887" width="26.125" style="3301" customWidth="1"/>
    <col min="15888" max="15888" width="7.875" style="3301" customWidth="1"/>
    <col min="15889" max="16128" width="9" style="3301"/>
    <col min="16129" max="16129" width="41.375" style="3301" customWidth="1"/>
    <col min="16130" max="16130" width="6.25" style="3301" customWidth="1"/>
    <col min="16131" max="16131" width="7.875" style="3301" customWidth="1"/>
    <col min="16132" max="16133" width="13.875" style="3301" customWidth="1"/>
    <col min="16134" max="16134" width="6.25" style="3301" customWidth="1"/>
    <col min="16135" max="16135" width="7.875" style="3301" customWidth="1"/>
    <col min="16136" max="16136" width="13.5" style="3301" customWidth="1"/>
    <col min="16137" max="16138" width="9" style="3301" customWidth="1"/>
    <col min="16139" max="16140" width="10.625" style="3301" customWidth="1"/>
    <col min="16141" max="16141" width="14.375" style="3301" customWidth="1"/>
    <col min="16142" max="16142" width="6.25" style="3301" customWidth="1"/>
    <col min="16143" max="16143" width="26.125" style="3301" customWidth="1"/>
    <col min="16144" max="16144" width="7.875" style="3301" customWidth="1"/>
    <col min="16145" max="16384" width="9" style="3301"/>
  </cols>
  <sheetData>
    <row r="1" spans="1:16">
      <c r="A1" s="3301" t="s">
        <v>3104</v>
      </c>
      <c r="B1" s="3301" t="s">
        <v>3105</v>
      </c>
      <c r="C1" s="3301" t="s">
        <v>3106</v>
      </c>
      <c r="D1" s="3301" t="s">
        <v>3107</v>
      </c>
      <c r="E1" s="3301" t="s">
        <v>3108</v>
      </c>
      <c r="F1" s="3301" t="s">
        <v>3109</v>
      </c>
      <c r="G1" s="3301" t="s">
        <v>3110</v>
      </c>
      <c r="H1" s="3301" t="s">
        <v>3111</v>
      </c>
      <c r="I1" s="3301" t="s">
        <v>3112</v>
      </c>
      <c r="J1" s="3301" t="s">
        <v>3113</v>
      </c>
      <c r="K1" s="3301" t="s">
        <v>3114</v>
      </c>
      <c r="L1" s="3301" t="s">
        <v>3115</v>
      </c>
      <c r="M1" s="3301" t="s">
        <v>3116</v>
      </c>
      <c r="N1" s="3301" t="s">
        <v>3117</v>
      </c>
      <c r="O1" s="3301" t="s">
        <v>3118</v>
      </c>
      <c r="P1" s="3301" t="s">
        <v>3119</v>
      </c>
    </row>
    <row r="2" spans="1:16">
      <c r="A2" s="3301" t="s">
        <v>3120</v>
      </c>
      <c r="B2" s="3301" t="s">
        <v>3061</v>
      </c>
      <c r="C2" s="3301" t="s">
        <v>3087</v>
      </c>
      <c r="D2" s="3301">
        <v>19340</v>
      </c>
      <c r="E2" s="3301">
        <v>34812</v>
      </c>
      <c r="F2" s="3301" t="s">
        <v>3121</v>
      </c>
      <c r="G2" s="3301" t="s">
        <v>3122</v>
      </c>
      <c r="H2" s="3301" t="s">
        <v>3123</v>
      </c>
      <c r="I2" s="3301" t="s">
        <v>3124</v>
      </c>
      <c r="J2" s="3301" t="s">
        <v>3124</v>
      </c>
      <c r="K2" s="3301">
        <v>5764.86</v>
      </c>
      <c r="L2" s="3301">
        <v>5764.86</v>
      </c>
      <c r="M2" s="3301">
        <v>1656</v>
      </c>
      <c r="N2" s="3301">
        <v>0</v>
      </c>
      <c r="O2" s="3301" t="s">
        <v>3125</v>
      </c>
      <c r="P2" s="3301" t="s">
        <v>3126</v>
      </c>
    </row>
    <row r="3" spans="1:16">
      <c r="A3" s="3301" t="s">
        <v>3127</v>
      </c>
      <c r="B3" s="3301" t="s">
        <v>3061</v>
      </c>
      <c r="C3" s="3301" t="s">
        <v>3087</v>
      </c>
      <c r="D3" s="3301">
        <v>16697.47</v>
      </c>
      <c r="E3" s="3301">
        <v>30055</v>
      </c>
      <c r="F3" s="3301">
        <v>1.8</v>
      </c>
      <c r="G3" s="3301" t="s">
        <v>3122</v>
      </c>
      <c r="H3" s="3301" t="s">
        <v>3128</v>
      </c>
      <c r="I3" s="3301" t="s">
        <v>3129</v>
      </c>
      <c r="J3" s="3301" t="s">
        <v>3129</v>
      </c>
      <c r="K3" s="3301">
        <v>4977.1000000000004</v>
      </c>
      <c r="L3" s="3301">
        <v>4977.1000000000004</v>
      </c>
      <c r="M3" s="3301">
        <v>1656</v>
      </c>
      <c r="N3" s="3301">
        <v>0</v>
      </c>
      <c r="O3" s="3301" t="s">
        <v>3130</v>
      </c>
      <c r="P3" s="3301" t="s">
        <v>3126</v>
      </c>
    </row>
    <row r="4" spans="1:16">
      <c r="A4" s="3301" t="s">
        <v>3131</v>
      </c>
      <c r="B4" s="3301" t="s">
        <v>3061</v>
      </c>
      <c r="C4" s="3301" t="s">
        <v>3087</v>
      </c>
      <c r="D4" s="3301">
        <v>46618.33</v>
      </c>
      <c r="E4" s="3301">
        <v>93237</v>
      </c>
      <c r="F4" s="3301">
        <v>2</v>
      </c>
      <c r="G4" s="3301" t="s">
        <v>3122</v>
      </c>
      <c r="H4" s="3301" t="s">
        <v>3128</v>
      </c>
      <c r="I4" s="3301" t="s">
        <v>3132</v>
      </c>
      <c r="J4" s="3301" t="s">
        <v>3132</v>
      </c>
      <c r="K4" s="3301">
        <v>16204.59</v>
      </c>
      <c r="L4" s="3301">
        <v>16204.59</v>
      </c>
      <c r="M4" s="3301">
        <v>1738</v>
      </c>
      <c r="N4" s="3301">
        <v>0</v>
      </c>
      <c r="O4" s="3301" t="s">
        <v>3133</v>
      </c>
      <c r="P4" s="3301" t="s">
        <v>3126</v>
      </c>
    </row>
    <row r="5" spans="1:16">
      <c r="A5" s="3301" t="s">
        <v>3134</v>
      </c>
      <c r="B5" s="3301" t="s">
        <v>3061</v>
      </c>
      <c r="C5" s="3301" t="s">
        <v>3087</v>
      </c>
      <c r="D5" s="3301">
        <v>8700</v>
      </c>
      <c r="E5" s="3301">
        <v>15660</v>
      </c>
      <c r="F5" s="3301">
        <v>1.8</v>
      </c>
      <c r="G5" s="3301" t="s">
        <v>3122</v>
      </c>
      <c r="H5" s="3301" t="s">
        <v>3128</v>
      </c>
      <c r="I5" s="3301" t="s">
        <v>3132</v>
      </c>
      <c r="J5" s="3301" t="s">
        <v>3132</v>
      </c>
      <c r="K5" s="3301">
        <v>2593.3000000000002</v>
      </c>
      <c r="L5" s="3301">
        <v>2593.3000000000002</v>
      </c>
      <c r="M5" s="3301">
        <v>1656</v>
      </c>
      <c r="N5" s="3301">
        <v>0</v>
      </c>
      <c r="O5" s="3301" t="s">
        <v>3135</v>
      </c>
      <c r="P5" s="3301" t="s">
        <v>3126</v>
      </c>
    </row>
    <row r="6" spans="1:16">
      <c r="A6" s="3301" t="s">
        <v>3136</v>
      </c>
      <c r="B6" s="3301" t="s">
        <v>3061</v>
      </c>
      <c r="C6" s="3301" t="s">
        <v>3087</v>
      </c>
      <c r="D6" s="3301">
        <v>4280.58</v>
      </c>
      <c r="E6" s="3301">
        <v>3424</v>
      </c>
      <c r="F6" s="3301">
        <v>0.8</v>
      </c>
      <c r="G6" s="3301" t="s">
        <v>3122</v>
      </c>
      <c r="H6" s="3301" t="s">
        <v>3137</v>
      </c>
      <c r="I6" s="3301" t="s">
        <v>3138</v>
      </c>
      <c r="J6" s="3301" t="s">
        <v>3138</v>
      </c>
      <c r="K6" s="3301">
        <v>642.09</v>
      </c>
      <c r="L6" s="3301">
        <v>642.09</v>
      </c>
      <c r="M6" s="3301">
        <v>1875.25</v>
      </c>
      <c r="N6" s="3301">
        <v>0</v>
      </c>
      <c r="O6" s="3301" t="s">
        <v>3139</v>
      </c>
      <c r="P6" s="3301" t="s">
        <v>3126</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40" zoomScale="70" zoomScaleNormal="70" zoomScaleSheetLayoutView="90" workbookViewId="0">
      <selection activeCell="L63" sqref="L6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4"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1583</v>
      </c>
      <c r="B1" s="780"/>
      <c r="C1" s="1827" t="s">
        <v>6</v>
      </c>
      <c r="D1" s="1810" t="s">
        <v>70</v>
      </c>
      <c r="E1" s="1811" t="s">
        <v>1381</v>
      </c>
      <c r="F1" s="1281">
        <f ca="1">J53</f>
        <v>33.049999999999997</v>
      </c>
      <c r="G1" s="1826">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1509</v>
      </c>
      <c r="B2" s="1834">
        <f ca="1">C40+J29+L46</f>
        <v>15633</v>
      </c>
      <c r="C2" s="1835" t="s">
        <v>1510</v>
      </c>
      <c r="D2" s="1835"/>
      <c r="E2" s="1836"/>
      <c r="F2" s="1837"/>
      <c r="G2" s="1838"/>
      <c r="H2" s="1830"/>
      <c r="I2" s="1830"/>
      <c r="J2" s="1830"/>
      <c r="K2" s="1831"/>
      <c r="L2" s="1830"/>
      <c r="M2" s="1830"/>
    </row>
    <row r="3" spans="1:37" ht="18" customHeight="1" thickBot="1">
      <c r="A3" s="1839" t="s">
        <v>1511</v>
      </c>
      <c r="B3" s="1840">
        <f ca="1">IF(ISERROR(B2*10000/F43),0,ROUND(B2*10000/F43,0))</f>
        <v>5202</v>
      </c>
      <c r="C3" s="1835" t="s">
        <v>1512</v>
      </c>
      <c r="D3" s="1835"/>
      <c r="E3" s="1836"/>
      <c r="F3" s="1837"/>
      <c r="G3" s="1838"/>
      <c r="H3" s="742" t="s">
        <v>1582</v>
      </c>
      <c r="I3" s="1830"/>
      <c r="J3" s="1830"/>
      <c r="K3" s="1831"/>
      <c r="L3" s="1830"/>
      <c r="M3" s="1830"/>
    </row>
    <row r="4" spans="1:37" ht="18" customHeight="1">
      <c r="A4" s="339" t="s">
        <v>1390</v>
      </c>
      <c r="B4" s="340" t="s">
        <v>1391</v>
      </c>
      <c r="C4" s="340" t="s">
        <v>1392</v>
      </c>
      <c r="D4" s="340" t="s">
        <v>1393</v>
      </c>
      <c r="E4" s="341" t="s">
        <v>1394</v>
      </c>
      <c r="F4" s="342"/>
      <c r="G4" s="1841"/>
      <c r="H4" s="339" t="s">
        <v>1390</v>
      </c>
      <c r="I4" s="340" t="s">
        <v>1391</v>
      </c>
      <c r="J4" s="340" t="s">
        <v>1392</v>
      </c>
      <c r="K4" s="340" t="s">
        <v>1393</v>
      </c>
      <c r="L4" s="341" t="s">
        <v>1394</v>
      </c>
      <c r="M4" s="342"/>
    </row>
    <row r="5" spans="1:37" ht="18" customHeight="1">
      <c r="A5" s="343">
        <v>1</v>
      </c>
      <c r="B5" s="344" t="s">
        <v>1395</v>
      </c>
      <c r="C5" s="1290">
        <f ca="1">C6+C10+C12</f>
        <v>1285</v>
      </c>
      <c r="D5" s="1812" t="s">
        <v>1396</v>
      </c>
      <c r="E5" s="1291"/>
      <c r="F5" s="1292"/>
      <c r="G5" s="1841"/>
      <c r="H5" s="343">
        <v>1</v>
      </c>
      <c r="I5" s="344" t="s">
        <v>1395</v>
      </c>
      <c r="J5" s="1290">
        <f ca="1">J6+J10+J12</f>
        <v>0</v>
      </c>
      <c r="K5" s="1812" t="s">
        <v>1396</v>
      </c>
      <c r="L5" s="1291"/>
      <c r="M5" s="1292"/>
    </row>
    <row r="6" spans="1:37" ht="18" customHeight="1">
      <c r="A6" s="1289" t="s">
        <v>1031</v>
      </c>
      <c r="B6" s="3160" t="s">
        <v>1397</v>
      </c>
      <c r="C6" s="1294">
        <f ca="1">ROUND(F6*F8*F7*(1-F9)/10000,0)</f>
        <v>1283</v>
      </c>
      <c r="D6" s="163" t="s">
        <v>3029</v>
      </c>
      <c r="E6" s="346" t="s">
        <v>1399</v>
      </c>
      <c r="F6" s="347">
        <f ca="1">INDIRECT("'数据-取费表'!u"&amp;$G$1)</f>
        <v>1.3</v>
      </c>
      <c r="G6" s="1841"/>
      <c r="H6" s="1289" t="s">
        <v>1031</v>
      </c>
      <c r="I6" s="3160" t="s">
        <v>1397</v>
      </c>
      <c r="J6" s="345">
        <f ca="1">ROUND(M6*M8*M7*(1-M9)/10000,0)</f>
        <v>0</v>
      </c>
      <c r="K6" s="163" t="s">
        <v>3028</v>
      </c>
      <c r="L6" s="346" t="s">
        <v>1399</v>
      </c>
      <c r="M6" s="347">
        <f ca="1">INDIRECT("'数据-取费表'!z"&amp;$G$1)</f>
        <v>0</v>
      </c>
    </row>
    <row r="7" spans="1:37" ht="18" customHeight="1">
      <c r="A7" s="1293"/>
      <c r="B7" s="3161"/>
      <c r="C7" s="1295"/>
      <c r="D7" s="351"/>
      <c r="E7" s="1296" t="s">
        <v>1400</v>
      </c>
      <c r="F7" s="347">
        <f ca="1">IF(INDIRECT("'数据-取费表'!ah"&amp;$G$1)="",INDIRECT("'数据-取费表'!k"&amp;$G$1),INDIRECT("'数据-取费表'!ah"&amp;$G$1))</f>
        <v>30049.22</v>
      </c>
      <c r="G7" s="1841"/>
      <c r="H7" s="348"/>
      <c r="I7" s="3161"/>
      <c r="J7" s="350"/>
      <c r="K7" s="351"/>
      <c r="L7" s="346" t="s">
        <v>1400</v>
      </c>
      <c r="M7" s="347">
        <f ca="1">F7</f>
        <v>30049.22</v>
      </c>
    </row>
    <row r="8" spans="1:37" ht="18" customHeight="1">
      <c r="A8" s="348"/>
      <c r="B8" s="3161"/>
      <c r="C8" s="350"/>
      <c r="D8" s="351"/>
      <c r="E8" s="346" t="s">
        <v>1401</v>
      </c>
      <c r="F8" s="347">
        <f ca="1">INDIRECT("'数据-取费表'!ai"&amp;$G$1)</f>
        <v>365</v>
      </c>
      <c r="G8" s="1841"/>
      <c r="H8" s="348"/>
      <c r="I8" s="3161"/>
      <c r="J8" s="350"/>
      <c r="K8" s="351"/>
      <c r="L8" s="346" t="s">
        <v>1401</v>
      </c>
      <c r="M8" s="347">
        <f ca="1">INDIRECT("'数据-取费表'!ai"&amp;$G$1)</f>
        <v>365</v>
      </c>
    </row>
    <row r="9" spans="1:37" ht="18" customHeight="1">
      <c r="A9" s="348"/>
      <c r="B9" s="3162"/>
      <c r="C9" s="350"/>
      <c r="D9" s="351"/>
      <c r="E9" s="346" t="s">
        <v>1402</v>
      </c>
      <c r="F9" s="356">
        <f ca="1">INDIRECT("'数据-取费表'!w"&amp;$G$1)</f>
        <v>0.1</v>
      </c>
      <c r="G9" s="1841"/>
      <c r="H9" s="348"/>
      <c r="I9" s="3162"/>
      <c r="J9" s="350"/>
      <c r="K9" s="351"/>
      <c r="L9" s="357" t="s">
        <v>1402</v>
      </c>
      <c r="M9" s="358">
        <f ca="1">INDIRECT("'数据-取费表'!ab"&amp;$G$1)</f>
        <v>0</v>
      </c>
    </row>
    <row r="10" spans="1:37" ht="18" customHeight="1">
      <c r="A10" s="1289" t="s">
        <v>1035</v>
      </c>
      <c r="B10" s="1813" t="s">
        <v>1403</v>
      </c>
      <c r="C10" s="360">
        <f ca="1">ROUND(IF(F10="押一",C6/12*F11,IF(F10="押二",C6/12*2*F11,IF(F10="押三",C6/12*3*F11,C11*F11))),0)</f>
        <v>2</v>
      </c>
      <c r="D10" s="1814" t="s">
        <v>3038</v>
      </c>
      <c r="E10" s="357" t="s">
        <v>1404</v>
      </c>
      <c r="F10" s="1364" t="s">
        <v>3069</v>
      </c>
      <c r="G10" s="1841"/>
      <c r="H10" s="1289" t="s">
        <v>1035</v>
      </c>
      <c r="I10" s="1813" t="s">
        <v>1403</v>
      </c>
      <c r="J10" s="345">
        <f ca="1">ROUND(IF(M10="押一",J6/12*M11,IF(M10="押二",J6/12*2*M11,IF(M10="押三",J6/12*3*M11,J11*M11))),0)</f>
        <v>0</v>
      </c>
      <c r="K10" s="1814" t="s">
        <v>3037</v>
      </c>
      <c r="L10" s="357" t="s">
        <v>1404</v>
      </c>
      <c r="M10" s="1364" t="s">
        <v>1405</v>
      </c>
    </row>
    <row r="11" spans="1:37" ht="18" customHeight="1">
      <c r="A11" s="352"/>
      <c r="B11" s="1815" t="s">
        <v>1382</v>
      </c>
      <c r="C11" s="1176"/>
      <c r="D11" s="1816"/>
      <c r="E11" s="357" t="s">
        <v>1406</v>
      </c>
      <c r="F11" s="358">
        <f ca="1">'数据-取费表'!B39</f>
        <v>1.4999999999999999E-2</v>
      </c>
      <c r="G11" s="1841"/>
      <c r="H11" s="1297"/>
      <c r="I11" s="1815" t="s">
        <v>1382</v>
      </c>
      <c r="J11" s="1176"/>
      <c r="K11" s="746"/>
      <c r="L11" s="357"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4">
        <f ca="1">ROUND(C29*F13,0)</f>
        <v>9344</v>
      </c>
      <c r="D13" s="1329" t="s">
        <v>1409</v>
      </c>
      <c r="E13" s="1329" t="s">
        <v>1410</v>
      </c>
      <c r="F13" s="1330">
        <f ca="1">INDIRECT("'数据-取费表'!y"&amp;$G$1)</f>
        <v>0.83</v>
      </c>
      <c r="G13" s="1841"/>
      <c r="H13" s="1327">
        <v>2</v>
      </c>
      <c r="I13" s="1328" t="s">
        <v>1408</v>
      </c>
      <c r="J13" s="1288">
        <f ca="1">ROUND(J14*J15,0)</f>
        <v>0</v>
      </c>
      <c r="K13" s="1335" t="s">
        <v>1409</v>
      </c>
      <c r="L13" s="1842"/>
      <c r="M13" s="1843"/>
    </row>
    <row r="14" spans="1:37" ht="18" customHeight="1">
      <c r="A14" s="1199" t="s">
        <v>1030</v>
      </c>
      <c r="B14" s="346" t="s">
        <v>1411</v>
      </c>
      <c r="C14" s="362">
        <f ca="1">INDIRECT("'数据-取费表'!m"&amp;$G$1)+INDIRECT("'数据-取费表'!t"&amp;$G$1)</f>
        <v>7512</v>
      </c>
      <c r="D14" s="1790" t="s">
        <v>1412</v>
      </c>
      <c r="E14" s="1784"/>
      <c r="F14" s="363"/>
      <c r="G14" s="1841"/>
      <c r="H14" s="1199" t="s">
        <v>1031</v>
      </c>
      <c r="I14" s="346" t="s">
        <v>1413</v>
      </c>
      <c r="J14" s="24">
        <f ca="1">C29</f>
        <v>11258</v>
      </c>
      <c r="K14" s="15"/>
      <c r="L14" s="977"/>
      <c r="M14" s="978"/>
    </row>
    <row r="15" spans="1:37" s="1848" customFormat="1" ht="18" customHeight="1" thickBot="1">
      <c r="A15" s="1199" t="s">
        <v>1032</v>
      </c>
      <c r="B15" s="346" t="s">
        <v>1414</v>
      </c>
      <c r="C15" s="24">
        <f ca="1">ROUND(C14*F15,0)</f>
        <v>376</v>
      </c>
      <c r="D15" s="364" t="s">
        <v>1415</v>
      </c>
      <c r="E15" s="364" t="s">
        <v>1416</v>
      </c>
      <c r="F15" s="365">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6" t="s">
        <v>1417</v>
      </c>
      <c r="C16" s="24">
        <f ca="1">ROUND(INDIRECT("'数据-取费表'!m"&amp;$G$1)*F16,0)</f>
        <v>0</v>
      </c>
      <c r="D16" s="346" t="s">
        <v>1415</v>
      </c>
      <c r="E16" s="346" t="s">
        <v>1416</v>
      </c>
      <c r="F16" s="366">
        <f ca="1">IF(INDIRECT("'数据-取费表'!c"&amp;$G$1)="住宅",'数据-取费表'!B34,0)</f>
        <v>0</v>
      </c>
      <c r="G16" s="1841"/>
      <c r="H16" s="1327" t="s">
        <v>1026</v>
      </c>
      <c r="I16" s="1328" t="s">
        <v>1418</v>
      </c>
      <c r="J16" s="354">
        <f ca="1">ROUND(J17+J22+J23+J24,0)</f>
        <v>272</v>
      </c>
      <c r="K16" s="1335" t="s">
        <v>1419</v>
      </c>
      <c r="L16" s="1336"/>
      <c r="M16" s="1292"/>
    </row>
    <row r="17" spans="1:37" s="1848" customFormat="1" ht="18" customHeight="1">
      <c r="A17" s="1199" t="s">
        <v>1384</v>
      </c>
      <c r="B17" s="346" t="s">
        <v>1420</v>
      </c>
      <c r="C17" s="24">
        <f ca="1">ROUND(F17*(F43+INDIRECT("'数据-取费表'!S"&amp;$G$1))/10000,0)</f>
        <v>601</v>
      </c>
      <c r="D17" s="346" t="s">
        <v>1421</v>
      </c>
      <c r="E17" s="346" t="s">
        <v>1422</v>
      </c>
      <c r="F17" s="26">
        <f>'数据-取费表'!B35</f>
        <v>200</v>
      </c>
      <c r="G17" s="1844"/>
      <c r="H17" s="1199" t="s">
        <v>1031</v>
      </c>
      <c r="I17" s="346" t="s">
        <v>1423</v>
      </c>
      <c r="J17" s="24">
        <f ca="1">ROUND(IF(项目基本情况!B11="自然人",J6*M17/(1+'数据-取费表'!C42),J18+J19+J20),1)</f>
        <v>102.7</v>
      </c>
      <c r="K17" s="1790" t="s">
        <v>1424</v>
      </c>
      <c r="L17" s="1788" t="s">
        <v>1425</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6" t="s">
        <v>1426</v>
      </c>
      <c r="C18" s="24">
        <f ca="1">ROUND(C14*F18,0)</f>
        <v>113</v>
      </c>
      <c r="D18" s="346" t="s">
        <v>1415</v>
      </c>
      <c r="E18" s="346" t="s">
        <v>1416</v>
      </c>
      <c r="F18" s="366">
        <f>'数据-取费表'!B36</f>
        <v>1.4999999999999999E-2</v>
      </c>
      <c r="G18" s="1844"/>
      <c r="H18" s="1199" t="s">
        <v>1030</v>
      </c>
      <c r="I18" s="346" t="s">
        <v>1427</v>
      </c>
      <c r="J18" s="24">
        <f ca="1">ROUND(J6*M18/(1+'数据-取费表'!C42),2)</f>
        <v>0</v>
      </c>
      <c r="K18" s="1788" t="s">
        <v>1428</v>
      </c>
      <c r="L18" s="346" t="s">
        <v>1416</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6" t="s">
        <v>1429</v>
      </c>
      <c r="C19" s="24">
        <f ca="1">SUM(C14:C18)</f>
        <v>8602</v>
      </c>
      <c r="D19" s="139" t="s">
        <v>1430</v>
      </c>
      <c r="E19" s="1808"/>
      <c r="F19" s="26"/>
      <c r="G19" s="1841"/>
      <c r="H19" s="1199" t="s">
        <v>1032</v>
      </c>
      <c r="I19" s="346" t="s">
        <v>1431</v>
      </c>
      <c r="J19" s="24">
        <f ca="1">IF(K19="按租金收入计税",ROUND(J6*M19/(1+'数据-取费表'!C42),2),ROUND(C29*M19*0.7,2))</f>
        <v>94.57</v>
      </c>
      <c r="K19" s="1818" t="s">
        <v>1432</v>
      </c>
      <c r="L19" s="346" t="s">
        <v>1416</v>
      </c>
      <c r="M19" s="366">
        <f>IF(K19="按租金收入计税",'数据-取费表'!B51,'数据-取费表'!B50)</f>
        <v>1.2E-2</v>
      </c>
    </row>
    <row r="20" spans="1:37" s="1848" customFormat="1" ht="18" customHeight="1">
      <c r="A20" s="1199" t="s">
        <v>1035</v>
      </c>
      <c r="B20" s="346" t="s">
        <v>1433</v>
      </c>
      <c r="C20" s="24">
        <f ca="1">ROUND(C19*F20,0)</f>
        <v>172</v>
      </c>
      <c r="D20" s="368" t="s">
        <v>1434</v>
      </c>
      <c r="E20" s="346" t="s">
        <v>1416</v>
      </c>
      <c r="F20" s="366">
        <f>'数据-取费表'!B37</f>
        <v>0.02</v>
      </c>
      <c r="G20" s="1844"/>
      <c r="H20" s="1199" t="s">
        <v>1383</v>
      </c>
      <c r="I20" s="163" t="s">
        <v>1435</v>
      </c>
      <c r="J20" s="25">
        <f ca="1">ROUND(M20*M21/10000,2)</f>
        <v>8.1199999999999992</v>
      </c>
      <c r="K20" s="369" t="s">
        <v>1436</v>
      </c>
      <c r="L20" s="346" t="s">
        <v>1437</v>
      </c>
      <c r="M20" s="370">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6" t="s">
        <v>1438</v>
      </c>
      <c r="C21" s="24" t="s">
        <v>18</v>
      </c>
      <c r="D21" s="368" t="s">
        <v>1439</v>
      </c>
      <c r="E21" s="346" t="s">
        <v>1440</v>
      </c>
      <c r="F21" s="366">
        <f>'数据-取费表'!B38</f>
        <v>0.02</v>
      </c>
      <c r="G21" s="1844"/>
      <c r="H21" s="371"/>
      <c r="I21" s="355"/>
      <c r="J21" s="29"/>
      <c r="K21" s="372"/>
      <c r="L21" s="346" t="s">
        <v>1441</v>
      </c>
      <c r="M21" s="347">
        <f ca="1">INDIRECT("'数据-取费表'!r"&amp;$G$1)</f>
        <v>54110.44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08"/>
      <c r="F22" s="26"/>
      <c r="G22" s="1841"/>
      <c r="H22" s="1199" t="s">
        <v>1035</v>
      </c>
      <c r="I22" s="346" t="s">
        <v>1443</v>
      </c>
      <c r="J22" s="24">
        <f ca="1">ROUND(J14*M22,1)</f>
        <v>168.9</v>
      </c>
      <c r="K22" s="1788" t="s">
        <v>1444</v>
      </c>
      <c r="L22" s="346" t="s">
        <v>1416</v>
      </c>
      <c r="M22" s="373">
        <f ca="1">INDIRECT("'数据-取费表'!Ak"&amp;$G$1)</f>
        <v>1.4999999999999999E-2</v>
      </c>
    </row>
    <row r="23" spans="1:37" s="1848" customFormat="1" ht="18" customHeight="1">
      <c r="A23" s="1199" t="s">
        <v>1030</v>
      </c>
      <c r="B23" s="346" t="s">
        <v>1445</v>
      </c>
      <c r="C23" s="24">
        <f ca="1">IF('数据-取费表'!B22&lt;=1,ROUND(C19*F24*F23/2,0)+ROUND(C20*F24*F23/2,0),ROUND(C19*(POWER((1+F24),F23/2)-1),0)+ROUND(C20*(POWER((1+F24),F23/2)-1),0))</f>
        <v>311</v>
      </c>
      <c r="D23" s="374" t="str">
        <f>IF(F23&lt;=1,"(建造成本+管理费用)×利率×(建设周期÷2)","(建造成本+管理费用)×((1+利率)^(建设周期÷2)-1)")</f>
        <v>(建造成本+管理费用)×((1+利率)^(建设周期÷2)-1)</v>
      </c>
      <c r="E23" s="346" t="s">
        <v>1446</v>
      </c>
      <c r="F23" s="370">
        <f>'数据-取费表'!B20</f>
        <v>1.5</v>
      </c>
      <c r="G23" s="1844"/>
      <c r="H23" s="1199" t="s">
        <v>1071</v>
      </c>
      <c r="I23" s="346" t="s">
        <v>1447</v>
      </c>
      <c r="J23" s="24">
        <f ca="1">ROUND(J13*M23,1)</f>
        <v>0</v>
      </c>
      <c r="K23" s="1788" t="s">
        <v>1448</v>
      </c>
      <c r="L23" s="346" t="s">
        <v>1449</v>
      </c>
      <c r="M23" s="375">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4"/>
      <c r="H24" s="1337" t="s">
        <v>1387</v>
      </c>
      <c r="I24" s="1338" t="s">
        <v>1433</v>
      </c>
      <c r="J24" s="1339">
        <f ca="1">ROUND(J5*M24,1)</f>
        <v>0</v>
      </c>
      <c r="K24" s="1340" t="s">
        <v>1453</v>
      </c>
      <c r="L24" s="1338" t="s">
        <v>1449</v>
      </c>
      <c r="M24" s="1334">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6" t="s">
        <v>1455</v>
      </c>
      <c r="C25" s="24"/>
      <c r="D25" s="139" t="s">
        <v>1456</v>
      </c>
      <c r="E25" s="1808"/>
      <c r="F25" s="26"/>
      <c r="G25" s="1841"/>
      <c r="H25" s="1327" t="s">
        <v>1027</v>
      </c>
      <c r="I25" s="1342" t="s">
        <v>1457</v>
      </c>
      <c r="J25" s="354">
        <f ca="1">J5-J16</f>
        <v>-272</v>
      </c>
      <c r="K25" s="1343" t="s">
        <v>1458</v>
      </c>
      <c r="L25" s="1344"/>
      <c r="M25" s="1345"/>
    </row>
    <row r="26" spans="1:37">
      <c r="A26" s="1199" t="s">
        <v>1030</v>
      </c>
      <c r="B26" s="346" t="s">
        <v>1459</v>
      </c>
      <c r="C26" s="24">
        <f ca="1">ROUND((C19+C20)*F26,0)</f>
        <v>1316</v>
      </c>
      <c r="D26" s="368" t="s">
        <v>1460</v>
      </c>
      <c r="E26" s="357" t="s">
        <v>1461</v>
      </c>
      <c r="F26" s="356">
        <f ca="1">INDIRECT("'数据-取费表'!q"&amp;$G$1)</f>
        <v>0.15</v>
      </c>
      <c r="G26" s="1841"/>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1"/>
      <c r="H27" s="348"/>
      <c r="I27" s="349"/>
      <c r="J27" s="350"/>
      <c r="K27" s="377" t="s">
        <v>1467</v>
      </c>
      <c r="L27" s="346" t="s">
        <v>1468</v>
      </c>
      <c r="M27" s="378">
        <f ca="1">INDIRECT("'数据-取费表'!ag"&amp;$G$1)</f>
        <v>0</v>
      </c>
    </row>
    <row r="28" spans="1:37" s="1848" customFormat="1" ht="18" customHeight="1">
      <c r="A28" s="1199" t="s">
        <v>1033</v>
      </c>
      <c r="B28" s="346" t="s">
        <v>1469</v>
      </c>
      <c r="C28" s="24">
        <f>ROUND(F28/(1+'数据-取费表'!C42),4)</f>
        <v>5.2400000000000002E-2</v>
      </c>
      <c r="D28" s="368" t="s">
        <v>1470</v>
      </c>
      <c r="E28" s="346" t="s">
        <v>1416</v>
      </c>
      <c r="F28" s="366">
        <f>'数据-取费表'!B41</f>
        <v>5.5000000000000007E-2</v>
      </c>
      <c r="G28" s="1844"/>
      <c r="H28" s="352"/>
      <c r="I28" s="353"/>
      <c r="J28" s="354"/>
      <c r="K28" s="372"/>
      <c r="L28" s="346" t="s">
        <v>1471</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11258</v>
      </c>
      <c r="D29" s="1340"/>
      <c r="E29" s="1338"/>
      <c r="F29" s="1341"/>
      <c r="G29" s="1844"/>
      <c r="H29" s="379" t="s">
        <v>1029</v>
      </c>
      <c r="I29" s="380" t="s">
        <v>1473</v>
      </c>
      <c r="J29" s="381">
        <f ca="1">ROUND(J26/(1+F40)^F41,0)</f>
        <v>0</v>
      </c>
      <c r="K29" s="382" t="s">
        <v>1474</v>
      </c>
      <c r="L29" s="383"/>
      <c r="M29" s="384">
        <f ca="1">INDIRECT("'数据-取费表'!k"&amp;$G$1)</f>
        <v>30049.22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4">
        <f ca="1">ROUND(C31+C36+C37+C38,0)</f>
        <v>418</v>
      </c>
      <c r="D30" s="1335" t="s">
        <v>1419</v>
      </c>
      <c r="E30" s="1336"/>
      <c r="F30" s="1292"/>
      <c r="G30" s="1841"/>
      <c r="H30" s="743"/>
      <c r="I30" s="744"/>
      <c r="J30" s="745"/>
      <c r="K30" s="746"/>
      <c r="L30" s="747"/>
      <c r="M30" s="748"/>
    </row>
    <row r="31" spans="1:37" ht="18" customHeight="1">
      <c r="A31" s="1199" t="s">
        <v>1031</v>
      </c>
      <c r="B31" s="346" t="s">
        <v>1423</v>
      </c>
      <c r="C31" s="24">
        <f ca="1">ROUND(IF(项目基本情况!B11="自然人",C6*F31/(1+'数据-取费表'!C42),C32+C33+C34),1)</f>
        <v>222</v>
      </c>
      <c r="D31" s="1790" t="s">
        <v>1424</v>
      </c>
      <c r="E31" s="1788" t="s">
        <v>1475</v>
      </c>
      <c r="F31" s="367" t="str">
        <f ca="1">IF(项目基本情况!B11="企业","",IF(INDIRECT("'数据-取费表'!c"&amp;$G$1)="住宅",5%,IF(F6*F7*F8/12/(1+'数据-取费表'!C42)&gt;20000,12%,7%)))</f>
        <v/>
      </c>
      <c r="G31" s="1841"/>
      <c r="H31" s="743"/>
      <c r="I31" s="744"/>
      <c r="J31" s="745"/>
      <c r="K31" s="746"/>
      <c r="L31" s="747"/>
      <c r="M31" s="748"/>
    </row>
    <row r="32" spans="1:37" ht="18" customHeight="1">
      <c r="A32" s="1199" t="s">
        <v>1030</v>
      </c>
      <c r="B32" s="346" t="s">
        <v>1427</v>
      </c>
      <c r="C32" s="24">
        <f ca="1">IF(项目基本情况!B11="自然人","——",ROUND(C6*F32/(1+'数据-取费表'!C42),2))</f>
        <v>67.2</v>
      </c>
      <c r="D32" s="1788" t="s">
        <v>1428</v>
      </c>
      <c r="E32" s="346" t="s">
        <v>1416</v>
      </c>
      <c r="F32" s="376">
        <f>'数据-取费表'!B41</f>
        <v>5.5000000000000007E-2</v>
      </c>
      <c r="G32" s="1841"/>
      <c r="H32" s="743"/>
      <c r="I32" s="744"/>
      <c r="J32" s="745"/>
      <c r="K32" s="746"/>
      <c r="L32" s="747"/>
      <c r="M32" s="748"/>
    </row>
    <row r="33" spans="1:18" ht="18" customHeight="1">
      <c r="A33" s="1199" t="s">
        <v>1032</v>
      </c>
      <c r="B33" s="346" t="s">
        <v>1431</v>
      </c>
      <c r="C33" s="24">
        <f ca="1">IF(项目基本情况!B11="自然人","——",IF(D33="按租金收入计税",ROUND(C6*F33/(1+'数据-取费表'!C42),2),IF(D33="按房产原值计税",ROUND(C29*F33*0.7,2),INDIRECT("'数据-取费表'!Aj"&amp;$G$1))))</f>
        <v>146.63</v>
      </c>
      <c r="D33" s="1818" t="s">
        <v>3070</v>
      </c>
      <c r="E33" s="346" t="s">
        <v>1416</v>
      </c>
      <c r="F33" s="366">
        <f>IF(D33="按票据","——",IF(D33="按租金收入计税",'数据-取费表'!B51,'数据-取费表'!B50))</f>
        <v>0.12</v>
      </c>
      <c r="G33" s="1841"/>
      <c r="H33" s="1849"/>
      <c r="I33" s="1850"/>
      <c r="J33" s="1851"/>
      <c r="K33" s="1852"/>
      <c r="L33" s="1849"/>
      <c r="M33" s="1849"/>
    </row>
    <row r="34" spans="1:18" ht="18" customHeight="1">
      <c r="A34" s="1289" t="s">
        <v>1383</v>
      </c>
      <c r="B34" s="163" t="s">
        <v>1435</v>
      </c>
      <c r="C34" s="25">
        <f ca="1">IF(项目基本情况!B11="自然人","——",ROUND(F34*F35/10000,2))</f>
        <v>8.1199999999999992</v>
      </c>
      <c r="D34" s="369" t="s">
        <v>1436</v>
      </c>
      <c r="E34" s="346" t="s">
        <v>1437</v>
      </c>
      <c r="F34" s="370">
        <f>'数据-取费表'!B52</f>
        <v>1.5</v>
      </c>
      <c r="G34" s="1841"/>
      <c r="H34" s="743"/>
      <c r="I34" s="1850"/>
      <c r="J34" s="1851"/>
      <c r="K34" s="1853"/>
      <c r="L34" s="1854"/>
      <c r="M34" s="1854"/>
    </row>
    <row r="35" spans="1:18" ht="18" customHeight="1">
      <c r="A35" s="1351"/>
      <c r="B35" s="1349"/>
      <c r="C35" s="29"/>
      <c r="D35" s="372"/>
      <c r="E35" s="346" t="s">
        <v>1441</v>
      </c>
      <c r="F35" s="347">
        <f ca="1">INDIRECT("'数据-取费表'!r"&amp;$G$1)</f>
        <v>54110.44</v>
      </c>
      <c r="G35" s="1841"/>
      <c r="H35" s="743"/>
      <c r="I35" s="1850"/>
      <c r="J35" s="1851"/>
      <c r="K35" s="1852"/>
      <c r="L35" s="1849"/>
      <c r="M35" s="1849"/>
    </row>
    <row r="36" spans="1:18" ht="18" customHeight="1">
      <c r="A36" s="1350" t="s">
        <v>1035</v>
      </c>
      <c r="B36" s="346" t="s">
        <v>1443</v>
      </c>
      <c r="C36" s="24">
        <f ca="1">ROUND(C29*F36,1)</f>
        <v>168.9</v>
      </c>
      <c r="D36" s="1788" t="s">
        <v>1476</v>
      </c>
      <c r="E36" s="346" t="s">
        <v>1416</v>
      </c>
      <c r="F36" s="373">
        <f ca="1">INDIRECT("'数据-取费表'!Ak"&amp;$G$1)</f>
        <v>1.4999999999999999E-2</v>
      </c>
      <c r="G36" s="1841"/>
      <c r="H36" s="1849"/>
      <c r="I36" s="1850"/>
      <c r="J36" s="1851"/>
      <c r="K36" s="749"/>
      <c r="L36" s="1849"/>
      <c r="M36" s="1849"/>
    </row>
    <row r="37" spans="1:18" ht="18" customHeight="1">
      <c r="A37" s="1199" t="s">
        <v>1071</v>
      </c>
      <c r="B37" s="346" t="s">
        <v>1447</v>
      </c>
      <c r="C37" s="24">
        <f ca="1">ROUND(C13*F37,1)</f>
        <v>14</v>
      </c>
      <c r="D37" s="1788" t="s">
        <v>1448</v>
      </c>
      <c r="E37" s="346" t="s">
        <v>1449</v>
      </c>
      <c r="F37" s="375">
        <f ca="1">INDIRECT("'数据-取费表'!Al"&amp;$G$1)</f>
        <v>1.5E-3</v>
      </c>
      <c r="G37" s="1841"/>
      <c r="H37" s="1849"/>
      <c r="I37" s="1850"/>
      <c r="J37" s="1851"/>
      <c r="K37" s="749"/>
      <c r="L37" s="1849"/>
      <c r="M37" s="1849"/>
    </row>
    <row r="38" spans="1:18" ht="18" customHeight="1" thickBot="1">
      <c r="A38" s="1337" t="s">
        <v>1387</v>
      </c>
      <c r="B38" s="1338" t="s">
        <v>1433</v>
      </c>
      <c r="C38" s="1339">
        <f ca="1">ROUND(C5*F38,1)</f>
        <v>12.9</v>
      </c>
      <c r="D38" s="1340" t="s">
        <v>1453</v>
      </c>
      <c r="E38" s="1338" t="s">
        <v>1449</v>
      </c>
      <c r="F38" s="1334">
        <f ca="1">INDIRECT("'数据-取费表'!Am"&amp;$G$1)</f>
        <v>0.01</v>
      </c>
      <c r="G38" s="1841"/>
      <c r="H38" s="1849"/>
      <c r="I38" s="1850"/>
      <c r="J38" s="1851"/>
      <c r="K38" s="1855"/>
      <c r="L38" s="1849"/>
      <c r="M38" s="1849"/>
    </row>
    <row r="39" spans="1:18" ht="24.6" customHeight="1" thickTop="1">
      <c r="A39" s="1327" t="s">
        <v>1027</v>
      </c>
      <c r="B39" s="1342" t="s">
        <v>1477</v>
      </c>
      <c r="C39" s="354">
        <f ca="1">C5-C30</f>
        <v>867</v>
      </c>
      <c r="D39" s="1343" t="s">
        <v>1478</v>
      </c>
      <c r="E39" s="1344"/>
      <c r="F39" s="1345"/>
      <c r="G39" s="1841"/>
      <c r="H39" s="1849"/>
      <c r="I39" s="1850"/>
      <c r="J39" s="1851"/>
      <c r="K39" s="1855"/>
      <c r="L39" s="1849"/>
      <c r="M39" s="1849"/>
    </row>
    <row r="40" spans="1:18" ht="18" customHeight="1">
      <c r="A40" s="343" t="s">
        <v>1028</v>
      </c>
      <c r="B40" s="344" t="s">
        <v>1479</v>
      </c>
      <c r="C40" s="345">
        <f ca="1">ROUND(C39*(1-((1+F42)/(1+F40))^F41)/(F40-F42),0)</f>
        <v>15633</v>
      </c>
      <c r="D40" s="369" t="s">
        <v>1463</v>
      </c>
      <c r="E40" s="346" t="s">
        <v>1464</v>
      </c>
      <c r="F40" s="356">
        <f ca="1">INDIRECT("'数据-取费表'!I"&amp;$G$1)</f>
        <v>5.5E-2</v>
      </c>
      <c r="G40" s="1841"/>
      <c r="H40" s="1829"/>
      <c r="I40" s="1850"/>
      <c r="J40" s="1851"/>
      <c r="K40" s="1855"/>
      <c r="L40" s="1829"/>
      <c r="M40" s="1829"/>
    </row>
    <row r="41" spans="1:18" ht="18" customHeight="1">
      <c r="A41" s="348"/>
      <c r="B41" s="349"/>
      <c r="C41" s="350"/>
      <c r="D41" s="377" t="s">
        <v>1480</v>
      </c>
      <c r="E41" s="346" t="s">
        <v>1468</v>
      </c>
      <c r="F41" s="378">
        <f ca="1">IF(INDIRECT("'数据-取费表'!af"&amp;$G$1)=0,INDIRECT("'数据-取费表'!ae"&amp;$G$1),INDIRECT("'数据-取费表'!af"&amp;$G$1))</f>
        <v>33.049999999999997</v>
      </c>
      <c r="G41" s="1841"/>
      <c r="H41" s="730"/>
      <c r="I41" s="1850"/>
      <c r="J41" s="1851"/>
      <c r="K41" s="749"/>
      <c r="L41" s="730"/>
      <c r="M41" s="730"/>
    </row>
    <row r="42" spans="1:18" ht="18" customHeight="1">
      <c r="A42" s="352"/>
      <c r="B42" s="353"/>
      <c r="C42" s="354"/>
      <c r="D42" s="372"/>
      <c r="E42" s="346" t="s">
        <v>1471</v>
      </c>
      <c r="F42" s="356">
        <f ca="1">INDIRECT("'数据-取费表'!v"&amp;$G$1)</f>
        <v>1.4999999999999999E-2</v>
      </c>
      <c r="G42" s="1841"/>
      <c r="H42" s="730"/>
      <c r="I42" s="1850"/>
      <c r="J42" s="1851"/>
      <c r="K42" s="749"/>
      <c r="L42" s="730"/>
      <c r="M42" s="730"/>
    </row>
    <row r="43" spans="1:18" ht="18" customHeight="1" thickBot="1">
      <c r="A43" s="379" t="s">
        <v>1029</v>
      </c>
      <c r="B43" s="380" t="s">
        <v>1481</v>
      </c>
      <c r="C43" s="381">
        <f ca="1">ROUND(C40*10000/F43,0)</f>
        <v>5202</v>
      </c>
      <c r="D43" s="382" t="s">
        <v>1482</v>
      </c>
      <c r="E43" s="383" t="s">
        <v>1483</v>
      </c>
      <c r="F43" s="384">
        <f ca="1">INDIRECT("'数据-取费表'!k"&amp;$G$1)</f>
        <v>30049.22</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4"/>
      <c r="O45" s="1859" t="s">
        <v>1513</v>
      </c>
      <c r="P45" s="1829"/>
      <c r="Q45" s="1829"/>
      <c r="R45" s="1829"/>
    </row>
    <row r="46" spans="1:18" s="1832" customFormat="1" ht="13.5" thickBot="1">
      <c r="A46" s="1860" t="s">
        <v>1514</v>
      </c>
      <c r="C46" s="1861">
        <f ca="1">C68-C40</f>
        <v>-32783</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0"/>
      <c r="I47" s="1870" t="s">
        <v>1520</v>
      </c>
      <c r="J47" s="1871" t="s">
        <v>3076</v>
      </c>
      <c r="K47" s="1872" t="s">
        <v>1521</v>
      </c>
      <c r="L47" s="1873">
        <f ca="1">INDIRECT("'数据-取费表'!d"&amp;$G$1)</f>
        <v>50</v>
      </c>
      <c r="M47" s="1828" t="str">
        <f>IF(ISNUMBER(FIND("住宅",C1)),"住宅","非住宅")</f>
        <v>非住宅</v>
      </c>
      <c r="O47" s="1874" t="s">
        <v>1036</v>
      </c>
      <c r="P47" s="1875" t="s">
        <v>1522</v>
      </c>
      <c r="Q47" s="1876">
        <f ca="1">C40+J29</f>
        <v>15633</v>
      </c>
      <c r="R47" s="1876" t="s">
        <v>1523</v>
      </c>
    </row>
    <row r="48" spans="1:18" s="1832" customFormat="1" ht="28.5" thickBot="1">
      <c r="A48" s="1358" t="s">
        <v>1131</v>
      </c>
      <c r="B48" s="344" t="s">
        <v>1395</v>
      </c>
      <c r="C48" s="1807">
        <f ca="1">C49+C53+C55</f>
        <v>0</v>
      </c>
      <c r="D48" s="1360"/>
      <c r="E48" s="1361"/>
      <c r="F48" s="1179"/>
      <c r="G48" s="790"/>
      <c r="H48" s="791"/>
      <c r="I48" s="1877" t="s">
        <v>1524</v>
      </c>
      <c r="J48" s="1878" t="s">
        <v>3081</v>
      </c>
      <c r="K48" s="1879" t="s">
        <v>1525</v>
      </c>
      <c r="L48" s="1880">
        <f ca="1">INDIRECT("'数据-取费表'!f"&amp;$G$1)</f>
        <v>33.049999999999997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3030</v>
      </c>
      <c r="E49" s="1820" t="s">
        <v>1485</v>
      </c>
      <c r="F49" s="1279"/>
      <c r="G49" s="1881"/>
      <c r="H49" s="791"/>
      <c r="I49" s="1877" t="s">
        <v>1528</v>
      </c>
      <c r="J49" s="1882">
        <v>2006</v>
      </c>
      <c r="K49" s="1879" t="s">
        <v>1529</v>
      </c>
      <c r="L49" s="1883"/>
      <c r="O49" s="1884" t="s">
        <v>1038</v>
      </c>
      <c r="P49" s="1875" t="s">
        <v>1530</v>
      </c>
      <c r="Q49" s="1876">
        <f ca="1">C29</f>
        <v>11258</v>
      </c>
      <c r="R49" s="1876" t="s">
        <v>1523</v>
      </c>
    </row>
    <row r="50" spans="1:18" s="1832" customFormat="1" ht="13.5" thickBot="1">
      <c r="A50" s="1193"/>
      <c r="B50" s="1196"/>
      <c r="C50" s="1366"/>
      <c r="D50" s="1170"/>
      <c r="E50" s="1275" t="s">
        <v>1400</v>
      </c>
      <c r="F50" s="1276">
        <f ca="1">F7</f>
        <v>30049.22</v>
      </c>
      <c r="H50" s="791"/>
      <c r="I50" s="1877" t="s">
        <v>1531</v>
      </c>
      <c r="J50" s="1885">
        <f>SUMPRODUCT((I63:I65=J47)*(J62:L62=J48)*(J63:L65))</f>
        <v>70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7">
        <f ca="1">F8</f>
        <v>365</v>
      </c>
      <c r="I51" s="1888" t="s">
        <v>1534</v>
      </c>
      <c r="J51" s="1889">
        <f>IF(J49="",J50,J49+J50-YEAR('数据-取费表'!B2))</f>
        <v>56</v>
      </c>
      <c r="K51" s="1890" t="s">
        <v>1535</v>
      </c>
      <c r="L51" s="1891">
        <f ca="1">ROUND(-PV(INDIRECT("'数据-取费表'!h"&amp;$G$1),J51,(C39-C13*C76),0),0)</f>
        <v>2309</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33.049999999999997</v>
      </c>
      <c r="R52" s="1876" t="s">
        <v>1540</v>
      </c>
    </row>
    <row r="53" spans="1:18" s="1832" customFormat="1" ht="24.75" thickBot="1">
      <c r="A53" s="1403" t="s">
        <v>1133</v>
      </c>
      <c r="B53" s="1821" t="s">
        <v>1403</v>
      </c>
      <c r="C53" s="360">
        <f ca="1">ROUND(IF(F53="押一",C49/12*F11,IF(F53="押二",C49/12*2*F11,IF(F53="押三",C49/12*3*F11,C54*F11))),0)</f>
        <v>0</v>
      </c>
      <c r="D53" s="1814" t="s">
        <v>3037</v>
      </c>
      <c r="E53" s="357" t="s">
        <v>1404</v>
      </c>
      <c r="F53" s="1364"/>
      <c r="I53" s="1895" t="s">
        <v>1541</v>
      </c>
      <c r="J53" s="2942">
        <f ca="1">IF(M47="住宅",IF(D1="——",MAX(J51,L48),MAX(J51,L48-'数据-取费表'!B24)),IF(D1="——",MIN(J51,L48),MIN(J51,L48-'数据-取费表'!B24)))</f>
        <v>33.049999999999997</v>
      </c>
      <c r="K53" s="3158" t="s">
        <v>1542</v>
      </c>
      <c r="L53" s="3159"/>
      <c r="O53" s="1874" t="s">
        <v>1042</v>
      </c>
      <c r="P53" s="1875" t="s">
        <v>1543</v>
      </c>
      <c r="Q53" s="1876">
        <f ca="1">Q47+Q48</f>
        <v>15633</v>
      </c>
      <c r="R53" s="1876" t="s">
        <v>1043</v>
      </c>
    </row>
    <row r="54" spans="1:18" s="1832" customFormat="1" ht="13.5" thickBot="1">
      <c r="A54" s="1404"/>
      <c r="B54" s="1815" t="s">
        <v>1382</v>
      </c>
      <c r="C54" s="1176"/>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5">
        <f ca="1">C13</f>
        <v>9344</v>
      </c>
      <c r="D56" s="1903"/>
      <c r="E56" s="1904"/>
      <c r="F56" s="1896"/>
      <c r="I56" s="1905" t="s">
        <v>1548</v>
      </c>
      <c r="J56" s="1906" t="s">
        <v>3065</v>
      </c>
      <c r="K56" s="1877" t="s">
        <v>1549</v>
      </c>
      <c r="L56" s="1880" t="str">
        <f ca="1">IF(L48&lt;J51,"——",L48-J53)</f>
        <v>——</v>
      </c>
      <c r="O56" s="1874" t="s">
        <v>1036</v>
      </c>
      <c r="P56" s="1875" t="s">
        <v>1522</v>
      </c>
      <c r="Q56" s="1876">
        <f ca="1">C40+J29</f>
        <v>15633</v>
      </c>
      <c r="R56" s="1876" t="s">
        <v>1523</v>
      </c>
    </row>
    <row r="57" spans="1:18" s="1832" customFormat="1" ht="24.75" thickBot="1">
      <c r="A57" s="1907"/>
      <c r="B57" s="1167" t="s">
        <v>1472</v>
      </c>
      <c r="C57" s="281">
        <f ca="1">C29</f>
        <v>11258</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59" t="s">
        <v>1026</v>
      </c>
      <c r="B58" s="1175" t="s">
        <v>1418</v>
      </c>
      <c r="C58" s="360">
        <f ca="1">ROUND(C59+C64+C65+C66,0)</f>
        <v>1137</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953.8</v>
      </c>
      <c r="D59" s="1180" t="s">
        <v>1424</v>
      </c>
      <c r="E59" s="1181" t="s">
        <v>1425</v>
      </c>
      <c r="F59" s="367"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6">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1487</v>
      </c>
      <c r="C61" s="24">
        <f ca="1">IF(项目基本情况!B11="自然人","——",IF(D61="按租金收入计税",ROUND(C48*F61,2),IF(D61="按房产原值计税",ROUND(C57*F61*0.7,2),INDIRECT("'数据-取费表'!Aj"&amp;$G$1))))</f>
        <v>945.67</v>
      </c>
      <c r="D61" s="1818" t="s">
        <v>1432</v>
      </c>
      <c r="E61" s="1167" t="s">
        <v>1488</v>
      </c>
      <c r="F61" s="366">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199" t="s">
        <v>1489</v>
      </c>
      <c r="B62" s="1166" t="s">
        <v>1490</v>
      </c>
      <c r="C62" s="25">
        <f ca="1">IF(项目基本情况!B11="自然人","——",ROUND(F62*F63/10000,2))</f>
        <v>8.1199999999999992</v>
      </c>
      <c r="D62" s="1182" t="s">
        <v>1491</v>
      </c>
      <c r="E62" s="1167" t="s">
        <v>1492</v>
      </c>
      <c r="F62" s="370">
        <f t="shared" si="0"/>
        <v>1.5</v>
      </c>
      <c r="I62" s="1918" t="s">
        <v>1564</v>
      </c>
      <c r="J62" s="1919" t="s">
        <v>1565</v>
      </c>
      <c r="K62" s="1919" t="s">
        <v>1566</v>
      </c>
      <c r="L62" s="1919" t="s">
        <v>1567</v>
      </c>
      <c r="M62" s="1920" t="s">
        <v>1568</v>
      </c>
      <c r="O62" s="1874" t="s">
        <v>1042</v>
      </c>
      <c r="P62" s="1875" t="s">
        <v>1569</v>
      </c>
      <c r="Q62" s="1876">
        <f ca="1">Q56+Q57</f>
        <v>15633</v>
      </c>
      <c r="R62" s="1876" t="s">
        <v>1043</v>
      </c>
    </row>
    <row r="63" spans="1:18" s="1832" customFormat="1" ht="13.5" thickBot="1">
      <c r="A63" s="371"/>
      <c r="B63" s="1173"/>
      <c r="C63" s="29"/>
      <c r="D63" s="1183"/>
      <c r="E63" s="1167" t="s">
        <v>1493</v>
      </c>
      <c r="F63" s="347">
        <f t="shared" ca="1" si="0"/>
        <v>54110.44</v>
      </c>
      <c r="I63" s="1918" t="s">
        <v>1570</v>
      </c>
      <c r="J63" s="1919">
        <v>70</v>
      </c>
      <c r="K63" s="1919">
        <v>50</v>
      </c>
      <c r="L63" s="1919">
        <v>80</v>
      </c>
      <c r="M63" s="1921">
        <v>0.02</v>
      </c>
      <c r="O63" s="1859" t="s">
        <v>1571</v>
      </c>
      <c r="P63" s="1829"/>
      <c r="Q63" s="1829"/>
      <c r="R63" s="1829"/>
    </row>
    <row r="64" spans="1:18" s="1832" customFormat="1" ht="13.5" thickBot="1">
      <c r="A64" s="1199" t="s">
        <v>1494</v>
      </c>
      <c r="B64" s="1167" t="s">
        <v>1495</v>
      </c>
      <c r="C64" s="24">
        <f ca="1">ROUND(C57*F64,1)</f>
        <v>168.9</v>
      </c>
      <c r="D64" s="1181" t="s">
        <v>1496</v>
      </c>
      <c r="E64" s="1167" t="s">
        <v>1488</v>
      </c>
      <c r="F64" s="373">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14</v>
      </c>
      <c r="D65" s="1181" t="s">
        <v>1448</v>
      </c>
      <c r="E65" s="1167" t="s">
        <v>1449</v>
      </c>
      <c r="F65" s="375">
        <f t="shared" ca="1" si="0"/>
        <v>1.5E-3</v>
      </c>
      <c r="I65" s="1918" t="s">
        <v>1573</v>
      </c>
      <c r="J65" s="1919">
        <v>40</v>
      </c>
      <c r="K65" s="1919">
        <v>30</v>
      </c>
      <c r="L65" s="1919">
        <v>50</v>
      </c>
      <c r="M65" s="1921">
        <v>0.02</v>
      </c>
      <c r="O65" s="1874" t="s">
        <v>1036</v>
      </c>
      <c r="P65" s="1875" t="s">
        <v>1574</v>
      </c>
      <c r="Q65" s="1876">
        <f ca="1">C40+J29</f>
        <v>15633</v>
      </c>
      <c r="R65" s="1876" t="s">
        <v>1523</v>
      </c>
    </row>
    <row r="66" spans="1:18" s="1832" customFormat="1" ht="16.5" thickBot="1">
      <c r="A66" s="1199" t="s">
        <v>1498</v>
      </c>
      <c r="B66" s="1167" t="s">
        <v>1433</v>
      </c>
      <c r="C66" s="24">
        <f ca="1">ROUND(C48*F66,1)</f>
        <v>0</v>
      </c>
      <c r="D66" s="1181" t="s">
        <v>1499</v>
      </c>
      <c r="E66" s="1167" t="s">
        <v>1416</v>
      </c>
      <c r="F66" s="356">
        <f t="shared" ca="1" si="0"/>
        <v>0.01</v>
      </c>
      <c r="O66" s="1874" t="s">
        <v>1037</v>
      </c>
      <c r="P66" s="1875" t="s">
        <v>1552</v>
      </c>
      <c r="Q66" s="1876">
        <f ca="1">L60</f>
        <v>0</v>
      </c>
      <c r="R66" s="1876" t="s">
        <v>1575</v>
      </c>
    </row>
    <row r="67" spans="1:18" s="1832" customFormat="1" ht="16.5" thickBot="1">
      <c r="A67" s="1174" t="s">
        <v>1027</v>
      </c>
      <c r="B67" s="1184" t="s">
        <v>1457</v>
      </c>
      <c r="C67" s="360">
        <f ca="1">C48-C58</f>
        <v>-1137</v>
      </c>
      <c r="D67" s="1180" t="s">
        <v>1458</v>
      </c>
      <c r="E67" s="1185"/>
      <c r="F67" s="1186"/>
      <c r="O67" s="1884" t="s">
        <v>1038</v>
      </c>
      <c r="P67" s="1875" t="s">
        <v>1556</v>
      </c>
      <c r="Q67" s="1922">
        <f ca="1">L51</f>
        <v>2309</v>
      </c>
      <c r="R67" s="1876" t="s">
        <v>1576</v>
      </c>
    </row>
    <row r="68" spans="1:18" s="1832" customFormat="1" ht="16.5" thickBot="1">
      <c r="A68" s="1164" t="s">
        <v>1028</v>
      </c>
      <c r="B68" s="1165" t="s">
        <v>1479</v>
      </c>
      <c r="C68" s="345">
        <f ca="1">ROUND(C67*(1-((1+F70)/(1+F68))^F69)/(F68-F70),0)</f>
        <v>-17150</v>
      </c>
      <c r="D68" s="1182" t="s">
        <v>1463</v>
      </c>
      <c r="E68" s="1167" t="s">
        <v>1464</v>
      </c>
      <c r="F68" s="356">
        <f ca="1">F40</f>
        <v>5.5E-2</v>
      </c>
      <c r="O68" s="1884" t="s">
        <v>1039</v>
      </c>
      <c r="P68" s="1923" t="s">
        <v>1577</v>
      </c>
      <c r="Q68" s="1876">
        <f ca="1">ROUND(Q69-Q70*Q71,0)</f>
        <v>119</v>
      </c>
      <c r="R68" s="1876" t="s">
        <v>1047</v>
      </c>
    </row>
    <row r="69" spans="1:18" s="1832" customFormat="1" ht="13.5" thickBot="1">
      <c r="A69" s="1168"/>
      <c r="B69" s="1169"/>
      <c r="C69" s="350"/>
      <c r="D69" s="1187" t="s">
        <v>1467</v>
      </c>
      <c r="E69" s="1167" t="s">
        <v>1468</v>
      </c>
      <c r="F69" s="378">
        <f ca="1">F41</f>
        <v>33.049999999999997</v>
      </c>
      <c r="O69" s="1884" t="s">
        <v>1044</v>
      </c>
      <c r="P69" s="1923" t="s">
        <v>1578</v>
      </c>
      <c r="Q69" s="1876">
        <f ca="1">C39</f>
        <v>867</v>
      </c>
      <c r="R69" s="1876" t="s">
        <v>1523</v>
      </c>
    </row>
    <row r="70" spans="1:18" s="1832" customFormat="1" ht="13.5" thickBot="1">
      <c r="A70" s="1171"/>
      <c r="B70" s="1172"/>
      <c r="C70" s="354"/>
      <c r="D70" s="1183"/>
      <c r="E70" s="1167" t="s">
        <v>1471</v>
      </c>
      <c r="F70" s="1273"/>
      <c r="O70" s="1884" t="s">
        <v>1045</v>
      </c>
      <c r="P70" s="1923" t="s">
        <v>1579</v>
      </c>
      <c r="Q70" s="1876">
        <f ca="1">C13</f>
        <v>9344</v>
      </c>
      <c r="R70" s="1876" t="s">
        <v>1523</v>
      </c>
    </row>
    <row r="71" spans="1:18" s="1832" customFormat="1" ht="13.5" thickBot="1">
      <c r="A71" s="1188" t="s">
        <v>1029</v>
      </c>
      <c r="B71" s="1189" t="s">
        <v>1481</v>
      </c>
      <c r="C71" s="381">
        <f ca="1">ROUND(C68*10000/F71,0)</f>
        <v>-5707</v>
      </c>
      <c r="D71" s="1190" t="s">
        <v>1482</v>
      </c>
      <c r="E71" s="1191" t="s">
        <v>1483</v>
      </c>
      <c r="F71" s="384">
        <f ca="1">F43</f>
        <v>30049.22</v>
      </c>
      <c r="O71" s="1884" t="s">
        <v>1046</v>
      </c>
      <c r="P71" s="1923" t="s">
        <v>1580</v>
      </c>
      <c r="Q71" s="1887">
        <f ca="1">C76</f>
        <v>0.08</v>
      </c>
      <c r="R71" s="1876"/>
    </row>
    <row r="72" spans="1:18" s="1832" customFormat="1" ht="13.5" thickBot="1">
      <c r="B72" s="794"/>
      <c r="C72" s="794"/>
      <c r="O72" s="1884" t="s">
        <v>1040</v>
      </c>
      <c r="P72" s="1875" t="s">
        <v>1558</v>
      </c>
      <c r="Q72" s="1887">
        <f>L52</f>
        <v>0</v>
      </c>
      <c r="R72" s="1876"/>
    </row>
    <row r="73" spans="1:18" ht="16.5" thickBot="1">
      <c r="A73" s="1832"/>
      <c r="B73" s="794"/>
      <c r="C73" s="794"/>
      <c r="D73" s="1832"/>
      <c r="E73" s="1832"/>
      <c r="F73" s="1832"/>
      <c r="O73" s="1884" t="s">
        <v>1041</v>
      </c>
      <c r="P73" s="1875" t="s">
        <v>1561</v>
      </c>
      <c r="Q73" s="1876" t="e">
        <f ca="1">L58</f>
        <v>#DIV/0!</v>
      </c>
      <c r="R73" s="1876" t="s">
        <v>1562</v>
      </c>
    </row>
    <row r="74" spans="1:18" ht="13.5" thickBot="1">
      <c r="A74" s="1832"/>
      <c r="B74" s="316"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5" t="s">
        <v>1500</v>
      </c>
      <c r="C75" s="386">
        <f ca="1">ROUND(C13*C76,0)</f>
        <v>748</v>
      </c>
      <c r="D75" s="1832"/>
      <c r="E75" s="1832"/>
      <c r="F75" s="1832"/>
      <c r="K75" s="1858"/>
      <c r="L75" s="1832"/>
      <c r="O75" s="1874" t="s">
        <v>1042</v>
      </c>
      <c r="P75" s="1875" t="s">
        <v>1543</v>
      </c>
      <c r="Q75" s="1876">
        <f ca="1">Q65+Q66</f>
        <v>15633</v>
      </c>
      <c r="R75" s="1876" t="s">
        <v>1043</v>
      </c>
    </row>
    <row r="76" spans="1:18">
      <c r="B76" s="387" t="s">
        <v>1501</v>
      </c>
      <c r="C76" s="388">
        <f ca="1">INDIRECT("'数据-取费表'!j"&amp;$G$1)</f>
        <v>0.08</v>
      </c>
      <c r="I76" s="1832"/>
      <c r="J76" s="1832"/>
      <c r="K76" s="1858"/>
      <c r="L76" s="1832"/>
    </row>
    <row r="77" spans="1:18">
      <c r="B77" s="389" t="s">
        <v>1502</v>
      </c>
      <c r="C77" s="390"/>
      <c r="I77" s="1832"/>
      <c r="J77" s="1832"/>
      <c r="K77" s="1858"/>
      <c r="L77" s="1832"/>
    </row>
    <row r="78" spans="1:18">
      <c r="B78" s="313" t="s">
        <v>1503</v>
      </c>
      <c r="C78" s="391"/>
    </row>
    <row r="79" spans="1:18">
      <c r="B79" s="385" t="s">
        <v>1504</v>
      </c>
      <c r="C79" s="317">
        <f ca="1">1-C80</f>
        <v>0.13700000000000001</v>
      </c>
    </row>
    <row r="80" spans="1:18">
      <c r="B80" s="385" t="s">
        <v>1505</v>
      </c>
      <c r="C80" s="317">
        <f ca="1">ROUND(C75/C39,3)</f>
        <v>0.86299999999999999</v>
      </c>
    </row>
    <row r="81" spans="2:3">
      <c r="B81" s="313" t="s">
        <v>1506</v>
      </c>
      <c r="C81" s="281"/>
    </row>
    <row r="82" spans="2:3">
      <c r="B82" s="316" t="s">
        <v>1507</v>
      </c>
      <c r="C82" s="318">
        <f ca="1">1-C83</f>
        <v>0.40200000000000002</v>
      </c>
    </row>
    <row r="83" spans="2:3">
      <c r="B83" s="316" t="s">
        <v>1508</v>
      </c>
      <c r="C83" s="317">
        <f ca="1">ROUND(C13/C40,3)</f>
        <v>0.59799999999999998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4"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1583</v>
      </c>
      <c r="B1" s="780"/>
      <c r="C1" s="1827"/>
      <c r="D1" s="1810"/>
      <c r="E1" s="1811" t="s">
        <v>1381</v>
      </c>
      <c r="F1" s="1281">
        <f ca="1">J53</f>
        <v>0</v>
      </c>
      <c r="G1" s="1826">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2" t="s">
        <v>1582</v>
      </c>
      <c r="I3" s="1830"/>
      <c r="J3" s="1830"/>
      <c r="K3" s="1831"/>
      <c r="L3" s="1830"/>
      <c r="M3" s="1830"/>
    </row>
    <row r="4" spans="1:37" ht="18" customHeight="1">
      <c r="A4" s="339" t="s">
        <v>1589</v>
      </c>
      <c r="B4" s="340" t="s">
        <v>1590</v>
      </c>
      <c r="C4" s="340" t="s">
        <v>1591</v>
      </c>
      <c r="D4" s="340" t="s">
        <v>1592</v>
      </c>
      <c r="E4" s="341" t="s">
        <v>1593</v>
      </c>
      <c r="F4" s="342"/>
      <c r="G4" s="1841"/>
      <c r="H4" s="339" t="s">
        <v>1589</v>
      </c>
      <c r="I4" s="340" t="s">
        <v>1590</v>
      </c>
      <c r="J4" s="340" t="s">
        <v>1591</v>
      </c>
      <c r="K4" s="340" t="s">
        <v>1592</v>
      </c>
      <c r="L4" s="341" t="s">
        <v>1593</v>
      </c>
      <c r="M4" s="342"/>
    </row>
    <row r="5" spans="1:37" ht="18" customHeight="1">
      <c r="A5" s="343">
        <v>1</v>
      </c>
      <c r="B5" s="344" t="s">
        <v>1594</v>
      </c>
      <c r="C5" s="1290">
        <f ca="1">C6+C10+C12</f>
        <v>0</v>
      </c>
      <c r="D5" s="1812" t="s">
        <v>1595</v>
      </c>
      <c r="E5" s="1291"/>
      <c r="F5" s="1292"/>
      <c r="G5" s="1841"/>
      <c r="H5" s="343">
        <v>1</v>
      </c>
      <c r="I5" s="344" t="s">
        <v>1594</v>
      </c>
      <c r="J5" s="1290">
        <f ca="1">J6+J10+J12</f>
        <v>0</v>
      </c>
      <c r="K5" s="1812" t="s">
        <v>1595</v>
      </c>
      <c r="L5" s="1291"/>
      <c r="M5" s="1292"/>
    </row>
    <row r="6" spans="1:37" ht="18" customHeight="1">
      <c r="A6" s="1289" t="s">
        <v>1031</v>
      </c>
      <c r="B6" s="3160" t="s">
        <v>1397</v>
      </c>
      <c r="C6" s="1294">
        <f ca="1">ROUND(F6*F8*F7*(1-F9),0)</f>
        <v>0</v>
      </c>
      <c r="D6" s="163" t="s">
        <v>3026</v>
      </c>
      <c r="E6" s="346" t="s">
        <v>1399</v>
      </c>
      <c r="F6" s="347">
        <f ca="1">INDIRECT("'数据-取费表'!u"&amp;$G$1)</f>
        <v>0</v>
      </c>
      <c r="G6" s="1841"/>
      <c r="H6" s="1289" t="s">
        <v>1031</v>
      </c>
      <c r="I6" s="3160" t="s">
        <v>1397</v>
      </c>
      <c r="J6" s="345">
        <f ca="1">ROUND(M6*M8*M7*(1-M9),0)</f>
        <v>0</v>
      </c>
      <c r="K6" s="1824" t="s">
        <v>3027</v>
      </c>
      <c r="L6" s="346" t="s">
        <v>1399</v>
      </c>
      <c r="M6" s="347">
        <f ca="1">INDIRECT("'数据-取费表'!z"&amp;$G$1)</f>
        <v>0</v>
      </c>
    </row>
    <row r="7" spans="1:37" ht="18" customHeight="1">
      <c r="A7" s="1293"/>
      <c r="B7" s="3161"/>
      <c r="C7" s="1295"/>
      <c r="D7" s="351"/>
      <c r="E7" s="1296" t="s">
        <v>1400</v>
      </c>
      <c r="F7" s="347">
        <f ca="1">IF(INDIRECT("'数据-取费表'!ah"&amp;$G$1)="",INDIRECT("'数据-取费表'!k"&amp;$G$1),INDIRECT("'数据-取费表'!ah"&amp;$G$1))</f>
        <v>0</v>
      </c>
      <c r="G7" s="1841"/>
      <c r="H7" s="348"/>
      <c r="I7" s="3161"/>
      <c r="J7" s="350"/>
      <c r="K7" s="351"/>
      <c r="L7" s="346" t="s">
        <v>1400</v>
      </c>
      <c r="M7" s="347">
        <f ca="1">F7</f>
        <v>0</v>
      </c>
    </row>
    <row r="8" spans="1:37" ht="18" customHeight="1">
      <c r="A8" s="348"/>
      <c r="B8" s="3161"/>
      <c r="C8" s="350"/>
      <c r="D8" s="351"/>
      <c r="E8" s="346" t="s">
        <v>1401</v>
      </c>
      <c r="F8" s="347">
        <f ca="1">INDIRECT("'数据-取费表'!ai"&amp;$G$1)</f>
        <v>0</v>
      </c>
      <c r="G8" s="1841"/>
      <c r="H8" s="348"/>
      <c r="I8" s="3161"/>
      <c r="J8" s="350"/>
      <c r="K8" s="351"/>
      <c r="L8" s="346" t="s">
        <v>1401</v>
      </c>
      <c r="M8" s="347">
        <f ca="1">INDIRECT("'数据-取费表'!ai"&amp;$G$1)</f>
        <v>0</v>
      </c>
    </row>
    <row r="9" spans="1:37" ht="18" customHeight="1">
      <c r="A9" s="348"/>
      <c r="B9" s="3162"/>
      <c r="C9" s="350"/>
      <c r="D9" s="351"/>
      <c r="E9" s="346" t="s">
        <v>1402</v>
      </c>
      <c r="F9" s="356">
        <f ca="1">INDIRECT("'数据-取费表'!w"&amp;$G$1)</f>
        <v>0</v>
      </c>
      <c r="G9" s="1841"/>
      <c r="H9" s="348"/>
      <c r="I9" s="3162"/>
      <c r="J9" s="350"/>
      <c r="K9" s="351"/>
      <c r="L9" s="357" t="s">
        <v>1402</v>
      </c>
      <c r="M9" s="358">
        <f ca="1">INDIRECT("'数据-取费表'!ab"&amp;$G$1)</f>
        <v>0</v>
      </c>
    </row>
    <row r="10" spans="1:37" ht="18" customHeight="1">
      <c r="A10" s="1289" t="s">
        <v>1035</v>
      </c>
      <c r="B10" s="1813" t="s">
        <v>1403</v>
      </c>
      <c r="C10" s="360">
        <f ca="1">ROUND(IF(F10="押一",C6/12*F11,IF(F10="押二",C6/12*2*F11,IF(F10="押三",C6/12*3*F11,C11*F11))),0)</f>
        <v>0</v>
      </c>
      <c r="D10" s="1814" t="s">
        <v>3037</v>
      </c>
      <c r="E10" s="357" t="s">
        <v>1404</v>
      </c>
      <c r="F10" s="1364"/>
      <c r="G10" s="1841"/>
      <c r="H10" s="1289" t="s">
        <v>1035</v>
      </c>
      <c r="I10" s="1813" t="s">
        <v>1403</v>
      </c>
      <c r="J10" s="345">
        <f ca="1">ROUND(IF(M10="押一",J6/12*M11,IF(M10="押二",J6/12*2*M11,IF(M10="押三",J6/12*3*M11,J11*M11))),0)</f>
        <v>0</v>
      </c>
      <c r="K10" s="1825" t="s">
        <v>3039</v>
      </c>
      <c r="L10" s="357" t="s">
        <v>1404</v>
      </c>
      <c r="M10" s="1364"/>
    </row>
    <row r="11" spans="1:37" ht="18" customHeight="1">
      <c r="A11" s="352"/>
      <c r="B11" s="1815" t="s">
        <v>1596</v>
      </c>
      <c r="C11" s="1176"/>
      <c r="D11" s="351"/>
      <c r="E11" s="357" t="s">
        <v>1406</v>
      </c>
      <c r="F11" s="358">
        <f ca="1">'数据-取费表'!B39</f>
        <v>1.4999999999999999E-2</v>
      </c>
      <c r="G11" s="1841"/>
      <c r="H11" s="1297"/>
      <c r="I11" s="1815" t="s">
        <v>1597</v>
      </c>
      <c r="J11" s="1176"/>
      <c r="K11" s="746"/>
      <c r="L11" s="357"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4">
        <f ca="1">ROUND(C29*F13,0)</f>
        <v>0</v>
      </c>
      <c r="D13" s="1329" t="s">
        <v>1409</v>
      </c>
      <c r="E13" s="1329" t="s">
        <v>1410</v>
      </c>
      <c r="F13" s="1330">
        <f ca="1">INDIRECT("'数据-取费表'!y"&amp;$G$1)</f>
        <v>0</v>
      </c>
      <c r="G13" s="1841"/>
      <c r="H13" s="1327">
        <v>2</v>
      </c>
      <c r="I13" s="1328" t="s">
        <v>1408</v>
      </c>
      <c r="J13" s="1288">
        <f ca="1">ROUND(J14*J15,0)</f>
        <v>0</v>
      </c>
      <c r="K13" s="1335" t="s">
        <v>1409</v>
      </c>
      <c r="L13" s="1842"/>
      <c r="M13" s="1843"/>
    </row>
    <row r="14" spans="1:37" ht="18" customHeight="1">
      <c r="A14" s="1199" t="s">
        <v>1030</v>
      </c>
      <c r="B14" s="346" t="s">
        <v>1411</v>
      </c>
      <c r="C14" s="362">
        <f ca="1">ROUND(INDIRECT("'数据-取费表'!l"&amp;$G$1)*F43+'数据-取费表'!L14*INDIRECT("'数据-取费表'!S"&amp;$G$1),0)</f>
        <v>0</v>
      </c>
      <c r="D14" s="1790" t="s">
        <v>1412</v>
      </c>
      <c r="E14" s="1784"/>
      <c r="F14" s="363"/>
      <c r="G14" s="1841"/>
      <c r="H14" s="1199" t="s">
        <v>1031</v>
      </c>
      <c r="I14" s="346" t="s">
        <v>1413</v>
      </c>
      <c r="J14" s="24">
        <f ca="1">C29</f>
        <v>0</v>
      </c>
      <c r="K14" s="15"/>
      <c r="L14" s="977"/>
      <c r="M14" s="978"/>
    </row>
    <row r="15" spans="1:37" s="1848" customFormat="1" ht="18" customHeight="1" thickBot="1">
      <c r="A15" s="1199" t="s">
        <v>1032</v>
      </c>
      <c r="B15" s="346" t="s">
        <v>1414</v>
      </c>
      <c r="C15" s="24">
        <f ca="1">ROUND(C14*F15,0)</f>
        <v>0</v>
      </c>
      <c r="D15" s="364" t="s">
        <v>1415</v>
      </c>
      <c r="E15" s="364" t="s">
        <v>1416</v>
      </c>
      <c r="F15" s="365">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6" t="s">
        <v>1417</v>
      </c>
      <c r="C16" s="24">
        <f ca="1">ROUND(INDIRECT("'数据-取费表'!l"&amp;$G$1)*F43*F16,0)</f>
        <v>0</v>
      </c>
      <c r="D16" s="346" t="s">
        <v>1415</v>
      </c>
      <c r="E16" s="346" t="s">
        <v>1416</v>
      </c>
      <c r="F16" s="366">
        <f ca="1">IF(INDIRECT("'数据-取费表'!c"&amp;$G$1)="住宅",'数据-取费表'!B34,0)</f>
        <v>0</v>
      </c>
      <c r="G16" s="1841"/>
      <c r="H16" s="1327" t="s">
        <v>1026</v>
      </c>
      <c r="I16" s="1328" t="s">
        <v>1418</v>
      </c>
      <c r="J16" s="354">
        <f ca="1">ROUND(J17+J22+J23+J24,0)</f>
        <v>0</v>
      </c>
      <c r="K16" s="1335" t="s">
        <v>1419</v>
      </c>
      <c r="L16" s="1336"/>
      <c r="M16" s="1292"/>
    </row>
    <row r="17" spans="1:37" s="1848" customFormat="1" ht="18" customHeight="1">
      <c r="A17" s="1199" t="s">
        <v>1384</v>
      </c>
      <c r="B17" s="346" t="s">
        <v>1420</v>
      </c>
      <c r="C17" s="24">
        <f ca="1">ROUND(F17*(F43+INDIRECT("'数据-取费表'!S"&amp;$G$1)),0)</f>
        <v>0</v>
      </c>
      <c r="D17" s="346" t="s">
        <v>1421</v>
      </c>
      <c r="E17" s="346" t="s">
        <v>1422</v>
      </c>
      <c r="F17" s="26">
        <f>'数据-取费表'!B35</f>
        <v>200</v>
      </c>
      <c r="G17" s="1844"/>
      <c r="H17" s="1199" t="s">
        <v>1031</v>
      </c>
      <c r="I17" s="346" t="s">
        <v>1423</v>
      </c>
      <c r="J17" s="24">
        <f ca="1">ROUND(IF(项目基本情况!B11="自然人",J6*M17/(1+'数据-取费表'!C42),J18+J19+J20),0)</f>
        <v>0</v>
      </c>
      <c r="K17" s="1790" t="s">
        <v>1424</v>
      </c>
      <c r="L17" s="1788" t="s">
        <v>1425</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6" t="s">
        <v>1426</v>
      </c>
      <c r="C18" s="24">
        <f ca="1">ROUND(C14*F18,0)</f>
        <v>0</v>
      </c>
      <c r="D18" s="346" t="s">
        <v>1415</v>
      </c>
      <c r="E18" s="346" t="s">
        <v>1416</v>
      </c>
      <c r="F18" s="366">
        <f>'数据-取费表'!B36</f>
        <v>1.4999999999999999E-2</v>
      </c>
      <c r="G18" s="1844"/>
      <c r="H18" s="1199" t="s">
        <v>1030</v>
      </c>
      <c r="I18" s="346" t="s">
        <v>1427</v>
      </c>
      <c r="J18" s="24">
        <f ca="1">ROUND(J6*M18/(1+'数据-取费表'!C42),0)</f>
        <v>0</v>
      </c>
      <c r="K18" s="1788" t="s">
        <v>1428</v>
      </c>
      <c r="L18" s="346" t="s">
        <v>1416</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6" t="s">
        <v>1429</v>
      </c>
      <c r="C19" s="24">
        <f ca="1">SUM(C14:C18)</f>
        <v>0</v>
      </c>
      <c r="D19" s="139" t="s">
        <v>1430</v>
      </c>
      <c r="E19" s="1808"/>
      <c r="F19" s="26"/>
      <c r="G19" s="1841"/>
      <c r="H19" s="1199" t="s">
        <v>1032</v>
      </c>
      <c r="I19" s="346" t="s">
        <v>1431</v>
      </c>
      <c r="J19" s="24">
        <f ca="1">IF(K19="按租金收入计税",ROUND(J6*M19/(1+'数据-取费表'!C42),0),ROUND(C29*M19*0.7,0))</f>
        <v>0</v>
      </c>
      <c r="K19" s="1818" t="s">
        <v>1432</v>
      </c>
      <c r="L19" s="346" t="s">
        <v>1416</v>
      </c>
      <c r="M19" s="366">
        <f>IF(K19="按租金收入计税",'数据-取费表'!B51,'数据-取费表'!B50)</f>
        <v>1.2E-2</v>
      </c>
    </row>
    <row r="20" spans="1:37" s="1848" customFormat="1" ht="18" customHeight="1">
      <c r="A20" s="1199" t="s">
        <v>1035</v>
      </c>
      <c r="B20" s="346" t="s">
        <v>1433</v>
      </c>
      <c r="C20" s="24">
        <f ca="1">ROUND(C19*F20,0)</f>
        <v>0</v>
      </c>
      <c r="D20" s="368" t="s">
        <v>1434</v>
      </c>
      <c r="E20" s="346" t="s">
        <v>1416</v>
      </c>
      <c r="F20" s="366">
        <f>'数据-取费表'!B37</f>
        <v>0.02</v>
      </c>
      <c r="G20" s="1844"/>
      <c r="H20" s="1199" t="s">
        <v>1383</v>
      </c>
      <c r="I20" s="163" t="s">
        <v>1435</v>
      </c>
      <c r="J20" s="25">
        <f ca="1">ROUND(M20*M21,0)</f>
        <v>0</v>
      </c>
      <c r="K20" s="369" t="s">
        <v>1436</v>
      </c>
      <c r="L20" s="346" t="s">
        <v>1437</v>
      </c>
      <c r="M20" s="370">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6" t="s">
        <v>1438</v>
      </c>
      <c r="C21" s="24" t="s">
        <v>1</v>
      </c>
      <c r="D21" s="368" t="s">
        <v>1439</v>
      </c>
      <c r="E21" s="346" t="s">
        <v>1440</v>
      </c>
      <c r="F21" s="366">
        <f>'数据-取费表'!B38</f>
        <v>0.02</v>
      </c>
      <c r="G21" s="1844"/>
      <c r="H21" s="371"/>
      <c r="I21" s="355"/>
      <c r="J21" s="29"/>
      <c r="K21" s="372"/>
      <c r="L21" s="346" t="s">
        <v>1441</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08"/>
      <c r="F22" s="26"/>
      <c r="G22" s="1841"/>
      <c r="H22" s="1199" t="s">
        <v>1035</v>
      </c>
      <c r="I22" s="346" t="s">
        <v>1443</v>
      </c>
      <c r="J22" s="24">
        <f ca="1">ROUND(J14*M22,0)</f>
        <v>0</v>
      </c>
      <c r="K22" s="1788" t="s">
        <v>1444</v>
      </c>
      <c r="L22" s="346" t="s">
        <v>1416</v>
      </c>
      <c r="M22" s="373">
        <f ca="1">INDIRECT("'数据-取费表'!Ak"&amp;$G$1)</f>
        <v>0</v>
      </c>
    </row>
    <row r="23" spans="1:37" s="1848" customFormat="1" ht="18" customHeight="1">
      <c r="A23" s="1199"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1.5</v>
      </c>
      <c r="G23" s="1844"/>
      <c r="H23" s="1199" t="s">
        <v>1071</v>
      </c>
      <c r="I23" s="346" t="s">
        <v>1447</v>
      </c>
      <c r="J23" s="24">
        <f ca="1">ROUND(J13*M23,0)</f>
        <v>0</v>
      </c>
      <c r="K23" s="1788" t="s">
        <v>1448</v>
      </c>
      <c r="L23" s="346" t="s">
        <v>1449</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4"/>
      <c r="H24" s="1337" t="s">
        <v>1387</v>
      </c>
      <c r="I24" s="1338" t="s">
        <v>1433</v>
      </c>
      <c r="J24" s="1339">
        <f ca="1">ROUND(J5*M24,0)</f>
        <v>0</v>
      </c>
      <c r="K24" s="1340" t="s">
        <v>1453</v>
      </c>
      <c r="L24" s="1338" t="s">
        <v>1449</v>
      </c>
      <c r="M24" s="1334">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9" t="s">
        <v>1454</v>
      </c>
      <c r="B25" s="346" t="s">
        <v>1455</v>
      </c>
      <c r="C25" s="24"/>
      <c r="D25" s="139" t="s">
        <v>1456</v>
      </c>
      <c r="E25" s="1808"/>
      <c r="F25" s="26"/>
      <c r="G25" s="1841"/>
      <c r="H25" s="1327" t="s">
        <v>1027</v>
      </c>
      <c r="I25" s="1342" t="s">
        <v>1457</v>
      </c>
      <c r="J25" s="354">
        <f ca="1">J5-J16</f>
        <v>0</v>
      </c>
      <c r="K25" s="1343" t="s">
        <v>1458</v>
      </c>
      <c r="L25" s="1344"/>
      <c r="M25" s="1345"/>
    </row>
    <row r="26" spans="1:37" ht="18" customHeight="1">
      <c r="A26" s="1199" t="s">
        <v>1030</v>
      </c>
      <c r="B26" s="346" t="s">
        <v>1459</v>
      </c>
      <c r="C26" s="24">
        <f ca="1">ROUND((C19+C20)*F26,0)</f>
        <v>0</v>
      </c>
      <c r="D26" s="368" t="s">
        <v>1460</v>
      </c>
      <c r="E26" s="357" t="s">
        <v>1461</v>
      </c>
      <c r="F26" s="356">
        <f ca="1">INDIRECT("'数据-取费表'!q"&amp;$G$1)</f>
        <v>0</v>
      </c>
      <c r="G26" s="1841"/>
      <c r="H26" s="343" t="s">
        <v>1028</v>
      </c>
      <c r="I26" s="344" t="s">
        <v>1462</v>
      </c>
      <c r="J26" s="345">
        <f ca="1">IF(J5&lt;&gt;0,ROUND(J25*(1-((1+M28)/(1+M26))^M27)/(M26-M28),0),0)</f>
        <v>0</v>
      </c>
      <c r="K26" s="369" t="s">
        <v>1463</v>
      </c>
      <c r="L26" s="346" t="s">
        <v>1464</v>
      </c>
      <c r="M26" s="356">
        <f ca="1">INDIRECT("'数据-取费表'!I"&amp;$G$1)</f>
        <v>0</v>
      </c>
    </row>
    <row r="27" spans="1:37" ht="18" customHeight="1">
      <c r="A27" s="1199" t="s">
        <v>1032</v>
      </c>
      <c r="B27" s="346" t="s">
        <v>1465</v>
      </c>
      <c r="C27" s="24">
        <f ca="1">ROUND(F21*F26,4)</f>
        <v>0</v>
      </c>
      <c r="D27" s="368" t="s">
        <v>1466</v>
      </c>
      <c r="E27" s="364"/>
      <c r="F27" s="365"/>
      <c r="G27" s="1841"/>
      <c r="H27" s="348"/>
      <c r="I27" s="349"/>
      <c r="J27" s="350"/>
      <c r="K27" s="377" t="s">
        <v>1467</v>
      </c>
      <c r="L27" s="346" t="s">
        <v>1468</v>
      </c>
      <c r="M27" s="378">
        <f ca="1">INDIRECT("'数据-取费表'!ag"&amp;$G$1)</f>
        <v>0</v>
      </c>
    </row>
    <row r="28" spans="1:37" s="1848" customFormat="1" ht="18" customHeight="1">
      <c r="A28" s="1199" t="s">
        <v>1033</v>
      </c>
      <c r="B28" s="346" t="s">
        <v>1469</v>
      </c>
      <c r="C28" s="24">
        <f>ROUND(F28/(1+'数据-取费表'!C42),4)</f>
        <v>5.2400000000000002E-2</v>
      </c>
      <c r="D28" s="368" t="s">
        <v>1470</v>
      </c>
      <c r="E28" s="346" t="s">
        <v>1416</v>
      </c>
      <c r="F28" s="366">
        <f>'数据-取费表'!B41</f>
        <v>5.5000000000000007E-2</v>
      </c>
      <c r="G28" s="1844"/>
      <c r="H28" s="352"/>
      <c r="I28" s="353"/>
      <c r="J28" s="354"/>
      <c r="K28" s="372"/>
      <c r="L28" s="346" t="s">
        <v>1471</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0</v>
      </c>
      <c r="D29" s="1340"/>
      <c r="E29" s="1338"/>
      <c r="F29" s="1341"/>
      <c r="G29" s="1844"/>
      <c r="H29" s="379" t="s">
        <v>1029</v>
      </c>
      <c r="I29" s="380" t="s">
        <v>1473</v>
      </c>
      <c r="J29" s="381">
        <f ca="1">ROUND(J26/(1+F40)^F41,0)</f>
        <v>0</v>
      </c>
      <c r="K29" s="382" t="s">
        <v>1474</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4">
        <f ca="1">ROUND(C31+C36+C37+C38,0)</f>
        <v>0</v>
      </c>
      <c r="D30" s="1335" t="s">
        <v>1419</v>
      </c>
      <c r="E30" s="1336"/>
      <c r="F30" s="1292"/>
      <c r="G30" s="1841"/>
      <c r="H30" s="743"/>
      <c r="I30" s="744"/>
      <c r="J30" s="745"/>
      <c r="K30" s="746"/>
      <c r="L30" s="747"/>
      <c r="M30" s="748"/>
    </row>
    <row r="31" spans="1:37" ht="18" customHeight="1">
      <c r="A31" s="1199" t="s">
        <v>1031</v>
      </c>
      <c r="B31" s="346" t="s">
        <v>1423</v>
      </c>
      <c r="C31" s="24">
        <f ca="1">ROUND(IF(项目基本情况!B11="自然人",C6*F31/(1+'数据-取费表'!C42),C32+C33+C34),0)</f>
        <v>0</v>
      </c>
      <c r="D31" s="1790" t="s">
        <v>1424</v>
      </c>
      <c r="E31" s="1788" t="s">
        <v>1475</v>
      </c>
      <c r="F31" s="367" t="str">
        <f ca="1">IF(项目基本情况!B11="企业","",IF(INDIRECT("'数据-取费表'!c"&amp;$G$1)="住宅",5%,IF(F6*F7*F8/12/(1+'数据-取费表'!C42)&gt;20000,12%,7%)))</f>
        <v/>
      </c>
      <c r="G31" s="1841"/>
      <c r="H31" s="743"/>
      <c r="I31" s="744"/>
      <c r="J31" s="745"/>
      <c r="K31" s="746"/>
      <c r="L31" s="747"/>
      <c r="M31" s="748"/>
    </row>
    <row r="32" spans="1:37" ht="18" customHeight="1">
      <c r="A32" s="1199" t="s">
        <v>1030</v>
      </c>
      <c r="B32" s="346" t="s">
        <v>1427</v>
      </c>
      <c r="C32" s="24">
        <f ca="1">IF(项目基本情况!B11="自然人","——",ROUND(C6*F32/(1+'数据-取费表'!C42),0))</f>
        <v>0</v>
      </c>
      <c r="D32" s="1788" t="s">
        <v>1428</v>
      </c>
      <c r="E32" s="346" t="s">
        <v>1416</v>
      </c>
      <c r="F32" s="376">
        <f>'数据-取费表'!B41</f>
        <v>5.5000000000000007E-2</v>
      </c>
      <c r="G32" s="1841"/>
      <c r="H32" s="743"/>
      <c r="I32" s="744"/>
      <c r="J32" s="745"/>
      <c r="K32" s="746"/>
      <c r="L32" s="747"/>
      <c r="M32" s="748"/>
    </row>
    <row r="33" spans="1:18" ht="18" customHeight="1">
      <c r="A33" s="1199" t="s">
        <v>1032</v>
      </c>
      <c r="B33" s="346" t="s">
        <v>1431</v>
      </c>
      <c r="C33" s="24">
        <f ca="1">IF(项目基本情况!B11="自然人","——",IF(D33="按租金收入计税",ROUND(C6*F33/(1+'数据-取费表'!C42),0),IF(D33="按房产原值计税",ROUND(C29*F33*0.7,0),INDIRECT("'数据-取费表'!Aj"&amp;$G$1))))</f>
        <v>0</v>
      </c>
      <c r="D33" s="1818" t="s">
        <v>1432</v>
      </c>
      <c r="E33" s="346" t="s">
        <v>1416</v>
      </c>
      <c r="F33" s="366">
        <f>IF(D33="按票据","——",IF(D33="按租金收入计税",'数据-取费表'!B51,'数据-取费表'!B50))</f>
        <v>1.2E-2</v>
      </c>
      <c r="G33" s="1841"/>
      <c r="H33" s="1849"/>
      <c r="I33" s="1850"/>
      <c r="J33" s="1851"/>
      <c r="K33" s="1852"/>
      <c r="L33" s="1849"/>
      <c r="M33" s="1849"/>
    </row>
    <row r="34" spans="1:18" ht="18" customHeight="1">
      <c r="A34" s="1289" t="s">
        <v>1383</v>
      </c>
      <c r="B34" s="163" t="s">
        <v>1435</v>
      </c>
      <c r="C34" s="25">
        <f ca="1">IF(项目基本情况!B11="自然人","——",ROUND(F34*F35,))</f>
        <v>0</v>
      </c>
      <c r="D34" s="369" t="s">
        <v>1436</v>
      </c>
      <c r="E34" s="346" t="s">
        <v>1437</v>
      </c>
      <c r="F34" s="370">
        <f>'数据-取费表'!B52</f>
        <v>1.5</v>
      </c>
      <c r="G34" s="1841"/>
      <c r="H34" s="743"/>
      <c r="I34" s="1850"/>
      <c r="J34" s="1851"/>
      <c r="K34" s="1853"/>
      <c r="L34" s="1854"/>
      <c r="M34" s="1854"/>
    </row>
    <row r="35" spans="1:18" ht="18" customHeight="1">
      <c r="A35" s="1351"/>
      <c r="B35" s="1349"/>
      <c r="C35" s="29"/>
      <c r="D35" s="372"/>
      <c r="E35" s="346" t="s">
        <v>1441</v>
      </c>
      <c r="F35" s="347">
        <f ca="1">INDIRECT("'数据-取费表'!r"&amp;$G$1)</f>
        <v>0</v>
      </c>
      <c r="G35" s="1841"/>
      <c r="H35" s="743"/>
      <c r="I35" s="1850"/>
      <c r="J35" s="1851"/>
      <c r="K35" s="1852"/>
      <c r="L35" s="1849"/>
      <c r="M35" s="1849"/>
    </row>
    <row r="36" spans="1:18" ht="18" customHeight="1">
      <c r="A36" s="1350" t="s">
        <v>1035</v>
      </c>
      <c r="B36" s="346" t="s">
        <v>1443</v>
      </c>
      <c r="C36" s="24">
        <f ca="1">ROUND(C29*F36,0)</f>
        <v>0</v>
      </c>
      <c r="D36" s="1788" t="s">
        <v>1476</v>
      </c>
      <c r="E36" s="346" t="s">
        <v>1416</v>
      </c>
      <c r="F36" s="373">
        <f ca="1">INDIRECT("'数据-取费表'!Ak"&amp;$G$1)</f>
        <v>0</v>
      </c>
      <c r="G36" s="1841"/>
      <c r="H36" s="1849"/>
      <c r="I36" s="1850"/>
      <c r="J36" s="1851"/>
      <c r="K36" s="749"/>
      <c r="L36" s="1849"/>
      <c r="M36" s="1849"/>
    </row>
    <row r="37" spans="1:18" ht="18" customHeight="1">
      <c r="A37" s="1199" t="s">
        <v>1071</v>
      </c>
      <c r="B37" s="346" t="s">
        <v>1447</v>
      </c>
      <c r="C37" s="24">
        <f ca="1">ROUND(C13*F37,0)</f>
        <v>0</v>
      </c>
      <c r="D37" s="1788" t="s">
        <v>1448</v>
      </c>
      <c r="E37" s="346" t="s">
        <v>1449</v>
      </c>
      <c r="F37" s="375">
        <f ca="1">INDIRECT("'数据-取费表'!Al"&amp;$G$1)</f>
        <v>0</v>
      </c>
      <c r="G37" s="1841"/>
      <c r="H37" s="1849"/>
      <c r="I37" s="1850"/>
      <c r="J37" s="1851"/>
      <c r="K37" s="749"/>
      <c r="L37" s="1849"/>
      <c r="M37" s="1849"/>
    </row>
    <row r="38" spans="1:18" ht="18" customHeight="1" thickBot="1">
      <c r="A38" s="1337" t="s">
        <v>1387</v>
      </c>
      <c r="B38" s="1338" t="s">
        <v>1433</v>
      </c>
      <c r="C38" s="1339">
        <f ca="1">ROUND(C5*F38,1)</f>
        <v>0</v>
      </c>
      <c r="D38" s="1340" t="s">
        <v>1453</v>
      </c>
      <c r="E38" s="1338" t="s">
        <v>1449</v>
      </c>
      <c r="F38" s="1334">
        <f ca="1">INDIRECT("'数据-取费表'!Am"&amp;$G$1)</f>
        <v>0</v>
      </c>
      <c r="G38" s="1841"/>
      <c r="H38" s="1849"/>
      <c r="I38" s="1850"/>
      <c r="J38" s="1851"/>
      <c r="K38" s="1855"/>
      <c r="L38" s="1849"/>
      <c r="M38" s="1849"/>
    </row>
    <row r="39" spans="1:18" ht="24.6" customHeight="1" thickTop="1">
      <c r="A39" s="1327" t="s">
        <v>1027</v>
      </c>
      <c r="B39" s="1342" t="s">
        <v>1477</v>
      </c>
      <c r="C39" s="354">
        <f ca="1">C5-C30</f>
        <v>0</v>
      </c>
      <c r="D39" s="1343" t="s">
        <v>1478</v>
      </c>
      <c r="E39" s="1344"/>
      <c r="F39" s="1345"/>
      <c r="G39" s="1841"/>
      <c r="H39" s="1849"/>
      <c r="I39" s="1850"/>
      <c r="J39" s="1851"/>
      <c r="K39" s="1855"/>
      <c r="L39" s="1849"/>
      <c r="M39" s="1849"/>
    </row>
    <row r="40" spans="1:18" ht="18" customHeight="1">
      <c r="A40" s="343" t="s">
        <v>1028</v>
      </c>
      <c r="B40" s="344" t="s">
        <v>1479</v>
      </c>
      <c r="C40" s="345" t="e">
        <f ca="1">ROUND(C39*(1-((1+F42)/(1+F40))^F41)/(F40-F42),0)</f>
        <v>#DIV/0!</v>
      </c>
      <c r="D40" s="369" t="s">
        <v>1463</v>
      </c>
      <c r="E40" s="346" t="s">
        <v>1464</v>
      </c>
      <c r="F40" s="356">
        <f ca="1">INDIRECT("'数据-取费表'!I"&amp;$G$1)</f>
        <v>0</v>
      </c>
      <c r="G40" s="1841"/>
      <c r="H40" s="1829"/>
      <c r="I40" s="1850"/>
      <c r="J40" s="1851"/>
      <c r="K40" s="1855"/>
      <c r="L40" s="1829"/>
      <c r="M40" s="1829"/>
    </row>
    <row r="41" spans="1:18" ht="18" customHeight="1">
      <c r="A41" s="348"/>
      <c r="B41" s="349"/>
      <c r="C41" s="350"/>
      <c r="D41" s="377" t="s">
        <v>1480</v>
      </c>
      <c r="E41" s="346" t="s">
        <v>1468</v>
      </c>
      <c r="F41" s="378">
        <f ca="1">IF(INDIRECT("'数据-取费表'!af"&amp;$G$1)=0,INDIRECT("'数据-取费表'!ae"&amp;$G$1),INDIRECT("'数据-取费表'!af"&amp;$G$1))</f>
        <v>0</v>
      </c>
      <c r="G41" s="1841"/>
      <c r="H41" s="730"/>
      <c r="I41" s="1850"/>
      <c r="J41" s="1851"/>
      <c r="K41" s="749"/>
      <c r="L41" s="730"/>
      <c r="M41" s="730"/>
    </row>
    <row r="42" spans="1:18" ht="18" customHeight="1">
      <c r="A42" s="352"/>
      <c r="B42" s="353"/>
      <c r="C42" s="354"/>
      <c r="D42" s="372"/>
      <c r="E42" s="346" t="s">
        <v>1471</v>
      </c>
      <c r="F42" s="356">
        <f ca="1">INDIRECT("'数据-取费表'!v"&amp;$G$1)</f>
        <v>0</v>
      </c>
      <c r="G42" s="1841"/>
      <c r="H42" s="730"/>
      <c r="I42" s="1850"/>
      <c r="J42" s="1851"/>
      <c r="K42" s="749"/>
      <c r="L42" s="730"/>
      <c r="M42" s="730"/>
    </row>
    <row r="43" spans="1:18" ht="18" customHeight="1" thickBot="1">
      <c r="A43" s="379" t="s">
        <v>1029</v>
      </c>
      <c r="B43" s="380" t="s">
        <v>1481</v>
      </c>
      <c r="C43" s="381" t="e">
        <f ca="1">ROUND(C40/F43,0)</f>
        <v>#DIV/0!</v>
      </c>
      <c r="D43" s="382" t="s">
        <v>1482</v>
      </c>
      <c r="E43" s="383" t="s">
        <v>1483</v>
      </c>
      <c r="F43" s="384">
        <f ca="1">INDIRECT("'数据-取费表'!k"&amp;$G$1)</f>
        <v>0</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3" t="s">
        <v>1390</v>
      </c>
      <c r="B47" s="1195" t="s">
        <v>1391</v>
      </c>
      <c r="C47" s="1195" t="s">
        <v>1392</v>
      </c>
      <c r="D47" s="1195" t="s">
        <v>1393</v>
      </c>
      <c r="E47" s="1277" t="s">
        <v>1394</v>
      </c>
      <c r="F47" s="1278"/>
      <c r="G47" s="790"/>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8" t="s">
        <v>1131</v>
      </c>
      <c r="B48" s="344" t="s">
        <v>1395</v>
      </c>
      <c r="C48" s="1807">
        <f ca="1">C49+C53+C55</f>
        <v>0</v>
      </c>
      <c r="D48" s="1360"/>
      <c r="E48" s="1361"/>
      <c r="F48" s="1179"/>
      <c r="G48" s="790"/>
      <c r="H48" s="791"/>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2" t="s">
        <v>1132</v>
      </c>
      <c r="B49" s="1819" t="s">
        <v>1484</v>
      </c>
      <c r="C49" s="1362">
        <f ca="1">ROUND(F49*F51*F50*(1-F52),0)</f>
        <v>0</v>
      </c>
      <c r="D49" s="1274" t="s">
        <v>1398</v>
      </c>
      <c r="E49" s="1820" t="s">
        <v>1485</v>
      </c>
      <c r="F49" s="1279"/>
      <c r="G49" s="1881"/>
      <c r="H49" s="791"/>
      <c r="I49" s="1877" t="s">
        <v>1528</v>
      </c>
      <c r="J49" s="1882"/>
      <c r="K49" s="1879" t="s">
        <v>1529</v>
      </c>
      <c r="L49" s="1883"/>
      <c r="O49" s="1884" t="s">
        <v>1038</v>
      </c>
      <c r="P49" s="1875" t="s">
        <v>1530</v>
      </c>
      <c r="Q49" s="1876">
        <f ca="1">C29</f>
        <v>0</v>
      </c>
      <c r="R49" s="1876" t="s">
        <v>1523</v>
      </c>
    </row>
    <row r="50" spans="1:18" s="1832" customFormat="1" ht="13.5" thickBot="1">
      <c r="A50" s="1193"/>
      <c r="B50" s="1196"/>
      <c r="C50" s="1197"/>
      <c r="D50" s="1170"/>
      <c r="E50" s="1275" t="s">
        <v>1400</v>
      </c>
      <c r="F50" s="1276">
        <f ca="1">F7</f>
        <v>0</v>
      </c>
      <c r="H50" s="791"/>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4"/>
      <c r="B51" s="1196"/>
      <c r="C51" s="1197"/>
      <c r="D51" s="1170"/>
      <c r="E51" s="1198" t="s">
        <v>1401</v>
      </c>
      <c r="F51" s="347">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4"/>
      <c r="B52" s="1196"/>
      <c r="C52" s="1197"/>
      <c r="D52" s="1170"/>
      <c r="E52" s="1198" t="s">
        <v>1402</v>
      </c>
      <c r="F52" s="1273"/>
      <c r="I52" s="1893" t="s">
        <v>1537</v>
      </c>
      <c r="J52" s="1894"/>
      <c r="K52" s="1893" t="s">
        <v>1538</v>
      </c>
      <c r="L52" s="1894"/>
      <c r="O52" s="1884" t="s">
        <v>1041</v>
      </c>
      <c r="P52" s="1875" t="s">
        <v>1539</v>
      </c>
      <c r="Q52" s="1876">
        <f ca="1">J53</f>
        <v>0</v>
      </c>
      <c r="R52" s="1876" t="s">
        <v>1540</v>
      </c>
    </row>
    <row r="53" spans="1:18" s="1832" customFormat="1" ht="30.75" customHeight="1" thickBot="1">
      <c r="A53" s="1359" t="s">
        <v>1133</v>
      </c>
      <c r="B53" s="368" t="s">
        <v>1403</v>
      </c>
      <c r="C53" s="360">
        <f ca="1">ROUND(IF(F53="押一",C49/12*F11,IF(F53="押二",C49/12*2*F11,IF(F53="押三",C49/12*3*F11,C54*F11))),0)</f>
        <v>0</v>
      </c>
      <c r="D53" s="1814" t="s">
        <v>3040</v>
      </c>
      <c r="E53" s="357" t="s">
        <v>1404</v>
      </c>
      <c r="F53" s="1364"/>
      <c r="I53" s="1895" t="s">
        <v>1541</v>
      </c>
      <c r="J53" s="2942">
        <f ca="1">IF(M47="住宅",IF(D1="——",MAX(J51,L48),MAX(J51,L48-'数据-取费表'!B24)),IF(D1="——",MIN(J51,L48),MIN(J51,L48-'数据-取费表'!B24)))</f>
        <v>0</v>
      </c>
      <c r="K53" s="3158" t="s">
        <v>1542</v>
      </c>
      <c r="L53" s="3159"/>
      <c r="O53" s="1874" t="s">
        <v>1042</v>
      </c>
      <c r="P53" s="1875" t="s">
        <v>1543</v>
      </c>
      <c r="Q53" s="1876" t="e">
        <f ca="1">Q47+Q48</f>
        <v>#DIV/0!</v>
      </c>
      <c r="R53" s="1876" t="s">
        <v>1043</v>
      </c>
    </row>
    <row r="54" spans="1:18" s="1832" customFormat="1" ht="13.5" thickBot="1">
      <c r="A54" s="1192"/>
      <c r="B54" s="1930" t="s">
        <v>1597</v>
      </c>
      <c r="C54" s="1176"/>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1" t="s">
        <v>1071</v>
      </c>
      <c r="B55" s="1817" t="s">
        <v>1407</v>
      </c>
      <c r="C55" s="1332"/>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4">
        <v>2</v>
      </c>
      <c r="B56" s="1175" t="s">
        <v>1408</v>
      </c>
      <c r="C56" s="275">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7" t="s">
        <v>1472</v>
      </c>
      <c r="C57" s="281">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59" t="s">
        <v>1026</v>
      </c>
      <c r="B58" s="1175" t="s">
        <v>1418</v>
      </c>
      <c r="C58" s="360">
        <f ca="1">ROUND(C59+C64+C65+C66,0)</f>
        <v>0</v>
      </c>
      <c r="D58" s="1177" t="s">
        <v>1419</v>
      </c>
      <c r="E58" s="1178"/>
      <c r="F58" s="1179"/>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ROUND(IF(项目基本情况!B11="自然人",C48*F59,C60+C61+C62),0)</f>
        <v>0</v>
      </c>
      <c r="D59" s="1180" t="s">
        <v>1424</v>
      </c>
      <c r="E59" s="1181" t="s">
        <v>1425</v>
      </c>
      <c r="F59" s="367"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IF(项目基本情况!B11="自然人","——",ROUND(C48*F60/(1+'数据-取费表'!C42),0))</f>
        <v>0</v>
      </c>
      <c r="D60" s="1181" t="s">
        <v>1428</v>
      </c>
      <c r="E60" s="1167" t="s">
        <v>1416</v>
      </c>
      <c r="F60" s="376">
        <f t="shared" ref="F60:F66" si="0">F32</f>
        <v>5.5000000000000007E-2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199" t="s">
        <v>1486</v>
      </c>
      <c r="B61" s="1167" t="s">
        <v>1487</v>
      </c>
      <c r="C61" s="24">
        <f ca="1">IF(项目基本情况!B11="自然人","——",IF(D61="按租金收入计税",ROUND(C48*F61,0),IF(D61="按房产原值计税",ROUND(C57*F61*0.7,0),INDIRECT("'数据-取费表'!Aj"&amp;$G$1))))</f>
        <v>0</v>
      </c>
      <c r="D61" s="1818" t="s">
        <v>1432</v>
      </c>
      <c r="E61" s="1167" t="s">
        <v>1488</v>
      </c>
      <c r="F61" s="366">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1490</v>
      </c>
      <c r="C62" s="25">
        <f ca="1">IF(项目基本情况!B11="自然人","——",ROUND(F62*F63,0))</f>
        <v>0</v>
      </c>
      <c r="D62" s="1182" t="s">
        <v>1491</v>
      </c>
      <c r="E62" s="1167" t="s">
        <v>1492</v>
      </c>
      <c r="F62" s="370">
        <f t="shared" si="0"/>
        <v>1.5</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1"/>
      <c r="B63" s="1173"/>
      <c r="C63" s="29"/>
      <c r="D63" s="1183"/>
      <c r="E63" s="1167" t="s">
        <v>1493</v>
      </c>
      <c r="F63" s="347">
        <f t="shared" ca="1" si="0"/>
        <v>0</v>
      </c>
      <c r="I63" s="1918" t="s">
        <v>1570</v>
      </c>
      <c r="J63" s="1919">
        <v>70</v>
      </c>
      <c r="K63" s="1919">
        <v>50</v>
      </c>
      <c r="L63" s="1919">
        <v>80</v>
      </c>
      <c r="M63" s="1921">
        <v>0.02</v>
      </c>
      <c r="O63" s="1859" t="s">
        <v>1571</v>
      </c>
      <c r="P63" s="1829"/>
      <c r="Q63" s="1829"/>
      <c r="R63" s="1829"/>
    </row>
    <row r="64" spans="1:18" s="1832" customFormat="1" ht="13.5" thickBot="1">
      <c r="A64" s="1199" t="s">
        <v>1494</v>
      </c>
      <c r="B64" s="1167" t="s">
        <v>1495</v>
      </c>
      <c r="C64" s="24">
        <f ca="1">ROUND(C57*F64,0)</f>
        <v>0</v>
      </c>
      <c r="D64" s="1181" t="s">
        <v>1496</v>
      </c>
      <c r="E64" s="1167" t="s">
        <v>1488</v>
      </c>
      <c r="F64" s="373">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ROUND(C56*F65,0)</f>
        <v>0</v>
      </c>
      <c r="D65" s="1181" t="s">
        <v>1448</v>
      </c>
      <c r="E65" s="1167" t="s">
        <v>1449</v>
      </c>
      <c r="F65" s="375">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199" t="s">
        <v>1498</v>
      </c>
      <c r="B66" s="1167" t="s">
        <v>1433</v>
      </c>
      <c r="C66" s="24">
        <f ca="1">ROUND(C48*F66,0)</f>
        <v>0</v>
      </c>
      <c r="D66" s="1181" t="s">
        <v>1499</v>
      </c>
      <c r="E66" s="1167" t="s">
        <v>1416</v>
      </c>
      <c r="F66" s="356">
        <f t="shared" ca="1" si="0"/>
        <v>0</v>
      </c>
      <c r="O66" s="1874" t="s">
        <v>1037</v>
      </c>
      <c r="P66" s="1875" t="s">
        <v>1552</v>
      </c>
      <c r="Q66" s="1876" t="e">
        <f ca="1">L60</f>
        <v>#DIV/0!</v>
      </c>
      <c r="R66" s="1876" t="s">
        <v>1575</v>
      </c>
    </row>
    <row r="67" spans="1:18" s="1832" customFormat="1" ht="16.5" thickBot="1">
      <c r="A67" s="1174" t="s">
        <v>1027</v>
      </c>
      <c r="B67" s="1184" t="s">
        <v>1457</v>
      </c>
      <c r="C67" s="360">
        <f ca="1">C48-C58</f>
        <v>0</v>
      </c>
      <c r="D67" s="1180" t="s">
        <v>1458</v>
      </c>
      <c r="E67" s="1185"/>
      <c r="F67" s="1186"/>
      <c r="O67" s="1884" t="s">
        <v>1038</v>
      </c>
      <c r="P67" s="1875" t="s">
        <v>1556</v>
      </c>
      <c r="Q67" s="1922">
        <f ca="1">L51</f>
        <v>0</v>
      </c>
      <c r="R67" s="1876" t="s">
        <v>1576</v>
      </c>
    </row>
    <row r="68" spans="1:18" s="1832" customFormat="1" ht="16.5" thickBot="1">
      <c r="A68" s="1164" t="s">
        <v>1028</v>
      </c>
      <c r="B68" s="1165" t="s">
        <v>1479</v>
      </c>
      <c r="C68" s="345" t="e">
        <f ca="1">ROUND(C67*(1-((1+F70)/(1+F68))^F69)/(F68-F70),0)</f>
        <v>#DIV/0!</v>
      </c>
      <c r="D68" s="1182" t="s">
        <v>1463</v>
      </c>
      <c r="E68" s="1167" t="s">
        <v>1464</v>
      </c>
      <c r="F68" s="356">
        <f ca="1">F40</f>
        <v>0</v>
      </c>
      <c r="O68" s="1884" t="s">
        <v>1039</v>
      </c>
      <c r="P68" s="1923" t="s">
        <v>1577</v>
      </c>
      <c r="Q68" s="1876">
        <f ca="1">ROUND(Q69-Q70*Q71,0)</f>
        <v>0</v>
      </c>
      <c r="R68" s="1876" t="s">
        <v>1047</v>
      </c>
    </row>
    <row r="69" spans="1:18" s="1832" customFormat="1" ht="13.5" thickBot="1">
      <c r="A69" s="1168"/>
      <c r="B69" s="1169"/>
      <c r="C69" s="350"/>
      <c r="D69" s="1187" t="s">
        <v>1467</v>
      </c>
      <c r="E69" s="1167" t="s">
        <v>1468</v>
      </c>
      <c r="F69" s="378">
        <f ca="1">F41</f>
        <v>0</v>
      </c>
      <c r="O69" s="1884" t="s">
        <v>1044</v>
      </c>
      <c r="P69" s="1923" t="s">
        <v>1578</v>
      </c>
      <c r="Q69" s="1876">
        <f ca="1">C39</f>
        <v>0</v>
      </c>
      <c r="R69" s="1876" t="s">
        <v>1523</v>
      </c>
    </row>
    <row r="70" spans="1:18" s="1832" customFormat="1" ht="13.5" thickBot="1">
      <c r="A70" s="1171"/>
      <c r="B70" s="1172"/>
      <c r="C70" s="354"/>
      <c r="D70" s="1183"/>
      <c r="E70" s="1167" t="s">
        <v>1471</v>
      </c>
      <c r="F70" s="1273">
        <f ca="1">F42</f>
        <v>0</v>
      </c>
      <c r="O70" s="1884" t="s">
        <v>1045</v>
      </c>
      <c r="P70" s="1923" t="s">
        <v>1579</v>
      </c>
      <c r="Q70" s="1876">
        <f ca="1">C13</f>
        <v>0</v>
      </c>
      <c r="R70" s="1876" t="s">
        <v>1523</v>
      </c>
    </row>
    <row r="71" spans="1:18" s="1832" customFormat="1" ht="13.5" thickBot="1">
      <c r="A71" s="1188" t="s">
        <v>1029</v>
      </c>
      <c r="B71" s="1189" t="s">
        <v>1481</v>
      </c>
      <c r="C71" s="381" t="e">
        <f ca="1">ROUND(C68/F71,0)</f>
        <v>#DIV/0!</v>
      </c>
      <c r="D71" s="1190" t="s">
        <v>1482</v>
      </c>
      <c r="E71" s="1191" t="s">
        <v>1483</v>
      </c>
      <c r="F71" s="384">
        <f ca="1">F43</f>
        <v>0</v>
      </c>
      <c r="O71" s="1884" t="s">
        <v>1046</v>
      </c>
      <c r="P71" s="1923" t="s">
        <v>1580</v>
      </c>
      <c r="Q71" s="1887">
        <f ca="1">C76</f>
        <v>0</v>
      </c>
      <c r="R71" s="1876"/>
    </row>
    <row r="72" spans="1:18" s="1832" customFormat="1" ht="13.5" thickBot="1">
      <c r="B72" s="794"/>
      <c r="C72" s="794"/>
      <c r="O72" s="1884" t="s">
        <v>1040</v>
      </c>
      <c r="P72" s="1875" t="s">
        <v>1558</v>
      </c>
      <c r="Q72" s="1887">
        <f>L52</f>
        <v>0</v>
      </c>
      <c r="R72" s="1876"/>
    </row>
    <row r="73" spans="1:18" ht="16.5" thickBot="1">
      <c r="A73" s="1832"/>
      <c r="B73" s="794"/>
      <c r="C73" s="794"/>
      <c r="D73" s="1832"/>
      <c r="E73" s="1832"/>
      <c r="F73" s="1832"/>
      <c r="O73" s="1884" t="s">
        <v>1041</v>
      </c>
      <c r="P73" s="1875" t="s">
        <v>1561</v>
      </c>
      <c r="Q73" s="1876" t="e">
        <f ca="1">L58</f>
        <v>#DIV/0!</v>
      </c>
      <c r="R73" s="1876" t="s">
        <v>1562</v>
      </c>
    </row>
    <row r="74" spans="1:18" ht="13.5" thickBot="1">
      <c r="A74" s="1832"/>
      <c r="B74" s="316"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5" t="s">
        <v>1500</v>
      </c>
      <c r="C75" s="386">
        <f ca="1">ROUND(C13*C76,0)</f>
        <v>0</v>
      </c>
      <c r="D75" s="1832"/>
      <c r="E75" s="1832"/>
      <c r="F75" s="1832"/>
      <c r="K75" s="1858"/>
      <c r="L75" s="1832"/>
      <c r="O75" s="1874" t="s">
        <v>1042</v>
      </c>
      <c r="P75" s="1875" t="s">
        <v>1543</v>
      </c>
      <c r="Q75" s="1876" t="e">
        <f ca="1">Q65+Q66</f>
        <v>#DIV/0!</v>
      </c>
      <c r="R75" s="1876" t="s">
        <v>1043</v>
      </c>
    </row>
    <row r="76" spans="1:18">
      <c r="B76" s="387" t="s">
        <v>1501</v>
      </c>
      <c r="C76" s="388">
        <f ca="1">INDIRECT("'数据-取费表'!j"&amp;$G$1)</f>
        <v>0</v>
      </c>
      <c r="I76" s="1832"/>
      <c r="J76" s="1832"/>
      <c r="K76" s="1858"/>
      <c r="L76" s="1832"/>
    </row>
    <row r="77" spans="1:18">
      <c r="B77" s="389" t="s">
        <v>1502</v>
      </c>
      <c r="C77" s="390"/>
      <c r="I77" s="1832"/>
      <c r="J77" s="1832"/>
      <c r="K77" s="1858"/>
      <c r="L77" s="1832"/>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1072</v>
      </c>
      <c r="B1" s="3181"/>
      <c r="C1" s="3182"/>
      <c r="D1" s="3183">
        <f>SUM(I10,I15,I20,I21,I23)</f>
        <v>0</v>
      </c>
      <c r="E1" s="3183"/>
      <c r="F1" s="3183"/>
      <c r="G1" s="3183"/>
      <c r="H1" s="3183"/>
      <c r="I1" s="3184"/>
    </row>
    <row r="2" spans="1:9">
      <c r="A2" s="3170" t="s">
        <v>1073</v>
      </c>
      <c r="B2" s="3171" t="s">
        <v>1074</v>
      </c>
      <c r="C2" s="3171"/>
      <c r="D2" s="1299" t="s">
        <v>1075</v>
      </c>
      <c r="E2" s="1299" t="s">
        <v>1076</v>
      </c>
      <c r="F2" s="1299" t="s">
        <v>1077</v>
      </c>
      <c r="G2" s="1299" t="s">
        <v>1078</v>
      </c>
      <c r="H2" s="1299" t="s">
        <v>1079</v>
      </c>
      <c r="I2" s="1300" t="s">
        <v>1080</v>
      </c>
    </row>
    <row r="3" spans="1:9">
      <c r="A3" s="3170"/>
      <c r="B3" s="3171" t="s">
        <v>1081</v>
      </c>
      <c r="C3" s="3171"/>
      <c r="D3" s="1301"/>
      <c r="E3" s="1299"/>
      <c r="F3" s="1302"/>
      <c r="G3" s="1302"/>
      <c r="H3" s="1303"/>
      <c r="I3" s="1304">
        <f>ROUND(D3*E3*F3*G3*H3/10000,0)</f>
        <v>0</v>
      </c>
    </row>
    <row r="4" spans="1:9">
      <c r="A4" s="3170"/>
      <c r="B4" s="3171" t="s">
        <v>1082</v>
      </c>
      <c r="C4" s="3171"/>
      <c r="D4" s="1301"/>
      <c r="E4" s="1299"/>
      <c r="F4" s="1302"/>
      <c r="G4" s="1302"/>
      <c r="H4" s="1303"/>
      <c r="I4" s="1304">
        <f t="shared" ref="I4:I9" si="0">ROUND(D4*E4*F4*G4*H4/10000,0)</f>
        <v>0</v>
      </c>
    </row>
    <row r="5" spans="1:9">
      <c r="A5" s="3170"/>
      <c r="B5" s="3171" t="s">
        <v>1083</v>
      </c>
      <c r="C5" s="3171"/>
      <c r="D5" s="1301"/>
      <c r="E5" s="1299"/>
      <c r="F5" s="1302"/>
      <c r="G5" s="1302"/>
      <c r="H5" s="1303"/>
      <c r="I5" s="1304">
        <f t="shared" si="0"/>
        <v>0</v>
      </c>
    </row>
    <row r="6" spans="1:9">
      <c r="A6" s="3170"/>
      <c r="B6" s="3171" t="s">
        <v>1084</v>
      </c>
      <c r="C6" s="3171"/>
      <c r="D6" s="1301"/>
      <c r="E6" s="1299"/>
      <c r="F6" s="1302"/>
      <c r="G6" s="1302"/>
      <c r="H6" s="1303"/>
      <c r="I6" s="1304">
        <f t="shared" si="0"/>
        <v>0</v>
      </c>
    </row>
    <row r="7" spans="1:9">
      <c r="A7" s="3170"/>
      <c r="B7" s="3171" t="s">
        <v>1085</v>
      </c>
      <c r="C7" s="3171"/>
      <c r="D7" s="1301"/>
      <c r="E7" s="1299"/>
      <c r="F7" s="1302"/>
      <c r="G7" s="1302"/>
      <c r="H7" s="1303"/>
      <c r="I7" s="1304">
        <f t="shared" si="0"/>
        <v>0</v>
      </c>
    </row>
    <row r="8" spans="1:9">
      <c r="A8" s="3170"/>
      <c r="B8" s="3171" t="s">
        <v>1086</v>
      </c>
      <c r="C8" s="3171"/>
      <c r="D8" s="1301"/>
      <c r="E8" s="1299"/>
      <c r="F8" s="1302"/>
      <c r="G8" s="1302"/>
      <c r="H8" s="1303"/>
      <c r="I8" s="1304">
        <f t="shared" si="0"/>
        <v>0</v>
      </c>
    </row>
    <row r="9" spans="1:9">
      <c r="A9" s="3170"/>
      <c r="B9" s="3171" t="s">
        <v>1087</v>
      </c>
      <c r="C9" s="3171"/>
      <c r="D9" s="1301"/>
      <c r="E9" s="1299"/>
      <c r="F9" s="1302"/>
      <c r="G9" s="1302"/>
      <c r="H9" s="1303"/>
      <c r="I9" s="1304">
        <f t="shared" si="0"/>
        <v>0</v>
      </c>
    </row>
    <row r="10" spans="1:9">
      <c r="A10" s="3170"/>
      <c r="B10" s="3172" t="s">
        <v>1088</v>
      </c>
      <c r="C10" s="3172"/>
      <c r="D10" s="1305"/>
      <c r="E10" s="1305" t="e">
        <f>ROUND(D1*10000/D10/H9,0)</f>
        <v>#DIV/0!</v>
      </c>
      <c r="F10" s="1306"/>
      <c r="G10" s="1306"/>
      <c r="H10" s="1307"/>
      <c r="I10" s="1308">
        <f>SUM(I3:I9)</f>
        <v>0</v>
      </c>
    </row>
    <row r="11" spans="1:9" ht="14.25">
      <c r="A11" s="3170" t="s">
        <v>1089</v>
      </c>
      <c r="B11" s="3171" t="s">
        <v>1090</v>
      </c>
      <c r="C11" s="3171"/>
      <c r="D11" s="1301" t="s">
        <v>1091</v>
      </c>
      <c r="E11" s="1301" t="s">
        <v>1092</v>
      </c>
      <c r="F11" s="1302" t="s">
        <v>1093</v>
      </c>
      <c r="G11" s="1302" t="s">
        <v>1079</v>
      </c>
      <c r="H11" s="1309" t="s">
        <v>1094</v>
      </c>
      <c r="I11" s="1300" t="s">
        <v>1080</v>
      </c>
    </row>
    <row r="12" spans="1:9">
      <c r="A12" s="3170"/>
      <c r="B12" s="3171" t="s">
        <v>1095</v>
      </c>
      <c r="C12" s="3171"/>
      <c r="D12" s="1301"/>
      <c r="E12" s="1301"/>
      <c r="F12" s="1302"/>
      <c r="G12" s="1303"/>
      <c r="H12" s="1310"/>
      <c r="I12" s="1300">
        <f>ROUND(D12*E12*F12*G12/10000,0)</f>
        <v>0</v>
      </c>
    </row>
    <row r="13" spans="1:9">
      <c r="A13" s="3170"/>
      <c r="B13" s="3171" t="s">
        <v>1096</v>
      </c>
      <c r="C13" s="3171"/>
      <c r="D13" s="1301"/>
      <c r="E13" s="1301"/>
      <c r="F13" s="1302"/>
      <c r="G13" s="1303"/>
      <c r="H13" s="1310"/>
      <c r="I13" s="1300">
        <f>ROUND(D13*E13*F13*G13/10000,0)</f>
        <v>0</v>
      </c>
    </row>
    <row r="14" spans="1:9">
      <c r="A14" s="3170"/>
      <c r="B14" s="3171" t="s">
        <v>1097</v>
      </c>
      <c r="C14" s="3171"/>
      <c r="D14" s="1301"/>
      <c r="E14" s="1301"/>
      <c r="F14" s="1302"/>
      <c r="G14" s="1303"/>
      <c r="H14" s="1310"/>
      <c r="I14" s="1300">
        <f>ROUND(D14*E14*F14*G14/10000,0)</f>
        <v>0</v>
      </c>
    </row>
    <row r="15" spans="1:9">
      <c r="A15" s="3170"/>
      <c r="B15" s="3172" t="s">
        <v>1088</v>
      </c>
      <c r="C15" s="3172"/>
      <c r="D15" s="1305"/>
      <c r="E15" s="1305">
        <f>SUM(E12:E14)</f>
        <v>0</v>
      </c>
      <c r="F15" s="1306"/>
      <c r="G15" s="1303"/>
      <c r="H15" s="1310"/>
      <c r="I15" s="1311">
        <f>SUM(I12:I14)</f>
        <v>0</v>
      </c>
    </row>
    <row r="16" spans="1:9" ht="24">
      <c r="A16" s="3170" t="s">
        <v>1098</v>
      </c>
      <c r="B16" s="3171" t="s">
        <v>1099</v>
      </c>
      <c r="C16" s="3171"/>
      <c r="D16" s="1301" t="s">
        <v>1075</v>
      </c>
      <c r="E16" s="1312" t="s">
        <v>1100</v>
      </c>
      <c r="F16" s="1302" t="s">
        <v>1101</v>
      </c>
      <c r="G16" s="1303" t="s">
        <v>1079</v>
      </c>
      <c r="H16" s="1309" t="s">
        <v>1094</v>
      </c>
      <c r="I16" s="1300" t="s">
        <v>1080</v>
      </c>
    </row>
    <row r="17" spans="1:9" ht="14.25">
      <c r="A17" s="3170"/>
      <c r="B17" s="3171" t="s">
        <v>1102</v>
      </c>
      <c r="C17" s="3171"/>
      <c r="D17" s="1301"/>
      <c r="E17" s="1301"/>
      <c r="F17" s="1302"/>
      <c r="G17" s="1303"/>
      <c r="H17" s="1313"/>
      <c r="I17" s="1314">
        <f>ROUND(D17*E17*F17*G17/10000,0)</f>
        <v>0</v>
      </c>
    </row>
    <row r="18" spans="1:9" ht="14.25">
      <c r="A18" s="3170"/>
      <c r="B18" s="3171" t="s">
        <v>1103</v>
      </c>
      <c r="C18" s="3171"/>
      <c r="D18" s="1301"/>
      <c r="E18" s="1301"/>
      <c r="F18" s="1302"/>
      <c r="G18" s="1303"/>
      <c r="H18" s="1313"/>
      <c r="I18" s="1314">
        <f>ROUND(D18*E18*F18*G18/10000,0)</f>
        <v>0</v>
      </c>
    </row>
    <row r="19" spans="1:9" ht="14.25">
      <c r="A19" s="3170"/>
      <c r="B19" s="3171" t="s">
        <v>1104</v>
      </c>
      <c r="C19" s="3171"/>
      <c r="D19" s="1301"/>
      <c r="E19" s="1301"/>
      <c r="F19" s="1302"/>
      <c r="G19" s="1303"/>
      <c r="H19" s="1313"/>
      <c r="I19" s="1314">
        <f>ROUND(D19*E19*F19*G19/10000,0)</f>
        <v>0</v>
      </c>
    </row>
    <row r="20" spans="1:9">
      <c r="A20" s="3170"/>
      <c r="B20" s="3172" t="s">
        <v>1088</v>
      </c>
      <c r="C20" s="3172"/>
      <c r="D20" s="1305">
        <f>SUM(D17:D19)</f>
        <v>0</v>
      </c>
      <c r="E20" s="1305"/>
      <c r="F20" s="1306"/>
      <c r="G20" s="1303"/>
      <c r="H20" s="1310"/>
      <c r="I20" s="1311">
        <f>SUM(I17:I19)</f>
        <v>0</v>
      </c>
    </row>
    <row r="21" spans="1:9">
      <c r="A21" s="3170" t="s">
        <v>1105</v>
      </c>
      <c r="B21" s="3173"/>
      <c r="C21" s="3173"/>
      <c r="D21" s="3173"/>
      <c r="E21" s="3173"/>
      <c r="F21" s="3173"/>
      <c r="G21" s="3173"/>
      <c r="H21" s="1755">
        <v>0.1</v>
      </c>
      <c r="I21" s="1308">
        <f>ROUND(I10*H21,0)</f>
        <v>0</v>
      </c>
    </row>
    <row r="22" spans="1:9" ht="14.25">
      <c r="A22" s="3174" t="s">
        <v>1106</v>
      </c>
      <c r="B22" s="3175"/>
      <c r="C22" s="3176"/>
      <c r="D22" s="1315" t="s">
        <v>1107</v>
      </c>
      <c r="E22" s="1315" t="s">
        <v>1108</v>
      </c>
      <c r="F22" s="1316" t="s">
        <v>1109</v>
      </c>
      <c r="G22" s="1316" t="s">
        <v>1110</v>
      </c>
      <c r="H22" s="1309" t="s">
        <v>1111</v>
      </c>
      <c r="I22" s="1300" t="s">
        <v>1112</v>
      </c>
    </row>
    <row r="23" spans="1:9" ht="14.25" thickBot="1">
      <c r="A23" s="3177"/>
      <c r="B23" s="3178"/>
      <c r="C23" s="3179"/>
      <c r="D23" s="1317"/>
      <c r="E23" s="1317"/>
      <c r="F23" s="1317"/>
      <c r="G23" s="1318"/>
      <c r="H23" s="1319"/>
      <c r="I23" s="1320">
        <f>ROUND(E23*D23*F23*(1-G23)/10000,0)</f>
        <v>0</v>
      </c>
    </row>
    <row r="26" spans="1:9">
      <c r="A26" s="1321" t="s">
        <v>1113</v>
      </c>
      <c r="B26" s="1321"/>
      <c r="C26" s="1321"/>
      <c r="D26" s="1321"/>
      <c r="E26" s="3167">
        <f>C27-C30-C31-C32</f>
        <v>0</v>
      </c>
      <c r="F26" s="3167"/>
      <c r="G26" s="3167"/>
      <c r="H26" s="1735" t="s">
        <v>1335</v>
      </c>
    </row>
    <row r="27" spans="1:9">
      <c r="A27" s="1322">
        <v>1</v>
      </c>
      <c r="B27" s="1323" t="s">
        <v>1114</v>
      </c>
      <c r="C27" s="1323">
        <f>C28+C29</f>
        <v>0</v>
      </c>
      <c r="D27" s="1323"/>
      <c r="E27" s="3168"/>
      <c r="F27" s="3168"/>
      <c r="G27" s="3168"/>
    </row>
    <row r="28" spans="1:9">
      <c r="A28" s="1324" t="s">
        <v>1115</v>
      </c>
      <c r="B28" s="1323" t="s">
        <v>1116</v>
      </c>
      <c r="C28" s="1323"/>
      <c r="D28" s="1323"/>
      <c r="E28" s="3168"/>
      <c r="F28" s="3168"/>
      <c r="G28" s="3168"/>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169"/>
      <c r="F32" s="3169"/>
      <c r="G32" s="3169"/>
    </row>
    <row r="33" spans="1:7" hidden="1">
      <c r="A33" s="3164" t="s">
        <v>1125</v>
      </c>
      <c r="B33" s="3165"/>
      <c r="C33" s="3165"/>
      <c r="D33" s="3166"/>
      <c r="E33" s="3167"/>
      <c r="F33" s="3167"/>
      <c r="G33" s="3167"/>
    </row>
    <row r="34" spans="1:7" hidden="1">
      <c r="A34" s="1326">
        <v>1</v>
      </c>
      <c r="B34" s="1323" t="s">
        <v>1126</v>
      </c>
      <c r="C34" s="1323"/>
      <c r="D34" s="1323"/>
      <c r="E34" s="3168"/>
      <c r="F34" s="3168"/>
      <c r="G34" s="3168"/>
    </row>
    <row r="35" spans="1:7" hidden="1">
      <c r="A35" s="1326">
        <v>2</v>
      </c>
      <c r="B35" s="1323" t="s">
        <v>1127</v>
      </c>
      <c r="C35" s="1323"/>
      <c r="D35" s="1323"/>
      <c r="E35" s="3168"/>
      <c r="F35" s="3168"/>
      <c r="G35" s="3168"/>
    </row>
    <row r="36" spans="1:7" hidden="1">
      <c r="A36" s="1326">
        <v>3</v>
      </c>
      <c r="B36" s="1323" t="s">
        <v>1128</v>
      </c>
      <c r="C36" s="1323"/>
      <c r="D36" s="1323"/>
      <c r="E36" s="3168"/>
      <c r="F36" s="3168"/>
      <c r="G36" s="3168"/>
    </row>
    <row r="37" spans="1:7" hidden="1">
      <c r="A37" s="1326">
        <v>4</v>
      </c>
      <c r="B37" s="1323" t="s">
        <v>1129</v>
      </c>
      <c r="C37" s="1323"/>
      <c r="D37" s="1323"/>
      <c r="E37" s="3168"/>
      <c r="F37" s="3168"/>
      <c r="G37" s="3168"/>
    </row>
    <row r="38" spans="1:7" hidden="1">
      <c r="A38" s="3164" t="s">
        <v>1130</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74" t="s">
        <v>2528</v>
      </c>
      <c r="C1" s="1632" t="s">
        <v>2529</v>
      </c>
      <c r="D1" s="1619"/>
      <c r="E1" s="2575"/>
      <c r="F1" s="2576" t="s">
        <v>2530</v>
      </c>
      <c r="G1" s="1629" t="s">
        <v>2531</v>
      </c>
      <c r="H1" s="1628"/>
      <c r="I1" s="1628"/>
      <c r="J1" s="1628"/>
      <c r="K1" s="1630"/>
      <c r="L1" s="1631"/>
      <c r="M1" s="1632"/>
      <c r="N1" s="1632"/>
      <c r="O1" s="1632"/>
      <c r="P1" s="2577"/>
      <c r="Q1" s="1618"/>
      <c r="R1" s="1618"/>
      <c r="S1" s="1618"/>
      <c r="T1" s="1618"/>
      <c r="U1" s="1618"/>
      <c r="V1" s="1618"/>
      <c r="W1" s="1618"/>
      <c r="X1" s="1618"/>
      <c r="Y1" s="1618"/>
      <c r="Z1" s="1618"/>
      <c r="AA1" s="1618"/>
      <c r="AB1" s="1618"/>
      <c r="AC1" s="1626"/>
    </row>
    <row r="2" spans="1:29" s="392" customFormat="1" ht="28.5" customHeight="1" thickTop="1">
      <c r="A2" s="1615" t="s">
        <v>1388</v>
      </c>
      <c r="B2" s="1416" t="e">
        <f ca="1">IF(C2="——",ROUND(C49*D3/10000,0),ROUND(C49*D3/10000,0)-D2)</f>
        <v>#DIV/0!</v>
      </c>
      <c r="C2" s="2578"/>
      <c r="D2" s="1363" t="e">
        <f ca="1">SUMIF(INDIRECT("'"&amp;F2&amp;"'"&amp;"!A:A"),"承租人权益价值",INDIRECT("'"&amp;F2&amp;"'"&amp;"!c:c"))</f>
        <v>#REF!</v>
      </c>
      <c r="E2" s="2579" t="s">
        <v>2532</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1389</v>
      </c>
      <c r="B3" s="398" t="e">
        <f ca="1">IF(C2="——",C49,ROUND(B2*10000/D3,0))</f>
        <v>#DIV/0!</v>
      </c>
      <c r="C3" s="399" t="s">
        <v>2533</v>
      </c>
      <c r="D3" s="398">
        <f>IF(D1="",'数据-汇总表'!E3,SUMIF('数据-汇总表'!$C19:$C33,D1,'数据-汇总表'!$E19:$E33))</f>
        <v>66988.94</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0" t="s">
        <v>2534</v>
      </c>
      <c r="B4" s="401"/>
      <c r="C4" s="3203" t="s">
        <v>2535</v>
      </c>
      <c r="D4" s="3204"/>
      <c r="E4" s="3205" t="s">
        <v>2536</v>
      </c>
      <c r="F4" s="3206"/>
      <c r="G4" s="3203" t="s">
        <v>2537</v>
      </c>
      <c r="H4" s="3204"/>
      <c r="I4" s="3203" t="s">
        <v>2538</v>
      </c>
      <c r="J4" s="3204"/>
      <c r="K4" s="2588" t="s">
        <v>2539</v>
      </c>
      <c r="L4" s="1128"/>
      <c r="M4" s="1129"/>
      <c r="N4" s="1129"/>
      <c r="O4" s="1129"/>
      <c r="P4" s="3207" t="s">
        <v>2540</v>
      </c>
      <c r="Q4" s="3208"/>
      <c r="R4" s="3213" t="s">
        <v>2536</v>
      </c>
      <c r="S4" s="3214"/>
      <c r="T4" s="3213" t="s">
        <v>2537</v>
      </c>
      <c r="U4" s="3214"/>
      <c r="V4" s="3219" t="s">
        <v>2538</v>
      </c>
      <c r="W4" s="3219"/>
      <c r="X4" s="1803"/>
      <c r="Y4" s="3213" t="s">
        <v>2540</v>
      </c>
      <c r="Z4" s="3214"/>
      <c r="AA4" s="3200" t="s">
        <v>2536</v>
      </c>
      <c r="AB4" s="3200" t="s">
        <v>2537</v>
      </c>
      <c r="AC4" s="3200" t="s">
        <v>2538</v>
      </c>
    </row>
    <row r="5" spans="1:29" ht="15">
      <c r="A5" s="403"/>
      <c r="B5" s="404"/>
      <c r="C5" s="3222" t="s">
        <v>2541</v>
      </c>
      <c r="D5" s="3223"/>
      <c r="E5" s="3229" t="s">
        <v>2542</v>
      </c>
      <c r="F5" s="3230"/>
      <c r="G5" s="3222" t="s">
        <v>2543</v>
      </c>
      <c r="H5" s="3223"/>
      <c r="I5" s="3222" t="s">
        <v>2544</v>
      </c>
      <c r="J5" s="3223"/>
      <c r="K5" s="2589"/>
      <c r="L5" s="1128"/>
      <c r="M5" s="1129"/>
      <c r="N5" s="1129"/>
      <c r="O5" s="1129"/>
      <c r="P5" s="3209"/>
      <c r="Q5" s="3210"/>
      <c r="R5" s="3215"/>
      <c r="S5" s="3216"/>
      <c r="T5" s="3215"/>
      <c r="U5" s="3216"/>
      <c r="V5" s="3219"/>
      <c r="W5" s="3219"/>
      <c r="X5" s="1803"/>
      <c r="Y5" s="3215"/>
      <c r="Z5" s="3216"/>
      <c r="AA5" s="3201"/>
      <c r="AB5" s="3201"/>
      <c r="AC5" s="3201"/>
    </row>
    <row r="6" spans="1:29" ht="15.75" thickBot="1">
      <c r="A6" s="405"/>
      <c r="B6" s="406"/>
      <c r="C6" s="3220" t="s">
        <v>2545</v>
      </c>
      <c r="D6" s="3221"/>
      <c r="E6" s="3227" t="s">
        <v>2545</v>
      </c>
      <c r="F6" s="3228"/>
      <c r="G6" s="3220" t="s">
        <v>2545</v>
      </c>
      <c r="H6" s="3221"/>
      <c r="I6" s="3220" t="s">
        <v>2545</v>
      </c>
      <c r="J6" s="3221"/>
      <c r="K6" s="2589" t="s">
        <v>2546</v>
      </c>
      <c r="L6" s="1128"/>
      <c r="M6" s="1129"/>
      <c r="N6" s="1129"/>
      <c r="O6" s="1129"/>
      <c r="P6" s="3211"/>
      <c r="Q6" s="3212"/>
      <c r="R6" s="3215"/>
      <c r="S6" s="3216"/>
      <c r="T6" s="3217"/>
      <c r="U6" s="3218"/>
      <c r="V6" s="3219"/>
      <c r="W6" s="3219"/>
      <c r="X6" s="1803"/>
      <c r="Y6" s="3217"/>
      <c r="Z6" s="3218"/>
      <c r="AA6" s="3202"/>
      <c r="AB6" s="3202"/>
      <c r="AC6" s="3202"/>
    </row>
    <row r="7" spans="1:29" s="117" customFormat="1" ht="15.75" thickBot="1">
      <c r="A7" s="407" t="s">
        <v>2547</v>
      </c>
      <c r="B7" s="408"/>
      <c r="C7" s="409">
        <f>'数据-取费表'!B2</f>
        <v>44005</v>
      </c>
      <c r="D7" s="410">
        <v>100</v>
      </c>
      <c r="E7" s="411"/>
      <c r="F7" s="412">
        <f>SUMIF(58:58,YEAR(E7)&amp;"-"&amp;MONTH(E7),59:59)</f>
        <v>0</v>
      </c>
      <c r="G7" s="411"/>
      <c r="H7" s="410">
        <f>SUMIF(58:58,YEAR(G7)&amp;"-"&amp;MONTH(G7),59:59)</f>
        <v>0</v>
      </c>
      <c r="I7" s="411"/>
      <c r="J7" s="410">
        <f>SUMIF(58:58,YEAR(I7)&amp;"-"&amp;MONTH(I7),59:59)</f>
        <v>0</v>
      </c>
      <c r="K7" s="2590"/>
      <c r="L7" s="1130"/>
      <c r="M7" s="1131"/>
      <c r="N7" s="1131"/>
      <c r="O7" s="1131"/>
      <c r="P7" s="3224" t="s">
        <v>2548</v>
      </c>
      <c r="Q7" s="3226"/>
      <c r="R7" s="768" t="s">
        <v>23</v>
      </c>
      <c r="S7" s="769">
        <f t="shared" ref="S7:S15" si="0">F7</f>
        <v>0</v>
      </c>
      <c r="T7" s="768" t="s">
        <v>23</v>
      </c>
      <c r="U7" s="769">
        <f t="shared" ref="U7:U15" si="1">H7</f>
        <v>0</v>
      </c>
      <c r="V7" s="768" t="s">
        <v>23</v>
      </c>
      <c r="W7" s="769">
        <f t="shared" ref="W7:W15" si="2">J7</f>
        <v>0</v>
      </c>
      <c r="X7" s="770"/>
      <c r="Y7" s="3224" t="s">
        <v>2548</v>
      </c>
      <c r="Z7" s="3225"/>
      <c r="AA7" s="771" t="e">
        <f>D7/F7</f>
        <v>#DIV/0!</v>
      </c>
      <c r="AB7" s="771" t="e">
        <f>D7/H7</f>
        <v>#DIV/0!</v>
      </c>
      <c r="AC7" s="771" t="e">
        <f>D7/J7</f>
        <v>#DIV/0!</v>
      </c>
    </row>
    <row r="8" spans="1:29" s="117" customFormat="1" ht="15.75" thickBot="1">
      <c r="A8" s="407" t="s">
        <v>2549</v>
      </c>
      <c r="B8" s="408"/>
      <c r="C8" s="413" t="s">
        <v>2550</v>
      </c>
      <c r="D8" s="410">
        <v>100</v>
      </c>
      <c r="E8" s="2591"/>
      <c r="F8" s="412">
        <f>SUMIF(61:61,E8,62:62)-SUMIF(61:61,C8,62:62)+100</f>
        <v>0</v>
      </c>
      <c r="G8" s="413"/>
      <c r="H8" s="410">
        <f>SUMIF(61:61,G8,62:62)-SUMIF(61:61,C8,62:62)+100</f>
        <v>0</v>
      </c>
      <c r="I8" s="2591"/>
      <c r="J8" s="410">
        <f>SUMIF(61:61,I8,62:62)-SUMIF(61:61,C8,62:62)+100</f>
        <v>0</v>
      </c>
      <c r="K8" s="2590"/>
      <c r="L8" s="1130"/>
      <c r="M8" s="1131"/>
      <c r="N8" s="1131"/>
      <c r="O8" s="1131"/>
      <c r="P8" s="3224" t="s">
        <v>2551</v>
      </c>
      <c r="Q8" s="3225"/>
      <c r="R8" s="768" t="s">
        <v>23</v>
      </c>
      <c r="S8" s="769">
        <f t="shared" si="0"/>
        <v>0</v>
      </c>
      <c r="T8" s="768" t="s">
        <v>23</v>
      </c>
      <c r="U8" s="769">
        <f t="shared" si="1"/>
        <v>0</v>
      </c>
      <c r="V8" s="768" t="s">
        <v>23</v>
      </c>
      <c r="W8" s="769">
        <f t="shared" si="2"/>
        <v>0</v>
      </c>
      <c r="X8" s="770"/>
      <c r="Y8" s="3224" t="s">
        <v>2551</v>
      </c>
      <c r="Z8" s="3225"/>
      <c r="AA8" s="771" t="e">
        <f t="shared" ref="AA8:AA19" si="3">D8/F8</f>
        <v>#DIV/0!</v>
      </c>
      <c r="AB8" s="771" t="e">
        <f t="shared" ref="AB8:AB19" si="4">D8/H8</f>
        <v>#DIV/0!</v>
      </c>
      <c r="AC8" s="771"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0"/>
      <c r="L9" s="1130"/>
      <c r="M9" s="1131"/>
      <c r="N9" s="1131"/>
      <c r="O9" s="1131"/>
      <c r="P9" s="3199"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771">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99"/>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99"/>
      <c r="Q11" s="1785" t="str">
        <f t="shared" si="6"/>
        <v>容积率</v>
      </c>
      <c r="R11" s="768" t="s">
        <v>21</v>
      </c>
      <c r="S11" s="769" t="e">
        <f t="shared" si="0"/>
        <v>#N/A</v>
      </c>
      <c r="T11" s="768" t="s">
        <v>21</v>
      </c>
      <c r="U11" s="769" t="e">
        <f t="shared" si="1"/>
        <v>#N/A</v>
      </c>
      <c r="V11" s="768" t="s">
        <v>21</v>
      </c>
      <c r="W11" s="769" t="e">
        <f t="shared" si="2"/>
        <v>#N/A</v>
      </c>
      <c r="X11" s="770"/>
      <c r="Y11" s="3011"/>
      <c r="Z11" s="55" t="str">
        <f t="shared" si="7"/>
        <v>容积率</v>
      </c>
      <c r="AA11" s="771" t="e">
        <f t="shared" si="3"/>
        <v>#N/A</v>
      </c>
      <c r="AB11" s="771" t="e">
        <f t="shared" si="4"/>
        <v>#N/A</v>
      </c>
      <c r="AC11" s="771" t="e">
        <f t="shared" si="5"/>
        <v>#N/A</v>
      </c>
    </row>
    <row r="12" spans="1:29" s="117"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30"/>
      <c r="M12" s="1131"/>
      <c r="N12" s="1131"/>
      <c r="O12" s="1131"/>
      <c r="P12" s="3199"/>
      <c r="Q12" s="1785">
        <f t="shared" si="6"/>
        <v>111</v>
      </c>
      <c r="R12" s="768" t="s">
        <v>21</v>
      </c>
      <c r="S12" s="769">
        <f t="shared" si="0"/>
        <v>100</v>
      </c>
      <c r="T12" s="768" t="s">
        <v>21</v>
      </c>
      <c r="U12" s="769">
        <f t="shared" si="1"/>
        <v>100</v>
      </c>
      <c r="V12" s="768" t="s">
        <v>21</v>
      </c>
      <c r="W12" s="769">
        <f t="shared" si="2"/>
        <v>100</v>
      </c>
      <c r="X12" s="770"/>
      <c r="Y12" s="3011"/>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99"/>
      <c r="Q13" s="1785">
        <f t="shared" si="6"/>
        <v>111</v>
      </c>
      <c r="R13" s="768" t="s">
        <v>21</v>
      </c>
      <c r="S13" s="769">
        <f t="shared" si="0"/>
        <v>100</v>
      </c>
      <c r="T13" s="768" t="s">
        <v>21</v>
      </c>
      <c r="U13" s="769">
        <f t="shared" si="1"/>
        <v>100</v>
      </c>
      <c r="V13" s="768" t="s">
        <v>21</v>
      </c>
      <c r="W13" s="769">
        <f t="shared" si="2"/>
        <v>100</v>
      </c>
      <c r="X13" s="770"/>
      <c r="Y13" s="3011"/>
      <c r="Z13" s="55">
        <f t="shared" si="7"/>
        <v>111</v>
      </c>
      <c r="AA13" s="771">
        <f t="shared" si="3"/>
        <v>1</v>
      </c>
      <c r="AB13" s="771">
        <f t="shared" si="4"/>
        <v>1</v>
      </c>
      <c r="AC13" s="771">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99"/>
      <c r="Q14" s="1785">
        <f t="shared" si="6"/>
        <v>111</v>
      </c>
      <c r="R14" s="768" t="s">
        <v>21</v>
      </c>
      <c r="S14" s="769">
        <f t="shared" si="0"/>
        <v>100</v>
      </c>
      <c r="T14" s="768" t="s">
        <v>21</v>
      </c>
      <c r="U14" s="769">
        <f t="shared" si="1"/>
        <v>100</v>
      </c>
      <c r="V14" s="768" t="s">
        <v>21</v>
      </c>
      <c r="W14" s="769">
        <f t="shared" si="2"/>
        <v>100</v>
      </c>
      <c r="X14" s="770"/>
      <c r="Y14" s="3011"/>
      <c r="Z14" s="55">
        <f t="shared" si="7"/>
        <v>111</v>
      </c>
      <c r="AA14" s="771">
        <f t="shared" si="3"/>
        <v>1</v>
      </c>
      <c r="AB14" s="771">
        <f t="shared" si="4"/>
        <v>1</v>
      </c>
      <c r="AC14" s="771">
        <f t="shared" si="5"/>
        <v>1</v>
      </c>
    </row>
    <row r="15" spans="1:29" ht="99.75">
      <c r="A15" s="439" t="s">
        <v>2558</v>
      </c>
      <c r="B15" s="69" t="s">
        <v>2083</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197" t="s">
        <v>2559</v>
      </c>
      <c r="Q15" s="1800" t="str">
        <f t="shared" si="6"/>
        <v>居住社区成熟度</v>
      </c>
      <c r="R15" s="772" t="s">
        <v>21</v>
      </c>
      <c r="S15" s="773">
        <f t="shared" si="0"/>
        <v>100</v>
      </c>
      <c r="T15" s="772" t="s">
        <v>21</v>
      </c>
      <c r="U15" s="773">
        <f t="shared" si="1"/>
        <v>100</v>
      </c>
      <c r="V15" s="772" t="s">
        <v>21</v>
      </c>
      <c r="W15" s="773">
        <f t="shared" si="2"/>
        <v>100</v>
      </c>
      <c r="X15" s="1803"/>
      <c r="Y15" s="3190" t="s">
        <v>2559</v>
      </c>
      <c r="Z15" s="1804" t="str">
        <f t="shared" si="7"/>
        <v>居住社区成熟度</v>
      </c>
      <c r="AA15" s="1801">
        <f t="shared" si="3"/>
        <v>1</v>
      </c>
      <c r="AB15" s="1801">
        <f t="shared" si="4"/>
        <v>1</v>
      </c>
      <c r="AC15" s="1801">
        <f t="shared" si="5"/>
        <v>1</v>
      </c>
    </row>
    <row r="16" spans="1:29" ht="15">
      <c r="A16" s="427"/>
      <c r="B16" s="445"/>
      <c r="C16" s="446"/>
      <c r="D16" s="447"/>
      <c r="E16" s="2596"/>
      <c r="F16" s="447"/>
      <c r="G16" s="2597"/>
      <c r="H16" s="449"/>
      <c r="I16" s="2597"/>
      <c r="J16" s="447"/>
      <c r="K16" s="2598"/>
      <c r="L16" s="1138"/>
      <c r="M16" s="1129"/>
      <c r="N16" s="1129"/>
      <c r="O16" s="1129"/>
      <c r="P16" s="3198"/>
      <c r="Q16" s="1800"/>
      <c r="R16" s="772"/>
      <c r="S16" s="773"/>
      <c r="T16" s="772"/>
      <c r="U16" s="773"/>
      <c r="V16" s="772"/>
      <c r="W16" s="773"/>
      <c r="X16" s="1803"/>
      <c r="Y16" s="3191"/>
      <c r="Z16" s="1804"/>
      <c r="AA16" s="1801">
        <v>1</v>
      </c>
      <c r="AB16" s="1801">
        <v>1</v>
      </c>
      <c r="AC16" s="1801">
        <v>1</v>
      </c>
    </row>
    <row r="17" spans="1:29" ht="85.5">
      <c r="A17" s="427"/>
      <c r="B17" s="450" t="s">
        <v>2095</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198"/>
      <c r="Q17" s="1800" t="str">
        <f>B17</f>
        <v>交通便捷度</v>
      </c>
      <c r="R17" s="772" t="s">
        <v>21</v>
      </c>
      <c r="S17" s="773">
        <f>F17</f>
        <v>100</v>
      </c>
      <c r="T17" s="772" t="s">
        <v>21</v>
      </c>
      <c r="U17" s="773">
        <f>H17</f>
        <v>100</v>
      </c>
      <c r="V17" s="772" t="s">
        <v>21</v>
      </c>
      <c r="W17" s="773">
        <f>J17</f>
        <v>100</v>
      </c>
      <c r="X17" s="1803"/>
      <c r="Y17" s="3191"/>
      <c r="Z17" s="1804" t="str">
        <f>Q17</f>
        <v>交通便捷度</v>
      </c>
      <c r="AA17" s="1801">
        <f t="shared" si="3"/>
        <v>1</v>
      </c>
      <c r="AB17" s="1801">
        <f t="shared" si="4"/>
        <v>1</v>
      </c>
      <c r="AC17" s="1801">
        <f t="shared" si="5"/>
        <v>1</v>
      </c>
    </row>
    <row r="18" spans="1:29" ht="15">
      <c r="A18" s="427"/>
      <c r="B18" s="455"/>
      <c r="C18" s="2600"/>
      <c r="D18" s="449"/>
      <c r="E18" s="2601"/>
      <c r="F18" s="449"/>
      <c r="G18" s="2602"/>
      <c r="H18" s="447"/>
      <c r="I18" s="2602"/>
      <c r="J18" s="447"/>
      <c r="K18" s="2598"/>
      <c r="L18" s="1138"/>
      <c r="M18" s="1129"/>
      <c r="N18" s="1129"/>
      <c r="O18" s="1129"/>
      <c r="P18" s="3198"/>
      <c r="Q18" s="1800"/>
      <c r="R18" s="772"/>
      <c r="S18" s="773"/>
      <c r="T18" s="772"/>
      <c r="U18" s="773"/>
      <c r="V18" s="772"/>
      <c r="W18" s="773"/>
      <c r="X18" s="1803"/>
      <c r="Y18" s="3191"/>
      <c r="Z18" s="1804"/>
      <c r="AA18" s="1801">
        <v>1</v>
      </c>
      <c r="AB18" s="1801">
        <v>1</v>
      </c>
      <c r="AC18" s="1801">
        <v>1</v>
      </c>
    </row>
    <row r="19" spans="1:29" ht="42.75">
      <c r="A19" s="427"/>
      <c r="B19" s="450" t="s">
        <v>2093</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198"/>
      <c r="Q19" s="1800" t="str">
        <f>B19</f>
        <v>公共配套设施</v>
      </c>
      <c r="R19" s="772" t="s">
        <v>21</v>
      </c>
      <c r="S19" s="773">
        <f>F19</f>
        <v>100</v>
      </c>
      <c r="T19" s="772" t="s">
        <v>21</v>
      </c>
      <c r="U19" s="773">
        <f>H19</f>
        <v>100</v>
      </c>
      <c r="V19" s="772" t="s">
        <v>21</v>
      </c>
      <c r="W19" s="773">
        <f>J19</f>
        <v>100</v>
      </c>
      <c r="X19" s="1803"/>
      <c r="Y19" s="3191"/>
      <c r="Z19" s="1804" t="str">
        <f>Q19</f>
        <v>公共配套设施</v>
      </c>
      <c r="AA19" s="1801">
        <f t="shared" si="3"/>
        <v>1</v>
      </c>
      <c r="AB19" s="1801">
        <f t="shared" si="4"/>
        <v>1</v>
      </c>
      <c r="AC19" s="1801">
        <f t="shared" si="5"/>
        <v>1</v>
      </c>
    </row>
    <row r="20" spans="1:29" ht="15">
      <c r="A20" s="427"/>
      <c r="B20" s="455"/>
      <c r="C20" s="446"/>
      <c r="D20" s="447"/>
      <c r="E20" s="2596"/>
      <c r="F20" s="447"/>
      <c r="G20" s="2597"/>
      <c r="H20" s="447"/>
      <c r="I20" s="2597"/>
      <c r="J20" s="447"/>
      <c r="K20" s="2598"/>
      <c r="L20" s="1138"/>
      <c r="M20" s="1129"/>
      <c r="N20" s="1129"/>
      <c r="O20" s="1129"/>
      <c r="P20" s="3198"/>
      <c r="Q20" s="1800"/>
      <c r="R20" s="772"/>
      <c r="S20" s="773"/>
      <c r="T20" s="772"/>
      <c r="U20" s="773"/>
      <c r="V20" s="772"/>
      <c r="W20" s="773"/>
      <c r="X20" s="1803"/>
      <c r="Y20" s="3191"/>
      <c r="Z20" s="1804"/>
      <c r="AA20" s="1801">
        <v>1</v>
      </c>
      <c r="AB20" s="1801">
        <v>1</v>
      </c>
      <c r="AC20" s="1801">
        <v>1</v>
      </c>
    </row>
    <row r="21" spans="1:29" ht="28.5">
      <c r="A21" s="427"/>
      <c r="B21" s="1382" t="s">
        <v>2096</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198"/>
      <c r="Q21" s="1800" t="str">
        <f>B21</f>
        <v>基础设施水平</v>
      </c>
      <c r="R21" s="772" t="s">
        <v>17</v>
      </c>
      <c r="S21" s="773">
        <f>F21</f>
        <v>100</v>
      </c>
      <c r="T21" s="772" t="s">
        <v>17</v>
      </c>
      <c r="U21" s="773">
        <f>H21</f>
        <v>100</v>
      </c>
      <c r="V21" s="772" t="s">
        <v>17</v>
      </c>
      <c r="W21" s="773">
        <f>J21</f>
        <v>100</v>
      </c>
      <c r="X21" s="1803"/>
      <c r="Y21" s="3191"/>
      <c r="Z21" s="1804" t="str">
        <f>Q21</f>
        <v>基础设施水平</v>
      </c>
      <c r="AA21" s="1801">
        <f t="shared" ref="AA21" si="8">D21/F21</f>
        <v>1</v>
      </c>
      <c r="AB21" s="1801">
        <f t="shared" ref="AB21" si="9">D21/H21</f>
        <v>1</v>
      </c>
      <c r="AC21" s="1801">
        <f t="shared" ref="AC21" si="10">D21/J21</f>
        <v>1</v>
      </c>
    </row>
    <row r="22" spans="1:29" ht="15">
      <c r="A22" s="427"/>
      <c r="B22" s="1382"/>
      <c r="C22" s="2600"/>
      <c r="D22" s="447"/>
      <c r="E22" s="446"/>
      <c r="F22" s="447"/>
      <c r="G22" s="2603"/>
      <c r="H22" s="447"/>
      <c r="I22" s="446"/>
      <c r="J22" s="447"/>
      <c r="K22" s="2604"/>
      <c r="L22" s="1138"/>
      <c r="M22" s="1129"/>
      <c r="N22" s="1129"/>
      <c r="O22" s="1129"/>
      <c r="P22" s="3198"/>
      <c r="Q22" s="1800"/>
      <c r="R22" s="772"/>
      <c r="S22" s="773"/>
      <c r="T22" s="772"/>
      <c r="U22" s="773"/>
      <c r="V22" s="772"/>
      <c r="W22" s="773"/>
      <c r="X22" s="1803"/>
      <c r="Y22" s="3191"/>
      <c r="Z22" s="1804"/>
      <c r="AA22" s="1801">
        <v>1</v>
      </c>
      <c r="AB22" s="1801">
        <v>1</v>
      </c>
      <c r="AC22" s="1801">
        <v>1</v>
      </c>
    </row>
    <row r="23" spans="1:29" ht="57">
      <c r="A23" s="427"/>
      <c r="B23" s="450" t="s">
        <v>2100</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198"/>
      <c r="Q23" s="1800" t="str">
        <f>B23</f>
        <v>自然及人文环境</v>
      </c>
      <c r="R23" s="772" t="s">
        <v>21</v>
      </c>
      <c r="S23" s="773">
        <f>F23</f>
        <v>100</v>
      </c>
      <c r="T23" s="772" t="s">
        <v>21</v>
      </c>
      <c r="U23" s="773">
        <f>H23</f>
        <v>100</v>
      </c>
      <c r="V23" s="772" t="s">
        <v>21</v>
      </c>
      <c r="W23" s="773">
        <f>J23</f>
        <v>100</v>
      </c>
      <c r="X23" s="1803"/>
      <c r="Y23" s="3191"/>
      <c r="Z23" s="1804" t="str">
        <f>Q23</f>
        <v>自然及人文环境</v>
      </c>
      <c r="AA23" s="1801">
        <f>D23/F23</f>
        <v>1</v>
      </c>
      <c r="AB23" s="1801">
        <f>D23/H23</f>
        <v>1</v>
      </c>
      <c r="AC23" s="1801">
        <f>D23/J23</f>
        <v>1</v>
      </c>
    </row>
    <row r="24" spans="1:29" ht="15">
      <c r="A24" s="427"/>
      <c r="B24" s="455"/>
      <c r="C24" s="446"/>
      <c r="D24" s="447"/>
      <c r="E24" s="2596"/>
      <c r="F24" s="447"/>
      <c r="G24" s="2597"/>
      <c r="H24" s="447"/>
      <c r="I24" s="2597"/>
      <c r="J24" s="447"/>
      <c r="K24" s="2598"/>
      <c r="L24" s="1138"/>
      <c r="M24" s="1129"/>
      <c r="N24" s="1129"/>
      <c r="O24" s="1129"/>
      <c r="P24" s="3198"/>
      <c r="Q24" s="1800"/>
      <c r="R24" s="772"/>
      <c r="S24" s="773"/>
      <c r="T24" s="772"/>
      <c r="U24" s="773"/>
      <c r="V24" s="772"/>
      <c r="W24" s="773"/>
      <c r="X24" s="1803"/>
      <c r="Y24" s="3191"/>
      <c r="Z24" s="1804"/>
      <c r="AA24" s="1801">
        <v>1</v>
      </c>
      <c r="AB24" s="1801">
        <v>1</v>
      </c>
      <c r="AC24" s="1801">
        <v>1</v>
      </c>
    </row>
    <row r="25" spans="1:29" ht="15">
      <c r="A25" s="427"/>
      <c r="B25" s="421" t="s">
        <v>2560</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198"/>
      <c r="Q25" s="1800" t="str">
        <f t="shared" ref="Q25:Q46" si="11">B25</f>
        <v>楼层-1</v>
      </c>
      <c r="R25" s="772" t="s">
        <v>21</v>
      </c>
      <c r="S25" s="773">
        <f t="shared" ref="S25:S46" si="12">F25</f>
        <v>100</v>
      </c>
      <c r="T25" s="772" t="s">
        <v>21</v>
      </c>
      <c r="U25" s="773">
        <f t="shared" ref="U25:U46" si="13">H25</f>
        <v>100</v>
      </c>
      <c r="V25" s="772" t="s">
        <v>21</v>
      </c>
      <c r="W25" s="773">
        <f t="shared" ref="W25:W46" si="14">J25</f>
        <v>100</v>
      </c>
      <c r="X25" s="1803"/>
      <c r="Y25" s="3191"/>
      <c r="Z25" s="1804" t="str">
        <f>Q25</f>
        <v>楼层-1</v>
      </c>
      <c r="AA25" s="1801">
        <f t="shared" ref="AA25:AA46" si="15">D25/F25</f>
        <v>1</v>
      </c>
      <c r="AB25" s="1801">
        <f t="shared" ref="AB25:AB46" si="16">D25/H25</f>
        <v>1</v>
      </c>
      <c r="AC25" s="1801">
        <f t="shared" ref="AC25:AC46" si="17">D25/J25</f>
        <v>1</v>
      </c>
    </row>
    <row r="26" spans="1:29" ht="15">
      <c r="A26" s="427"/>
      <c r="B26" s="421" t="s">
        <v>2561</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198"/>
      <c r="Q26" s="1800" t="str">
        <f t="shared" si="11"/>
        <v>朝向</v>
      </c>
      <c r="R26" s="772" t="s">
        <v>21</v>
      </c>
      <c r="S26" s="773">
        <f t="shared" si="12"/>
        <v>100</v>
      </c>
      <c r="T26" s="772" t="s">
        <v>21</v>
      </c>
      <c r="U26" s="773">
        <f t="shared" si="13"/>
        <v>100</v>
      </c>
      <c r="V26" s="772" t="s">
        <v>21</v>
      </c>
      <c r="W26" s="773">
        <f t="shared" si="14"/>
        <v>100</v>
      </c>
      <c r="X26" s="1803"/>
      <c r="Y26" s="3191"/>
      <c r="Z26" s="1804" t="str">
        <f>Q26</f>
        <v>朝向</v>
      </c>
      <c r="AA26" s="1801">
        <f t="shared" si="15"/>
        <v>1</v>
      </c>
      <c r="AB26" s="1801">
        <f t="shared" si="16"/>
        <v>1</v>
      </c>
      <c r="AC26" s="1801">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198"/>
      <c r="Q27" s="1785">
        <f t="shared" si="11"/>
        <v>111</v>
      </c>
      <c r="R27" s="768" t="s">
        <v>21</v>
      </c>
      <c r="S27" s="769">
        <f t="shared" si="12"/>
        <v>100</v>
      </c>
      <c r="T27" s="768" t="s">
        <v>21</v>
      </c>
      <c r="U27" s="769">
        <f t="shared" si="13"/>
        <v>100</v>
      </c>
      <c r="V27" s="768" t="s">
        <v>21</v>
      </c>
      <c r="W27" s="769">
        <f t="shared" si="14"/>
        <v>100</v>
      </c>
      <c r="X27" s="770"/>
      <c r="Y27" s="3191"/>
      <c r="Z27" s="55">
        <f>Q27</f>
        <v>111</v>
      </c>
      <c r="AA27" s="1801">
        <f t="shared" si="15"/>
        <v>1</v>
      </c>
      <c r="AB27" s="1801">
        <f t="shared" si="16"/>
        <v>1</v>
      </c>
      <c r="AC27" s="1801">
        <f t="shared" si="17"/>
        <v>1</v>
      </c>
    </row>
    <row r="28" spans="1:29" ht="15">
      <c r="A28" s="427"/>
      <c r="B28" s="1384">
        <v>111</v>
      </c>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198"/>
      <c r="Q28" s="1800">
        <f t="shared" si="11"/>
        <v>111</v>
      </c>
      <c r="R28" s="772" t="s">
        <v>21</v>
      </c>
      <c r="S28" s="773">
        <f t="shared" si="12"/>
        <v>100</v>
      </c>
      <c r="T28" s="772" t="s">
        <v>21</v>
      </c>
      <c r="U28" s="773">
        <f t="shared" si="13"/>
        <v>100</v>
      </c>
      <c r="V28" s="772" t="s">
        <v>21</v>
      </c>
      <c r="W28" s="773">
        <f t="shared" si="14"/>
        <v>100</v>
      </c>
      <c r="X28" s="1803"/>
      <c r="Y28" s="3191"/>
      <c r="Z28" s="1804">
        <f t="shared" ref="Z28:Z46" si="18">Q28</f>
        <v>111</v>
      </c>
      <c r="AA28" s="1801">
        <f t="shared" si="15"/>
        <v>1</v>
      </c>
      <c r="AB28" s="1801">
        <f t="shared" si="16"/>
        <v>1</v>
      </c>
      <c r="AC28" s="1801">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198"/>
      <c r="Q29" s="1800">
        <f t="shared" si="11"/>
        <v>111</v>
      </c>
      <c r="R29" s="772" t="s">
        <v>21</v>
      </c>
      <c r="S29" s="773">
        <f t="shared" si="12"/>
        <v>100</v>
      </c>
      <c r="T29" s="772" t="s">
        <v>21</v>
      </c>
      <c r="U29" s="773">
        <f t="shared" si="13"/>
        <v>100</v>
      </c>
      <c r="V29" s="772" t="s">
        <v>21</v>
      </c>
      <c r="W29" s="773">
        <f t="shared" si="14"/>
        <v>100</v>
      </c>
      <c r="X29" s="1803"/>
      <c r="Y29" s="3191"/>
      <c r="Z29" s="1804">
        <f t="shared" si="18"/>
        <v>111</v>
      </c>
      <c r="AA29" s="1801">
        <f t="shared" si="15"/>
        <v>1</v>
      </c>
      <c r="AB29" s="1801">
        <f t="shared" si="16"/>
        <v>1</v>
      </c>
      <c r="AC29" s="1801">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198"/>
      <c r="Q30" s="1800">
        <f t="shared" si="11"/>
        <v>111</v>
      </c>
      <c r="R30" s="772" t="s">
        <v>21</v>
      </c>
      <c r="S30" s="773">
        <f t="shared" si="12"/>
        <v>100</v>
      </c>
      <c r="T30" s="772" t="s">
        <v>21</v>
      </c>
      <c r="U30" s="773">
        <f t="shared" si="13"/>
        <v>100</v>
      </c>
      <c r="V30" s="772" t="s">
        <v>21</v>
      </c>
      <c r="W30" s="773">
        <f t="shared" si="14"/>
        <v>100</v>
      </c>
      <c r="X30" s="1803"/>
      <c r="Y30" s="3191"/>
      <c r="Z30" s="1804">
        <f t="shared" si="18"/>
        <v>111</v>
      </c>
      <c r="AA30" s="1801">
        <f t="shared" si="15"/>
        <v>1</v>
      </c>
      <c r="AB30" s="1801">
        <f t="shared" si="16"/>
        <v>1</v>
      </c>
      <c r="AC30" s="1801">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198"/>
      <c r="Q31" s="1800">
        <f t="shared" si="11"/>
        <v>111</v>
      </c>
      <c r="R31" s="772" t="s">
        <v>21</v>
      </c>
      <c r="S31" s="773">
        <f t="shared" si="12"/>
        <v>100</v>
      </c>
      <c r="T31" s="772" t="s">
        <v>21</v>
      </c>
      <c r="U31" s="773">
        <f t="shared" si="13"/>
        <v>100</v>
      </c>
      <c r="V31" s="772" t="s">
        <v>21</v>
      </c>
      <c r="W31" s="773">
        <f t="shared" si="14"/>
        <v>100</v>
      </c>
      <c r="X31" s="1803"/>
      <c r="Y31" s="3191"/>
      <c r="Z31" s="1804">
        <f t="shared" si="18"/>
        <v>111</v>
      </c>
      <c r="AA31" s="1801">
        <f t="shared" si="15"/>
        <v>1</v>
      </c>
      <c r="AB31" s="1801">
        <f t="shared" si="16"/>
        <v>1</v>
      </c>
      <c r="AC31" s="1801">
        <f t="shared" si="17"/>
        <v>1</v>
      </c>
    </row>
    <row r="32" spans="1:29" ht="15">
      <c r="A32" s="439" t="s">
        <v>2562</v>
      </c>
      <c r="B32" s="71" t="s">
        <v>2563</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8"/>
      <c r="M32" s="1129"/>
      <c r="N32" s="1129"/>
      <c r="O32" s="1129"/>
      <c r="P32" s="3192" t="s">
        <v>2564</v>
      </c>
      <c r="Q32" s="1800" t="str">
        <f t="shared" si="11"/>
        <v>建筑类型</v>
      </c>
      <c r="R32" s="772" t="s">
        <v>21</v>
      </c>
      <c r="S32" s="773">
        <f t="shared" si="12"/>
        <v>100</v>
      </c>
      <c r="T32" s="772" t="s">
        <v>21</v>
      </c>
      <c r="U32" s="773">
        <f t="shared" si="13"/>
        <v>100</v>
      </c>
      <c r="V32" s="772" t="s">
        <v>21</v>
      </c>
      <c r="W32" s="773">
        <f t="shared" si="14"/>
        <v>100</v>
      </c>
      <c r="X32" s="1803"/>
      <c r="Y32" s="3195" t="s">
        <v>2564</v>
      </c>
      <c r="Z32" s="1804" t="str">
        <f t="shared" si="18"/>
        <v>建筑类型</v>
      </c>
      <c r="AA32" s="1801">
        <f t="shared" si="15"/>
        <v>1</v>
      </c>
      <c r="AB32" s="1801">
        <f t="shared" si="16"/>
        <v>1</v>
      </c>
      <c r="AC32" s="1801">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6"/>
      <c r="M33" s="1139"/>
      <c r="N33" s="1139"/>
      <c r="O33" s="1139"/>
      <c r="P33" s="3193"/>
      <c r="Q33" s="774" t="str">
        <f t="shared" si="11"/>
        <v>项目建筑规模</v>
      </c>
      <c r="R33" s="775" t="s">
        <v>21</v>
      </c>
      <c r="S33" s="776" t="e">
        <f t="shared" si="12"/>
        <v>#N/A</v>
      </c>
      <c r="T33" s="775" t="s">
        <v>21</v>
      </c>
      <c r="U33" s="776" t="e">
        <f t="shared" si="13"/>
        <v>#N/A</v>
      </c>
      <c r="V33" s="775" t="s">
        <v>21</v>
      </c>
      <c r="W33" s="776" t="e">
        <f t="shared" si="14"/>
        <v>#N/A</v>
      </c>
      <c r="X33" s="777"/>
      <c r="Y33" s="3195"/>
      <c r="Z33" s="778" t="str">
        <f t="shared" si="18"/>
        <v>项目建筑规模</v>
      </c>
      <c r="AA33" s="1801" t="e">
        <f t="shared" si="15"/>
        <v>#N/A</v>
      </c>
      <c r="AB33" s="1801" t="e">
        <f t="shared" si="16"/>
        <v>#N/A</v>
      </c>
      <c r="AC33" s="1801" t="e">
        <f t="shared" si="17"/>
        <v>#N/A</v>
      </c>
    </row>
    <row r="34" spans="1:29" ht="15">
      <c r="A34" s="471"/>
      <c r="B34" s="421" t="s">
        <v>2566</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8"/>
      <c r="M34" s="1129"/>
      <c r="N34" s="1129"/>
      <c r="O34" s="1129"/>
      <c r="P34" s="3193"/>
      <c r="Q34" s="1800" t="str">
        <f t="shared" si="11"/>
        <v>建筑结构</v>
      </c>
      <c r="R34" s="772" t="s">
        <v>21</v>
      </c>
      <c r="S34" s="773">
        <f t="shared" si="12"/>
        <v>100</v>
      </c>
      <c r="T34" s="772" t="s">
        <v>21</v>
      </c>
      <c r="U34" s="773">
        <f t="shared" si="13"/>
        <v>100</v>
      </c>
      <c r="V34" s="772" t="s">
        <v>21</v>
      </c>
      <c r="W34" s="773">
        <f t="shared" si="14"/>
        <v>100</v>
      </c>
      <c r="X34" s="1803"/>
      <c r="Y34" s="3195"/>
      <c r="Z34" s="1804" t="str">
        <f t="shared" si="18"/>
        <v>建筑结构</v>
      </c>
      <c r="AA34" s="1801">
        <f t="shared" si="15"/>
        <v>1</v>
      </c>
      <c r="AB34" s="1801">
        <f t="shared" si="16"/>
        <v>1</v>
      </c>
      <c r="AC34" s="1801">
        <f t="shared" si="17"/>
        <v>1</v>
      </c>
    </row>
    <row r="35" spans="1:29" ht="15">
      <c r="A35" s="471"/>
      <c r="B35" s="421" t="s">
        <v>2567</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193"/>
      <c r="Q35" s="1800" t="str">
        <f t="shared" si="11"/>
        <v>建筑品质</v>
      </c>
      <c r="R35" s="772" t="s">
        <v>21</v>
      </c>
      <c r="S35" s="773">
        <f t="shared" si="12"/>
        <v>100</v>
      </c>
      <c r="T35" s="772" t="s">
        <v>21</v>
      </c>
      <c r="U35" s="773">
        <f t="shared" si="13"/>
        <v>100</v>
      </c>
      <c r="V35" s="772" t="s">
        <v>21</v>
      </c>
      <c r="W35" s="773">
        <f t="shared" si="14"/>
        <v>100</v>
      </c>
      <c r="X35" s="1803"/>
      <c r="Y35" s="3195"/>
      <c r="Z35" s="1804" t="str">
        <f t="shared" si="18"/>
        <v>建筑品质</v>
      </c>
      <c r="AA35" s="1801">
        <f t="shared" si="15"/>
        <v>1</v>
      </c>
      <c r="AB35" s="1801">
        <f t="shared" si="16"/>
        <v>1</v>
      </c>
      <c r="AC35" s="1801">
        <f t="shared" si="17"/>
        <v>1</v>
      </c>
    </row>
    <row r="36" spans="1:29" ht="15">
      <c r="A36" s="471"/>
      <c r="B36" s="421" t="s">
        <v>2568</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8"/>
      <c r="M36" s="1129"/>
      <c r="N36" s="1129"/>
      <c r="O36" s="1129"/>
      <c r="P36" s="3193"/>
      <c r="Q36" s="1800" t="str">
        <f t="shared" si="11"/>
        <v>公共部分装修</v>
      </c>
      <c r="R36" s="772" t="s">
        <v>21</v>
      </c>
      <c r="S36" s="773">
        <f t="shared" si="12"/>
        <v>100</v>
      </c>
      <c r="T36" s="772" t="s">
        <v>21</v>
      </c>
      <c r="U36" s="773">
        <f t="shared" si="13"/>
        <v>100</v>
      </c>
      <c r="V36" s="772" t="s">
        <v>21</v>
      </c>
      <c r="W36" s="773">
        <f t="shared" si="14"/>
        <v>100</v>
      </c>
      <c r="X36" s="1803"/>
      <c r="Y36" s="3195"/>
      <c r="Z36" s="1804" t="str">
        <f t="shared" si="18"/>
        <v>公共部分装修</v>
      </c>
      <c r="AA36" s="1801">
        <f t="shared" si="15"/>
        <v>1</v>
      </c>
      <c r="AB36" s="1801">
        <f t="shared" si="16"/>
        <v>1</v>
      </c>
      <c r="AC36" s="1801">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193"/>
      <c r="Q37" s="1785" t="str">
        <f t="shared" si="11"/>
        <v>成新度</v>
      </c>
      <c r="R37" s="768" t="s">
        <v>21</v>
      </c>
      <c r="S37" s="769" t="e">
        <f t="shared" si="12"/>
        <v>#N/A</v>
      </c>
      <c r="T37" s="768" t="s">
        <v>21</v>
      </c>
      <c r="U37" s="769" t="e">
        <f t="shared" si="13"/>
        <v>#N/A</v>
      </c>
      <c r="V37" s="768" t="s">
        <v>21</v>
      </c>
      <c r="W37" s="769" t="e">
        <f t="shared" si="14"/>
        <v>#N/A</v>
      </c>
      <c r="X37" s="770"/>
      <c r="Y37" s="3195"/>
      <c r="Z37" s="55" t="str">
        <f t="shared" si="18"/>
        <v>成新度</v>
      </c>
      <c r="AA37" s="771" t="e">
        <f t="shared" si="15"/>
        <v>#N/A</v>
      </c>
      <c r="AB37" s="771" t="e">
        <f t="shared" si="16"/>
        <v>#N/A</v>
      </c>
      <c r="AC37" s="771" t="e">
        <f t="shared" si="17"/>
        <v>#N/A</v>
      </c>
    </row>
    <row r="38" spans="1:29" ht="15">
      <c r="A38" s="471"/>
      <c r="B38" s="421" t="s">
        <v>2570</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8"/>
      <c r="M38" s="1129"/>
      <c r="N38" s="1129"/>
      <c r="O38" s="1129"/>
      <c r="P38" s="3193" t="s">
        <v>2564</v>
      </c>
      <c r="Q38" s="1800" t="str">
        <f t="shared" si="11"/>
        <v>物业管理</v>
      </c>
      <c r="R38" s="772" t="s">
        <v>21</v>
      </c>
      <c r="S38" s="773">
        <f t="shared" si="12"/>
        <v>100</v>
      </c>
      <c r="T38" s="772" t="s">
        <v>21</v>
      </c>
      <c r="U38" s="773">
        <f t="shared" si="13"/>
        <v>100</v>
      </c>
      <c r="V38" s="772" t="s">
        <v>21</v>
      </c>
      <c r="W38" s="773">
        <f t="shared" si="14"/>
        <v>100</v>
      </c>
      <c r="X38" s="1803"/>
      <c r="Y38" s="3195" t="s">
        <v>2564</v>
      </c>
      <c r="Z38" s="1804" t="str">
        <f t="shared" si="18"/>
        <v>物业管理</v>
      </c>
      <c r="AA38" s="1801">
        <f t="shared" si="15"/>
        <v>1</v>
      </c>
      <c r="AB38" s="1801">
        <f t="shared" si="16"/>
        <v>1</v>
      </c>
      <c r="AC38" s="1801">
        <f t="shared" si="17"/>
        <v>1</v>
      </c>
    </row>
    <row r="39" spans="1:29" ht="15">
      <c r="A39" s="471"/>
      <c r="B39" s="421" t="s">
        <v>2571</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8"/>
      <c r="M39" s="1129"/>
      <c r="N39" s="1129"/>
      <c r="O39" s="1129"/>
      <c r="P39" s="3193"/>
      <c r="Q39" s="1800" t="str">
        <f t="shared" si="11"/>
        <v>市政基础设施</v>
      </c>
      <c r="R39" s="772" t="s">
        <v>21</v>
      </c>
      <c r="S39" s="773">
        <f t="shared" si="12"/>
        <v>100</v>
      </c>
      <c r="T39" s="772" t="s">
        <v>21</v>
      </c>
      <c r="U39" s="773">
        <f t="shared" si="13"/>
        <v>100</v>
      </c>
      <c r="V39" s="772" t="s">
        <v>21</v>
      </c>
      <c r="W39" s="773">
        <f t="shared" si="14"/>
        <v>100</v>
      </c>
      <c r="X39" s="1803"/>
      <c r="Y39" s="3195"/>
      <c r="Z39" s="1804" t="str">
        <f t="shared" si="18"/>
        <v>市政基础设施</v>
      </c>
      <c r="AA39" s="1801">
        <f t="shared" si="15"/>
        <v>1</v>
      </c>
      <c r="AB39" s="1801">
        <f t="shared" si="16"/>
        <v>1</v>
      </c>
      <c r="AC39" s="1801">
        <f t="shared" si="17"/>
        <v>1</v>
      </c>
    </row>
    <row r="40" spans="1:29" ht="15">
      <c r="A40" s="471"/>
      <c r="B40" s="421" t="s">
        <v>2572</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193"/>
      <c r="Q40" s="1800" t="str">
        <f t="shared" si="11"/>
        <v>房型</v>
      </c>
      <c r="R40" s="772" t="s">
        <v>21</v>
      </c>
      <c r="S40" s="773">
        <f t="shared" si="12"/>
        <v>100</v>
      </c>
      <c r="T40" s="772" t="s">
        <v>21</v>
      </c>
      <c r="U40" s="773">
        <f t="shared" si="13"/>
        <v>100</v>
      </c>
      <c r="V40" s="772" t="s">
        <v>21</v>
      </c>
      <c r="W40" s="773">
        <f t="shared" si="14"/>
        <v>100</v>
      </c>
      <c r="X40" s="1803"/>
      <c r="Y40" s="3195"/>
      <c r="Z40" s="1804" t="str">
        <f t="shared" si="18"/>
        <v>房型</v>
      </c>
      <c r="AA40" s="1801">
        <f t="shared" si="15"/>
        <v>1</v>
      </c>
      <c r="AB40" s="1801">
        <f t="shared" si="16"/>
        <v>1</v>
      </c>
      <c r="AC40" s="1801">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6"/>
      <c r="M41" s="1139"/>
      <c r="N41" s="1139"/>
      <c r="O41" s="1139"/>
      <c r="P41" s="3193"/>
      <c r="Q41" s="774" t="str">
        <f t="shared" si="11"/>
        <v>单套/主力户型建筑面积</v>
      </c>
      <c r="R41" s="775" t="s">
        <v>21</v>
      </c>
      <c r="S41" s="776">
        <f t="shared" si="12"/>
        <v>100</v>
      </c>
      <c r="T41" s="775" t="s">
        <v>21</v>
      </c>
      <c r="U41" s="776">
        <f t="shared" si="13"/>
        <v>100</v>
      </c>
      <c r="V41" s="775" t="s">
        <v>21</v>
      </c>
      <c r="W41" s="776">
        <f t="shared" si="14"/>
        <v>100</v>
      </c>
      <c r="X41" s="777"/>
      <c r="Y41" s="3195"/>
      <c r="Z41" s="778" t="str">
        <f t="shared" si="18"/>
        <v>单套/主力户型建筑面积</v>
      </c>
      <c r="AA41" s="1801">
        <f t="shared" si="15"/>
        <v>1</v>
      </c>
      <c r="AB41" s="1801">
        <f t="shared" si="16"/>
        <v>1</v>
      </c>
      <c r="AC41" s="1801">
        <f t="shared" si="17"/>
        <v>1</v>
      </c>
    </row>
    <row r="42" spans="1:29" ht="15">
      <c r="A42" s="471"/>
      <c r="B42" s="421" t="s">
        <v>2574</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8"/>
      <c r="M42" s="1129"/>
      <c r="N42" s="1129"/>
      <c r="O42" s="1129"/>
      <c r="P42" s="3193"/>
      <c r="Q42" s="1800" t="str">
        <f t="shared" si="11"/>
        <v>内部装修</v>
      </c>
      <c r="R42" s="772" t="s">
        <v>21</v>
      </c>
      <c r="S42" s="773">
        <f t="shared" si="12"/>
        <v>100</v>
      </c>
      <c r="T42" s="772" t="s">
        <v>21</v>
      </c>
      <c r="U42" s="773">
        <f t="shared" si="13"/>
        <v>100</v>
      </c>
      <c r="V42" s="772" t="s">
        <v>21</v>
      </c>
      <c r="W42" s="773">
        <f t="shared" si="14"/>
        <v>100</v>
      </c>
      <c r="X42" s="1803"/>
      <c r="Y42" s="3195"/>
      <c r="Z42" s="1804" t="str">
        <f t="shared" si="18"/>
        <v>内部装修</v>
      </c>
      <c r="AA42" s="1801">
        <f t="shared" si="15"/>
        <v>1</v>
      </c>
      <c r="AB42" s="1801">
        <f t="shared" si="16"/>
        <v>1</v>
      </c>
      <c r="AC42" s="1801">
        <f t="shared" si="17"/>
        <v>1</v>
      </c>
    </row>
    <row r="43" spans="1:29" ht="15">
      <c r="A43" s="471"/>
      <c r="B43" s="421" t="s">
        <v>2575</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8"/>
      <c r="M43" s="1129"/>
      <c r="N43" s="1129"/>
      <c r="O43" s="1129"/>
      <c r="P43" s="3193"/>
      <c r="Q43" s="1800" t="str">
        <f t="shared" si="11"/>
        <v>内部装修维护情况</v>
      </c>
      <c r="R43" s="772" t="s">
        <v>21</v>
      </c>
      <c r="S43" s="773">
        <f t="shared" si="12"/>
        <v>100</v>
      </c>
      <c r="T43" s="772" t="s">
        <v>21</v>
      </c>
      <c r="U43" s="773">
        <f t="shared" si="13"/>
        <v>100</v>
      </c>
      <c r="V43" s="772" t="s">
        <v>21</v>
      </c>
      <c r="W43" s="773">
        <f t="shared" si="14"/>
        <v>100</v>
      </c>
      <c r="X43" s="1803"/>
      <c r="Y43" s="3195"/>
      <c r="Z43" s="1804" t="str">
        <f t="shared" si="18"/>
        <v>内部装修维护情况</v>
      </c>
      <c r="AA43" s="1801">
        <f t="shared" si="15"/>
        <v>1</v>
      </c>
      <c r="AB43" s="1801">
        <f t="shared" si="16"/>
        <v>1</v>
      </c>
      <c r="AC43" s="1801">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0"/>
      <c r="M44" s="1131"/>
      <c r="N44" s="1131"/>
      <c r="O44" s="1131"/>
      <c r="P44" s="3193"/>
      <c r="Q44" s="1785">
        <f t="shared" si="11"/>
        <v>111</v>
      </c>
      <c r="R44" s="768" t="s">
        <v>21</v>
      </c>
      <c r="S44" s="769">
        <f t="shared" si="12"/>
        <v>100</v>
      </c>
      <c r="T44" s="768" t="s">
        <v>21</v>
      </c>
      <c r="U44" s="769">
        <f t="shared" si="13"/>
        <v>100</v>
      </c>
      <c r="V44" s="768" t="s">
        <v>21</v>
      </c>
      <c r="W44" s="769">
        <f t="shared" si="14"/>
        <v>100</v>
      </c>
      <c r="X44" s="770"/>
      <c r="Y44" s="3195"/>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193"/>
      <c r="Q45" s="1800">
        <f t="shared" si="11"/>
        <v>111</v>
      </c>
      <c r="R45" s="772" t="s">
        <v>21</v>
      </c>
      <c r="S45" s="773">
        <f t="shared" si="12"/>
        <v>100</v>
      </c>
      <c r="T45" s="772" t="s">
        <v>21</v>
      </c>
      <c r="U45" s="773">
        <f t="shared" si="13"/>
        <v>100</v>
      </c>
      <c r="V45" s="772" t="s">
        <v>21</v>
      </c>
      <c r="W45" s="773">
        <f t="shared" si="14"/>
        <v>100</v>
      </c>
      <c r="X45" s="1803"/>
      <c r="Y45" s="3195"/>
      <c r="Z45" s="1804">
        <f t="shared" si="18"/>
        <v>111</v>
      </c>
      <c r="AA45" s="1801">
        <f t="shared" si="15"/>
        <v>1</v>
      </c>
      <c r="AB45" s="1801">
        <f t="shared" si="16"/>
        <v>1</v>
      </c>
      <c r="AC45" s="1801">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194"/>
      <c r="Q46" s="1800">
        <f t="shared" si="11"/>
        <v>111</v>
      </c>
      <c r="R46" s="772" t="s">
        <v>20</v>
      </c>
      <c r="S46" s="773">
        <f t="shared" si="12"/>
        <v>100</v>
      </c>
      <c r="T46" s="772" t="s">
        <v>20</v>
      </c>
      <c r="U46" s="773">
        <f t="shared" si="13"/>
        <v>100</v>
      </c>
      <c r="V46" s="772" t="s">
        <v>20</v>
      </c>
      <c r="W46" s="773">
        <f t="shared" si="14"/>
        <v>100</v>
      </c>
      <c r="X46" s="1803"/>
      <c r="Y46" s="3196"/>
      <c r="Z46" s="1804">
        <f t="shared" si="18"/>
        <v>111</v>
      </c>
      <c r="AA46" s="1801">
        <f t="shared" si="15"/>
        <v>1</v>
      </c>
      <c r="AB46" s="1801">
        <f t="shared" si="16"/>
        <v>1</v>
      </c>
      <c r="AC46" s="1801">
        <f t="shared" si="17"/>
        <v>1</v>
      </c>
    </row>
    <row r="47" spans="1:29" ht="15">
      <c r="A47" s="478" t="s">
        <v>2576</v>
      </c>
      <c r="B47" s="479"/>
      <c r="C47" s="1405" t="s">
        <v>19</v>
      </c>
      <c r="D47" s="1406"/>
      <c r="E47" s="1407"/>
      <c r="F47" s="1408"/>
      <c r="G47" s="1409"/>
      <c r="H47" s="1410"/>
      <c r="I47" s="1407"/>
      <c r="J47" s="1410"/>
      <c r="K47" s="2613"/>
      <c r="L47" s="1141"/>
      <c r="M47" s="1142"/>
      <c r="N47" s="1129"/>
      <c r="O47" s="1142"/>
      <c r="P47" s="3188" t="str">
        <f>A47</f>
        <v>成交单价（元/平方米）</v>
      </c>
      <c r="Q47" s="3188"/>
      <c r="R47" s="3189">
        <f>E47</f>
        <v>0</v>
      </c>
      <c r="S47" s="3189"/>
      <c r="T47" s="3189">
        <f>G47</f>
        <v>0</v>
      </c>
      <c r="U47" s="3189"/>
      <c r="V47" s="3189">
        <f>I47</f>
        <v>0</v>
      </c>
      <c r="W47" s="3189"/>
      <c r="X47" s="757"/>
      <c r="Y47" s="779"/>
      <c r="Z47" s="757"/>
      <c r="AA47" s="757"/>
      <c r="AB47" s="757"/>
      <c r="AC47" s="757"/>
    </row>
    <row r="48" spans="1:29" ht="15.75" thickBot="1">
      <c r="A48" s="485" t="s">
        <v>2577</v>
      </c>
      <c r="B48" s="486"/>
      <c r="C48" s="1411" t="e">
        <f>R49</f>
        <v>#DIV/0!</v>
      </c>
      <c r="D48" s="1412"/>
      <c r="E48" s="1413" t="e">
        <f>R48</f>
        <v>#DIV/0!</v>
      </c>
      <c r="F48" s="1413"/>
      <c r="G48" s="1411" t="e">
        <f>T48</f>
        <v>#DIV/0!</v>
      </c>
      <c r="H48" s="1412"/>
      <c r="I48" s="1413" t="e">
        <f>V48</f>
        <v>#DIV/0!</v>
      </c>
      <c r="J48" s="1412"/>
      <c r="K48" s="2614"/>
      <c r="L48" s="1141"/>
      <c r="M48" s="1142"/>
      <c r="N48" s="1142"/>
      <c r="O48" s="1142"/>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7"/>
      <c r="Y48" s="757"/>
      <c r="Z48" s="757"/>
      <c r="AA48" s="757"/>
      <c r="AB48" s="757"/>
      <c r="AC48" s="757"/>
    </row>
    <row r="49" spans="1:29" ht="15.75" thickBot="1">
      <c r="A49" s="491" t="s">
        <v>2578</v>
      </c>
      <c r="B49" s="492"/>
      <c r="C49" s="1414" t="e">
        <f>R49</f>
        <v>#DIV/0!</v>
      </c>
      <c r="D49" s="1415"/>
      <c r="E49" s="1415"/>
      <c r="F49" s="1415"/>
      <c r="G49" s="1415"/>
      <c r="H49" s="1415"/>
      <c r="I49" s="1415"/>
      <c r="J49" s="1415"/>
      <c r="K49" s="2615"/>
      <c r="L49" s="1141"/>
      <c r="M49" s="1142"/>
      <c r="N49" s="1142"/>
      <c r="O49" s="1142"/>
      <c r="P49" s="3185" t="str">
        <f>A49</f>
        <v>估价对象XX用房的比较价值（楼面单价，元/平方米）</v>
      </c>
      <c r="Q49" s="3186"/>
      <c r="R49" s="3187" t="e">
        <f>IF(F1="售价",ROUND(AVERAGE(R48:V48),0),ROUND(AVERAGE(R48:V48),1))</f>
        <v>#DIV/0!</v>
      </c>
      <c r="S49" s="3187"/>
      <c r="T49" s="3187"/>
      <c r="U49" s="3187"/>
      <c r="V49" s="3187"/>
      <c r="W49" s="318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61" t="s">
        <v>2582</v>
      </c>
      <c r="B57" s="757"/>
      <c r="C57" s="762"/>
      <c r="D57" s="762"/>
      <c r="E57" s="762"/>
      <c r="F57" s="763"/>
      <c r="G57" s="763"/>
      <c r="H57" s="762"/>
      <c r="I57" s="762"/>
      <c r="J57" s="762"/>
      <c r="K57" s="1158"/>
      <c r="L57" s="1159"/>
      <c r="M57" s="1157"/>
      <c r="N57" s="1157"/>
      <c r="O57" s="1157"/>
      <c r="P57" s="2618"/>
      <c r="Q57" s="503"/>
    </row>
    <row r="58" spans="1:29" s="507" customFormat="1" ht="15">
      <c r="A58" s="504" t="s">
        <v>2583</v>
      </c>
      <c r="B58" s="505"/>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8"/>
      <c r="B59" s="2619"/>
      <c r="C59" s="1571">
        <v>100</v>
      </c>
      <c r="D59" s="510"/>
      <c r="E59" s="511"/>
      <c r="F59" s="511"/>
      <c r="G59" s="511"/>
      <c r="H59" s="511"/>
      <c r="I59" s="511"/>
      <c r="J59" s="511"/>
      <c r="K59" s="511"/>
      <c r="L59" s="511"/>
      <c r="M59" s="512"/>
      <c r="N59" s="511"/>
      <c r="O59" s="512"/>
      <c r="P59" s="2620"/>
    </row>
    <row r="60" spans="1:29" s="117" customFormat="1" ht="15.75" thickBot="1">
      <c r="A60" s="514" t="s">
        <v>2584</v>
      </c>
      <c r="B60" s="515"/>
      <c r="C60" s="516"/>
      <c r="D60" s="517"/>
      <c r="E60" s="517"/>
      <c r="F60" s="517"/>
      <c r="G60" s="517"/>
      <c r="H60" s="517"/>
      <c r="I60" s="517"/>
      <c r="J60" s="517"/>
      <c r="K60" s="517"/>
      <c r="L60" s="517"/>
      <c r="M60" s="518"/>
      <c r="N60" s="517"/>
      <c r="O60" s="518"/>
      <c r="P60" s="2620"/>
      <c r="Q60" s="503"/>
    </row>
    <row r="61" spans="1:29" s="117" customFormat="1" ht="15">
      <c r="A61" s="520" t="s">
        <v>2585</v>
      </c>
      <c r="B61" s="509"/>
      <c r="C61" s="521" t="s">
        <v>2586</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2587</v>
      </c>
      <c r="B63" s="527" t="s">
        <v>2553</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2096</v>
      </c>
      <c r="C82" s="538" t="s">
        <v>2603</v>
      </c>
      <c r="D82" s="538" t="s">
        <v>2604</v>
      </c>
      <c r="E82" s="538" t="s">
        <v>2605</v>
      </c>
      <c r="F82" s="538" t="s">
        <v>2606</v>
      </c>
      <c r="G82" s="538" t="s">
        <v>2607</v>
      </c>
      <c r="H82" s="538"/>
      <c r="I82" s="538"/>
      <c r="J82" s="538"/>
      <c r="K82" s="538"/>
      <c r="L82" s="538"/>
      <c r="M82" s="1380"/>
      <c r="N82" s="1151"/>
      <c r="O82" s="1151"/>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2609</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2610</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f>B27</f>
        <v>111</v>
      </c>
      <c r="C90" s="553"/>
      <c r="D90" s="553"/>
      <c r="E90" s="553"/>
      <c r="F90" s="553"/>
      <c r="G90" s="553"/>
      <c r="H90" s="554"/>
      <c r="I90" s="554"/>
      <c r="J90" s="554"/>
      <c r="K90" s="554"/>
      <c r="L90" s="555"/>
      <c r="M90" s="556"/>
      <c r="N90" s="1152"/>
      <c r="O90" s="1152"/>
      <c r="P90" s="2623"/>
      <c r="Q90" s="558"/>
    </row>
    <row r="91" spans="1:17" s="470" customFormat="1" ht="15.75" thickBot="1">
      <c r="A91" s="552"/>
      <c r="B91" s="542"/>
      <c r="C91" s="559"/>
      <c r="D91" s="559"/>
      <c r="E91" s="559"/>
      <c r="F91" s="559"/>
      <c r="G91" s="559"/>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2562</v>
      </c>
      <c r="B100" s="527" t="s">
        <v>2611</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2613</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2"/>
      <c r="Q106" s="503"/>
    </row>
    <row r="107" spans="1:17" ht="15" thickTop="1">
      <c r="A107" s="598"/>
      <c r="B107" s="537" t="s">
        <v>2614</v>
      </c>
      <c r="C107" s="582"/>
      <c r="D107" s="582"/>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2615</v>
      </c>
      <c r="C109" s="553"/>
      <c r="D109" s="553"/>
      <c r="E109" s="553"/>
      <c r="F109" s="582"/>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2"/>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3"/>
      <c r="Q113" s="558"/>
    </row>
    <row r="114" spans="1:17" ht="15" thickTop="1">
      <c r="A114" s="598"/>
      <c r="B114" s="537" t="s">
        <v>2616</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2"/>
      <c r="Q115" s="503"/>
    </row>
    <row r="116" spans="1:17" ht="15" thickTop="1">
      <c r="A116" s="598"/>
      <c r="B116" s="537" t="s">
        <v>2617</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2618</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2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3"/>
      <c r="Q121" s="558"/>
    </row>
    <row r="122" spans="1:17" ht="15" thickTop="1">
      <c r="A122" s="598"/>
      <c r="B122" s="537" t="s">
        <v>2619</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5" t="s">
        <v>2624</v>
      </c>
      <c r="D138" s="145" t="s">
        <v>2625</v>
      </c>
      <c r="E138" s="2637" t="s">
        <v>2626</v>
      </c>
      <c r="F138" s="2638" t="s">
        <v>2627</v>
      </c>
      <c r="G138" s="145" t="s">
        <v>2625</v>
      </c>
      <c r="H138" s="146" t="s">
        <v>2626</v>
      </c>
      <c r="I138" s="2639"/>
      <c r="J138" s="145" t="s">
        <v>2628</v>
      </c>
      <c r="K138" s="146" t="s">
        <v>2629</v>
      </c>
    </row>
    <row r="139" spans="1:17" ht="15">
      <c r="B139" s="1082">
        <v>6</v>
      </c>
      <c r="C139" s="1083">
        <v>96</v>
      </c>
      <c r="D139" s="2640" t="s">
        <v>2630</v>
      </c>
      <c r="E139" s="1084">
        <v>100</v>
      </c>
      <c r="F139" s="1085">
        <v>102.5</v>
      </c>
      <c r="G139" s="2640" t="s">
        <v>2630</v>
      </c>
      <c r="H139" s="1086">
        <v>105</v>
      </c>
      <c r="I139" s="2641" t="s">
        <v>2631</v>
      </c>
      <c r="J139" s="1083">
        <v>20</v>
      </c>
      <c r="K139" s="1087">
        <f>C145/(J139-2)</f>
        <v>4.0555555555555553E-3</v>
      </c>
    </row>
    <row r="140" spans="1:17" ht="15">
      <c r="B140" s="1088">
        <v>5</v>
      </c>
      <c r="C140" s="1089">
        <v>100</v>
      </c>
      <c r="D140" s="1089"/>
      <c r="E140" s="1090"/>
      <c r="F140" s="1091">
        <v>102</v>
      </c>
      <c r="G140" s="1089"/>
      <c r="H140" s="1092"/>
      <c r="I140" s="2642" t="s">
        <v>2632</v>
      </c>
      <c r="J140" s="314">
        <f>ROUNDUP((J139-1)/2,0)</f>
        <v>10</v>
      </c>
      <c r="K140" s="1093">
        <v>100</v>
      </c>
    </row>
    <row r="141" spans="1:17" ht="15">
      <c r="B141" s="1088">
        <v>4</v>
      </c>
      <c r="C141" s="1089">
        <v>102</v>
      </c>
      <c r="D141" s="1089"/>
      <c r="E141" s="1090"/>
      <c r="F141" s="1091">
        <v>101.5</v>
      </c>
      <c r="G141" s="1089"/>
      <c r="H141" s="1092"/>
      <c r="I141" s="2642" t="s">
        <v>2633</v>
      </c>
      <c r="J141" s="314">
        <v>1</v>
      </c>
      <c r="K141" s="1094">
        <f>ROUND(100+(J141-J140)*K139*100,1)</f>
        <v>96.4</v>
      </c>
    </row>
    <row r="142" spans="1:17" ht="15">
      <c r="B142" s="1088">
        <v>3</v>
      </c>
      <c r="C142" s="1089">
        <v>103</v>
      </c>
      <c r="D142" s="1089"/>
      <c r="E142" s="1090"/>
      <c r="F142" s="1091">
        <v>101</v>
      </c>
      <c r="G142" s="1089"/>
      <c r="H142" s="1092"/>
      <c r="I142" s="2642" t="s">
        <v>2634</v>
      </c>
      <c r="J142" s="314">
        <f>J139</f>
        <v>20</v>
      </c>
      <c r="K142" s="1095">
        <v>95</v>
      </c>
    </row>
    <row r="143" spans="1:17" ht="15">
      <c r="B143" s="1088">
        <v>2</v>
      </c>
      <c r="C143" s="1089">
        <v>100</v>
      </c>
      <c r="D143" s="1089"/>
      <c r="E143" s="1090"/>
      <c r="F143" s="1091">
        <v>100.5</v>
      </c>
      <c r="G143" s="1089"/>
      <c r="H143" s="1092"/>
      <c r="I143" s="2642" t="s">
        <v>2635</v>
      </c>
      <c r="J143" s="1089">
        <v>15</v>
      </c>
      <c r="K143" s="1094">
        <f>ROUND(100+(J143-J140)*K139*100,1)</f>
        <v>102</v>
      </c>
    </row>
    <row r="144" spans="1:17" ht="15">
      <c r="B144" s="1088">
        <v>1</v>
      </c>
      <c r="C144" s="1089">
        <v>98</v>
      </c>
      <c r="D144" s="2643" t="s">
        <v>2636</v>
      </c>
      <c r="E144" s="1090">
        <v>102</v>
      </c>
      <c r="F144" s="1096">
        <v>100</v>
      </c>
      <c r="G144" s="2643" t="s">
        <v>2636</v>
      </c>
      <c r="H144" s="1092">
        <v>105</v>
      </c>
      <c r="I144" s="2642" t="s">
        <v>2635</v>
      </c>
      <c r="J144" s="1089">
        <v>18</v>
      </c>
      <c r="K144" s="1094">
        <f>ROUND(100+(J144-J140)*K139*100,1)</f>
        <v>103.2</v>
      </c>
    </row>
    <row r="145" spans="2:11" ht="15.75" thickBot="1">
      <c r="B145" s="2644" t="s">
        <v>2637</v>
      </c>
      <c r="C145" s="1097">
        <f>ROUND(MAX(C139:C144)/MIN(C139:C144)-1,3)</f>
        <v>7.2999999999999995E-2</v>
      </c>
      <c r="D145" s="1098"/>
      <c r="E145" s="1098"/>
      <c r="F145" s="2645" t="s">
        <v>2638</v>
      </c>
      <c r="G145" s="2646"/>
      <c r="H145" s="2647"/>
      <c r="I145" s="2648" t="s">
        <v>2635</v>
      </c>
      <c r="J145" s="1099">
        <v>8</v>
      </c>
      <c r="K145" s="1100">
        <f>ROUND(100+(J145-J140)*K139*100,1)</f>
        <v>99.2</v>
      </c>
    </row>
    <row r="147" spans="2:11">
      <c r="B147" s="2629" t="s">
        <v>2639</v>
      </c>
    </row>
    <row r="148" spans="2:11">
      <c r="B148" s="262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36">
      <c r="A4" s="1937" t="str">
        <f>"受贵公司委托，我公司对"&amp;项目基本情况!S1&amp;"进行了预评估。"</f>
        <v>受贵公司委托，我公司对北京市房地产抵押价值进行了预评估。</v>
      </c>
    </row>
    <row r="5" spans="1:1" ht="18.75">
      <c r="A5" s="1938" t="s">
        <v>1606</v>
      </c>
    </row>
    <row r="6" spans="1:1" ht="18.75">
      <c r="A6" s="1939" t="s">
        <v>1607</v>
      </c>
    </row>
    <row r="7" spans="1:1" ht="18">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940" t="s">
        <v>1608</v>
      </c>
    </row>
    <row r="9" spans="1:1" ht="18.75">
      <c r="A9" s="1939" t="s">
        <v>1609</v>
      </c>
    </row>
    <row r="10" spans="1:1" ht="18">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940" t="s">
        <v>1610</v>
      </c>
    </row>
    <row r="12" spans="1:1" ht="18.75">
      <c r="A12" s="1938" t="s">
        <v>1611</v>
      </c>
    </row>
    <row r="13" spans="1:1" ht="38.25" customHeight="1">
      <c r="A13" s="19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2020年6月23日</v>
      </c>
    </row>
    <row r="16" spans="1:1" ht="18.75">
      <c r="A16" s="1942" t="s">
        <v>1613</v>
      </c>
    </row>
    <row r="17" spans="1:1" ht="75">
      <c r="A17" s="1937" t="s">
        <v>1614</v>
      </c>
    </row>
    <row r="18" spans="1:1" ht="36">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本次评估采用的主估价方法为成本法和收益法。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74" t="s">
        <v>2641</v>
      </c>
      <c r="C1" s="1632" t="s">
        <v>2529</v>
      </c>
      <c r="D1" s="1619"/>
      <c r="E1" s="2649"/>
      <c r="F1" s="2576"/>
      <c r="G1" s="1629" t="s">
        <v>2642</v>
      </c>
      <c r="H1" s="1628"/>
      <c r="I1" s="1628"/>
      <c r="J1" s="1628"/>
      <c r="K1" s="1630"/>
      <c r="L1" s="1631"/>
      <c r="M1" s="1632"/>
      <c r="N1" s="1632"/>
      <c r="O1" s="1632"/>
      <c r="P1" s="2650"/>
      <c r="Q1" s="2651"/>
      <c r="R1" s="2651"/>
      <c r="S1" s="2651"/>
      <c r="T1" s="2651"/>
      <c r="U1" s="2651"/>
      <c r="V1" s="2651"/>
      <c r="W1" s="2651"/>
      <c r="X1" s="2651"/>
      <c r="Y1" s="2651"/>
      <c r="Z1" s="2651"/>
      <c r="AA1" s="2651"/>
      <c r="AB1" s="2651"/>
      <c r="AC1" s="2652"/>
    </row>
    <row r="2" spans="1:29" s="397" customFormat="1" ht="28.5" customHeight="1" thickTop="1">
      <c r="A2" s="1615" t="s">
        <v>2326</v>
      </c>
      <c r="B2" s="1416" t="e">
        <f ca="1">IF(C2="——",ROUND(C49*D3/10000,0),ROUND(C49*D3/10000,0)-D2)</f>
        <v>#DIV/0!</v>
      </c>
      <c r="C2" s="2578"/>
      <c r="D2" s="1363" t="e">
        <f ca="1">SUMIF(INDIRECT("'"&amp;F2&amp;"'"&amp;"!A:A"),"承租人权益价值",INDIRECT("'"&amp;F2&amp;"'"&amp;"!c:c"))</f>
        <v>#REF!</v>
      </c>
      <c r="E2" s="2579" t="s">
        <v>2327</v>
      </c>
      <c r="F2" s="2580"/>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7" customFormat="1" ht="28.5" customHeight="1" thickBot="1">
      <c r="A3" s="246" t="s">
        <v>2328</v>
      </c>
      <c r="B3" s="608" t="e">
        <f ca="1">IF(C2="——",C49,ROUND(B2*10000/D3,0))</f>
        <v>#DIV/0!</v>
      </c>
      <c r="C3" s="399" t="s">
        <v>2643</v>
      </c>
      <c r="D3" s="398">
        <f>IF(D1="",'数据-汇总表'!E3,SUMIF('数据-汇总表'!$C19:$C33,D1,'数据-汇总表'!$E19:$E33))</f>
        <v>66988.94</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19" t="s">
        <v>2647</v>
      </c>
      <c r="AC4" s="3200" t="s">
        <v>2648</v>
      </c>
    </row>
    <row r="5" spans="1:29" ht="15">
      <c r="A5" s="403"/>
      <c r="B5" s="404"/>
      <c r="C5" s="3222" t="s">
        <v>2541</v>
      </c>
      <c r="D5" s="3223"/>
      <c r="E5" s="3229" t="s">
        <v>2542</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19"/>
      <c r="AC5" s="3201"/>
    </row>
    <row r="6" spans="1:29" ht="15.75" thickBot="1">
      <c r="A6" s="405"/>
      <c r="B6" s="406"/>
      <c r="C6" s="3220" t="s">
        <v>2545</v>
      </c>
      <c r="D6" s="3221"/>
      <c r="E6" s="3227" t="s">
        <v>2545</v>
      </c>
      <c r="F6" s="3228"/>
      <c r="G6" s="3220" t="s">
        <v>2545</v>
      </c>
      <c r="H6" s="3221"/>
      <c r="I6" s="3220" t="s">
        <v>2545</v>
      </c>
      <c r="J6" s="3221"/>
      <c r="K6" s="609" t="s">
        <v>2546</v>
      </c>
      <c r="L6" s="1128"/>
      <c r="M6" s="1129"/>
      <c r="N6" s="1129"/>
      <c r="O6" s="1129"/>
      <c r="P6" s="3211"/>
      <c r="Q6" s="3212"/>
      <c r="R6" s="3215"/>
      <c r="S6" s="3216"/>
      <c r="T6" s="3217"/>
      <c r="U6" s="3218"/>
      <c r="V6" s="3219"/>
      <c r="W6" s="3219"/>
      <c r="X6" s="1803"/>
      <c r="Y6" s="3217"/>
      <c r="Z6" s="3218"/>
      <c r="AA6" s="3202"/>
      <c r="AB6" s="3219"/>
      <c r="AC6" s="3202"/>
    </row>
    <row r="7" spans="1:29" s="117" customFormat="1" ht="15.75" thickBot="1">
      <c r="A7" s="407" t="s">
        <v>2547</v>
      </c>
      <c r="B7" s="408"/>
      <c r="C7" s="409">
        <f>'数据-取费表'!B2</f>
        <v>44005</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4" t="s">
        <v>2548</v>
      </c>
      <c r="Q7" s="3226"/>
      <c r="R7" s="768" t="s">
        <v>17</v>
      </c>
      <c r="S7" s="769">
        <f t="shared" ref="S7:S15" si="0">F7</f>
        <v>0</v>
      </c>
      <c r="T7" s="768" t="s">
        <v>17</v>
      </c>
      <c r="U7" s="769">
        <f t="shared" ref="U7:U15" si="1">H7</f>
        <v>0</v>
      </c>
      <c r="V7" s="768" t="s">
        <v>17</v>
      </c>
      <c r="W7" s="769">
        <f t="shared" ref="W7:W15" si="2">J7</f>
        <v>0</v>
      </c>
      <c r="X7" s="770"/>
      <c r="Y7" s="3224" t="s">
        <v>2548</v>
      </c>
      <c r="Z7" s="3225"/>
      <c r="AA7" s="771" t="e">
        <f>D7/F7</f>
        <v>#DIV/0!</v>
      </c>
      <c r="AB7" s="771" t="e">
        <f>D7/H7</f>
        <v>#DIV/0!</v>
      </c>
      <c r="AC7" s="771"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4" t="s">
        <v>2551</v>
      </c>
      <c r="Q8" s="3225"/>
      <c r="R8" s="768" t="s">
        <v>17</v>
      </c>
      <c r="S8" s="769">
        <f t="shared" si="0"/>
        <v>0</v>
      </c>
      <c r="T8" s="768" t="s">
        <v>17</v>
      </c>
      <c r="U8" s="769">
        <f t="shared" si="1"/>
        <v>0</v>
      </c>
      <c r="V8" s="768" t="s">
        <v>17</v>
      </c>
      <c r="W8" s="769">
        <f t="shared" si="2"/>
        <v>0</v>
      </c>
      <c r="X8" s="770"/>
      <c r="Y8" s="3224" t="s">
        <v>2551</v>
      </c>
      <c r="Z8" s="3225"/>
      <c r="AA8" s="771" t="e">
        <f t="shared" ref="AA8:AA46" si="3">D8/F8</f>
        <v>#DIV/0!</v>
      </c>
      <c r="AB8" s="771" t="e">
        <f t="shared" ref="AB8:AB46" si="4">D8/H8</f>
        <v>#DIV/0!</v>
      </c>
      <c r="AC8" s="771"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99"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771">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99"/>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99"/>
      <c r="Q11" s="1785"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29" s="117"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9"/>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9"/>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9"/>
      <c r="Q14" s="1785">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771">
        <f t="shared" si="5"/>
        <v>1</v>
      </c>
    </row>
    <row r="15" spans="1:29" ht="71.25">
      <c r="A15" s="439" t="s">
        <v>2558</v>
      </c>
      <c r="B15" s="69" t="s">
        <v>2652</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197" t="s">
        <v>2559</v>
      </c>
      <c r="Q15" s="1800" t="str">
        <f t="shared" si="6"/>
        <v>商业繁华度</v>
      </c>
      <c r="R15" s="772" t="s">
        <v>17</v>
      </c>
      <c r="S15" s="773">
        <f t="shared" si="0"/>
        <v>100</v>
      </c>
      <c r="T15" s="772" t="s">
        <v>17</v>
      </c>
      <c r="U15" s="773">
        <f t="shared" si="1"/>
        <v>100</v>
      </c>
      <c r="V15" s="772" t="s">
        <v>17</v>
      </c>
      <c r="W15" s="773">
        <f t="shared" si="2"/>
        <v>100</v>
      </c>
      <c r="X15" s="1803"/>
      <c r="Y15" s="3190" t="s">
        <v>2559</v>
      </c>
      <c r="Z15" s="1804" t="str">
        <f t="shared" si="7"/>
        <v>商业繁华度</v>
      </c>
      <c r="AA15" s="1801">
        <f t="shared" si="3"/>
        <v>1</v>
      </c>
      <c r="AB15" s="1801">
        <f t="shared" si="4"/>
        <v>1</v>
      </c>
      <c r="AC15" s="1801">
        <f t="shared" si="5"/>
        <v>1</v>
      </c>
    </row>
    <row r="16" spans="1:29" ht="15">
      <c r="A16" s="427"/>
      <c r="B16" s="445"/>
      <c r="C16" s="446"/>
      <c r="D16" s="447"/>
      <c r="E16" s="446"/>
      <c r="F16" s="448"/>
      <c r="G16" s="446"/>
      <c r="H16" s="449"/>
      <c r="I16" s="446"/>
      <c r="J16" s="447"/>
      <c r="K16" s="614"/>
      <c r="L16" s="1138"/>
      <c r="M16" s="1129"/>
      <c r="N16" s="1129"/>
      <c r="O16" s="1129"/>
      <c r="P16" s="3198"/>
      <c r="Q16" s="1800"/>
      <c r="R16" s="772"/>
      <c r="S16" s="773"/>
      <c r="T16" s="772"/>
      <c r="U16" s="773"/>
      <c r="V16" s="772"/>
      <c r="W16" s="773"/>
      <c r="X16" s="1803"/>
      <c r="Y16" s="3191"/>
      <c r="Z16" s="1804"/>
      <c r="AA16" s="1801">
        <v>1</v>
      </c>
      <c r="AB16" s="1801">
        <v>1</v>
      </c>
      <c r="AC16" s="1801">
        <v>1</v>
      </c>
    </row>
    <row r="17" spans="1:29" ht="85.5">
      <c r="A17" s="427"/>
      <c r="B17" s="450" t="s">
        <v>2095</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198"/>
      <c r="Q17" s="1800" t="str">
        <f>B17</f>
        <v>交通便捷度</v>
      </c>
      <c r="R17" s="772" t="s">
        <v>17</v>
      </c>
      <c r="S17" s="773">
        <f>F17</f>
        <v>100</v>
      </c>
      <c r="T17" s="772" t="s">
        <v>17</v>
      </c>
      <c r="U17" s="773">
        <f>H17</f>
        <v>100</v>
      </c>
      <c r="V17" s="772" t="s">
        <v>17</v>
      </c>
      <c r="W17" s="773">
        <f>J17</f>
        <v>100</v>
      </c>
      <c r="X17" s="1803"/>
      <c r="Y17" s="3191"/>
      <c r="Z17" s="1804" t="str">
        <f>Q17</f>
        <v>交通便捷度</v>
      </c>
      <c r="AA17" s="1801">
        <f t="shared" si="3"/>
        <v>1</v>
      </c>
      <c r="AB17" s="1801">
        <f t="shared" si="4"/>
        <v>1</v>
      </c>
      <c r="AC17" s="1801">
        <f t="shared" si="5"/>
        <v>1</v>
      </c>
    </row>
    <row r="18" spans="1:29" ht="15">
      <c r="A18" s="427"/>
      <c r="B18" s="455"/>
      <c r="C18" s="2600"/>
      <c r="D18" s="449"/>
      <c r="E18" s="2602"/>
      <c r="F18" s="452"/>
      <c r="G18" s="2601"/>
      <c r="H18" s="447"/>
      <c r="I18" s="2602"/>
      <c r="J18" s="447"/>
      <c r="K18" s="614"/>
      <c r="L18" s="1138"/>
      <c r="M18" s="1129"/>
      <c r="N18" s="1129"/>
      <c r="O18" s="1129"/>
      <c r="P18" s="3198"/>
      <c r="Q18" s="1800"/>
      <c r="R18" s="772"/>
      <c r="S18" s="773"/>
      <c r="T18" s="772"/>
      <c r="U18" s="773"/>
      <c r="V18" s="772"/>
      <c r="W18" s="773"/>
      <c r="X18" s="1803"/>
      <c r="Y18" s="3191"/>
      <c r="Z18" s="1804"/>
      <c r="AA18" s="1801">
        <v>1</v>
      </c>
      <c r="AB18" s="1801">
        <v>1</v>
      </c>
      <c r="AC18" s="1801">
        <v>1</v>
      </c>
    </row>
    <row r="19" spans="1:29" ht="42.75">
      <c r="A19" s="427"/>
      <c r="B19" s="450" t="s">
        <v>2653</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198"/>
      <c r="Q19" s="1800" t="str">
        <f>B19</f>
        <v>公共配套设施</v>
      </c>
      <c r="R19" s="772" t="s">
        <v>17</v>
      </c>
      <c r="S19" s="773">
        <f>F19</f>
        <v>100</v>
      </c>
      <c r="T19" s="772" t="s">
        <v>17</v>
      </c>
      <c r="U19" s="773">
        <f>H19</f>
        <v>100</v>
      </c>
      <c r="V19" s="772" t="s">
        <v>17</v>
      </c>
      <c r="W19" s="773">
        <f>J19</f>
        <v>100</v>
      </c>
      <c r="X19" s="1803"/>
      <c r="Y19" s="3191"/>
      <c r="Z19" s="1804" t="str">
        <f>Q19</f>
        <v>公共配套设施</v>
      </c>
      <c r="AA19" s="1801">
        <f t="shared" si="3"/>
        <v>1</v>
      </c>
      <c r="AB19" s="1801">
        <f t="shared" si="4"/>
        <v>1</v>
      </c>
      <c r="AC19" s="1801">
        <f t="shared" si="5"/>
        <v>1</v>
      </c>
    </row>
    <row r="20" spans="1:29" ht="15">
      <c r="A20" s="427"/>
      <c r="B20" s="455"/>
      <c r="C20" s="446"/>
      <c r="D20" s="447"/>
      <c r="E20" s="2597"/>
      <c r="F20" s="448"/>
      <c r="G20" s="2596"/>
      <c r="H20" s="447"/>
      <c r="I20" s="2597"/>
      <c r="J20" s="447"/>
      <c r="K20" s="614"/>
      <c r="L20" s="1138"/>
      <c r="M20" s="1129"/>
      <c r="N20" s="1129"/>
      <c r="O20" s="1129"/>
      <c r="P20" s="3198"/>
      <c r="Q20" s="1800"/>
      <c r="R20" s="772"/>
      <c r="S20" s="773"/>
      <c r="T20" s="772"/>
      <c r="U20" s="773"/>
      <c r="V20" s="772"/>
      <c r="W20" s="773"/>
      <c r="X20" s="1803"/>
      <c r="Y20" s="3191"/>
      <c r="Z20" s="1804"/>
      <c r="AA20" s="1801">
        <v>1</v>
      </c>
      <c r="AB20" s="1801">
        <v>1</v>
      </c>
      <c r="AC20" s="1801">
        <v>1</v>
      </c>
    </row>
    <row r="21" spans="1:29" ht="28.5">
      <c r="A21" s="427"/>
      <c r="B21" s="1382" t="s">
        <v>2654</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198"/>
      <c r="Q21" s="1800" t="str">
        <f>B21</f>
        <v>基础设施水平</v>
      </c>
      <c r="R21" s="772" t="s">
        <v>17</v>
      </c>
      <c r="S21" s="773">
        <f>F21</f>
        <v>100</v>
      </c>
      <c r="T21" s="772" t="s">
        <v>17</v>
      </c>
      <c r="U21" s="773">
        <f>H21</f>
        <v>100</v>
      </c>
      <c r="V21" s="772" t="s">
        <v>17</v>
      </c>
      <c r="W21" s="773">
        <f>J21</f>
        <v>100</v>
      </c>
      <c r="X21" s="1803"/>
      <c r="Y21" s="3191"/>
      <c r="Z21" s="1804" t="str">
        <f>Q21</f>
        <v>基础设施水平</v>
      </c>
      <c r="AA21" s="1801">
        <f t="shared" ref="AA21" si="8">D21/F21</f>
        <v>1</v>
      </c>
      <c r="AB21" s="1801">
        <f t="shared" ref="AB21" si="9">D21/H21</f>
        <v>1</v>
      </c>
      <c r="AC21" s="1801">
        <f t="shared" ref="AC21" si="10">D21/J21</f>
        <v>1</v>
      </c>
    </row>
    <row r="22" spans="1:29" ht="15">
      <c r="A22" s="427"/>
      <c r="B22" s="1382"/>
      <c r="C22" s="2600"/>
      <c r="D22" s="447"/>
      <c r="E22" s="446"/>
      <c r="F22" s="448"/>
      <c r="G22" s="446"/>
      <c r="H22" s="447"/>
      <c r="I22" s="446"/>
      <c r="J22" s="447"/>
      <c r="K22" s="1381"/>
      <c r="L22" s="1138"/>
      <c r="M22" s="1129"/>
      <c r="N22" s="1129"/>
      <c r="O22" s="1129"/>
      <c r="P22" s="3198"/>
      <c r="Q22" s="1800"/>
      <c r="R22" s="772"/>
      <c r="S22" s="773"/>
      <c r="T22" s="772"/>
      <c r="U22" s="773"/>
      <c r="V22" s="772"/>
      <c r="W22" s="773"/>
      <c r="X22" s="1803"/>
      <c r="Y22" s="3191"/>
      <c r="Z22" s="1804"/>
      <c r="AA22" s="1801">
        <v>1</v>
      </c>
      <c r="AB22" s="1801">
        <v>1</v>
      </c>
      <c r="AC22" s="1801">
        <v>1</v>
      </c>
    </row>
    <row r="23" spans="1:29" ht="57">
      <c r="A23" s="427"/>
      <c r="B23" s="450" t="s">
        <v>2100</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198"/>
      <c r="Q23" s="1800" t="str">
        <f>B23</f>
        <v>自然及人文环境</v>
      </c>
      <c r="R23" s="772" t="s">
        <v>17</v>
      </c>
      <c r="S23" s="773">
        <f>F23</f>
        <v>100</v>
      </c>
      <c r="T23" s="772" t="s">
        <v>17</v>
      </c>
      <c r="U23" s="773">
        <f>H23</f>
        <v>100</v>
      </c>
      <c r="V23" s="772" t="s">
        <v>17</v>
      </c>
      <c r="W23" s="773">
        <f>J23</f>
        <v>100</v>
      </c>
      <c r="X23" s="1803"/>
      <c r="Y23" s="3191"/>
      <c r="Z23" s="1804" t="str">
        <f>Q23</f>
        <v>自然及人文环境</v>
      </c>
      <c r="AA23" s="1801">
        <f t="shared" si="3"/>
        <v>1</v>
      </c>
      <c r="AB23" s="1801">
        <f t="shared" si="4"/>
        <v>1</v>
      </c>
      <c r="AC23" s="1801">
        <f t="shared" si="5"/>
        <v>1</v>
      </c>
    </row>
    <row r="24" spans="1:29" ht="15">
      <c r="A24" s="427"/>
      <c r="B24" s="455"/>
      <c r="C24" s="446"/>
      <c r="D24" s="447"/>
      <c r="E24" s="2597"/>
      <c r="F24" s="448"/>
      <c r="G24" s="2596"/>
      <c r="H24" s="447"/>
      <c r="I24" s="2597"/>
      <c r="J24" s="447"/>
      <c r="K24" s="614"/>
      <c r="L24" s="1138"/>
      <c r="M24" s="1129"/>
      <c r="N24" s="1129"/>
      <c r="O24" s="1129"/>
      <c r="P24" s="3198"/>
      <c r="Q24" s="1800"/>
      <c r="R24" s="772"/>
      <c r="S24" s="773"/>
      <c r="T24" s="772"/>
      <c r="U24" s="773"/>
      <c r="V24" s="772"/>
      <c r="W24" s="773"/>
      <c r="X24" s="1803"/>
      <c r="Y24" s="3191"/>
      <c r="Z24" s="1804"/>
      <c r="AA24" s="1801">
        <v>1</v>
      </c>
      <c r="AB24" s="1801">
        <v>1</v>
      </c>
      <c r="AC24" s="1801">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198"/>
      <c r="Q25" s="1800" t="str">
        <f t="shared" ref="Q25:Q46" si="11">B25</f>
        <v>临街状况</v>
      </c>
      <c r="R25" s="772" t="s">
        <v>17</v>
      </c>
      <c r="S25" s="773">
        <f>F25</f>
        <v>100</v>
      </c>
      <c r="T25" s="772" t="s">
        <v>17</v>
      </c>
      <c r="U25" s="773">
        <f>H25</f>
        <v>100</v>
      </c>
      <c r="V25" s="772" t="s">
        <v>17</v>
      </c>
      <c r="W25" s="773">
        <f>J25</f>
        <v>100</v>
      </c>
      <c r="X25" s="1803"/>
      <c r="Y25" s="3191"/>
      <c r="Z25" s="1804" t="str">
        <f>Q25</f>
        <v>临街状况</v>
      </c>
      <c r="AA25" s="1801">
        <f t="shared" si="3"/>
        <v>1</v>
      </c>
      <c r="AB25" s="1801">
        <f t="shared" si="4"/>
        <v>1</v>
      </c>
      <c r="AC25" s="1801">
        <f t="shared" si="5"/>
        <v>1</v>
      </c>
    </row>
    <row r="26" spans="1:29" ht="15">
      <c r="A26" s="427"/>
      <c r="B26" s="1384" t="s">
        <v>2656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198"/>
      <c r="Q26" s="1800" t="str">
        <f t="shared" si="11"/>
        <v>平面位置/可视性</v>
      </c>
      <c r="R26" s="772" t="s">
        <v>17</v>
      </c>
      <c r="S26" s="773">
        <f>F26</f>
        <v>100</v>
      </c>
      <c r="T26" s="772" t="s">
        <v>17</v>
      </c>
      <c r="U26" s="773">
        <f>H26</f>
        <v>100</v>
      </c>
      <c r="V26" s="772" t="s">
        <v>17</v>
      </c>
      <c r="W26" s="773">
        <f>J26</f>
        <v>100</v>
      </c>
      <c r="X26" s="1803"/>
      <c r="Y26" s="3191"/>
      <c r="Z26" s="1804" t="str">
        <f>Q26</f>
        <v>平面位置/可视性</v>
      </c>
      <c r="AA26" s="1801">
        <f t="shared" si="3"/>
        <v>1</v>
      </c>
      <c r="AB26" s="1801">
        <f t="shared" si="4"/>
        <v>1</v>
      </c>
      <c r="AC26" s="1801">
        <f t="shared" si="5"/>
        <v>1</v>
      </c>
    </row>
    <row r="27" spans="1:29" s="117" customFormat="1" ht="15">
      <c r="A27" s="430"/>
      <c r="B27" s="450" t="s">
        <v>2657</v>
      </c>
      <c r="C27" s="2657"/>
      <c r="D27" s="461">
        <v>100</v>
      </c>
      <c r="E27" s="2657"/>
      <c r="F27" s="463">
        <f>SUMIF(90:90,E27,91:91)-SUMIF(90:90,C27,91:91)+100</f>
        <v>100</v>
      </c>
      <c r="G27" s="2657"/>
      <c r="H27" s="461">
        <f>SUMIF(90:90,G27,91:91)-SUMIF(90:90,C27,91:91)+100</f>
        <v>100</v>
      </c>
      <c r="I27" s="2657"/>
      <c r="J27" s="461">
        <f>SUMIF(90:90,I27,91:91)-SUMIF(90:90,C27,91:91)+100</f>
        <v>100</v>
      </c>
      <c r="K27" s="611"/>
      <c r="L27" s="1130"/>
      <c r="M27" s="1131"/>
      <c r="N27" s="1131"/>
      <c r="O27" s="1131"/>
      <c r="P27" s="3198"/>
      <c r="Q27" s="1785" t="str">
        <f t="shared" si="11"/>
        <v>人流量</v>
      </c>
      <c r="R27" s="768" t="s">
        <v>17</v>
      </c>
      <c r="S27" s="769">
        <f>F27</f>
        <v>100</v>
      </c>
      <c r="T27" s="768" t="s">
        <v>17</v>
      </c>
      <c r="U27" s="769">
        <f>H27</f>
        <v>100</v>
      </c>
      <c r="V27" s="768" t="s">
        <v>17</v>
      </c>
      <c r="W27" s="769">
        <f>J27</f>
        <v>100</v>
      </c>
      <c r="X27" s="770"/>
      <c r="Y27" s="3191"/>
      <c r="Z27" s="55" t="str">
        <f>Q27</f>
        <v>人流量</v>
      </c>
      <c r="AA27" s="1801">
        <f>D27/F27</f>
        <v>1</v>
      </c>
      <c r="AB27" s="1801">
        <f>D27/H27</f>
        <v>1</v>
      </c>
      <c r="AC27" s="1801">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198"/>
      <c r="Q28" s="1800" t="str">
        <f t="shared" si="11"/>
        <v>楼层</v>
      </c>
      <c r="R28" s="772" t="s">
        <v>17</v>
      </c>
      <c r="S28" s="773">
        <f t="shared" ref="S28:S46" si="12">F28</f>
        <v>100</v>
      </c>
      <c r="T28" s="772" t="s">
        <v>17</v>
      </c>
      <c r="U28" s="773">
        <f t="shared" ref="U28:U46" si="13">H28</f>
        <v>100</v>
      </c>
      <c r="V28" s="772" t="s">
        <v>17</v>
      </c>
      <c r="W28" s="773">
        <f t="shared" ref="W28:W46" si="14">J28</f>
        <v>100</v>
      </c>
      <c r="X28" s="1803"/>
      <c r="Y28" s="3191"/>
      <c r="Z28" s="1804" t="str">
        <f t="shared" ref="Z28:Z46" si="15">Q28</f>
        <v>楼层</v>
      </c>
      <c r="AA28" s="1801">
        <f t="shared" si="3"/>
        <v>1</v>
      </c>
      <c r="AB28" s="1801">
        <f t="shared" si="4"/>
        <v>1</v>
      </c>
      <c r="AC28" s="1801">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198"/>
      <c r="Q29" s="1800">
        <f t="shared" si="11"/>
        <v>111</v>
      </c>
      <c r="R29" s="772" t="s">
        <v>17</v>
      </c>
      <c r="S29" s="773">
        <f t="shared" si="12"/>
        <v>100</v>
      </c>
      <c r="T29" s="772" t="s">
        <v>17</v>
      </c>
      <c r="U29" s="773">
        <f t="shared" si="13"/>
        <v>100</v>
      </c>
      <c r="V29" s="772" t="s">
        <v>17</v>
      </c>
      <c r="W29" s="773">
        <f t="shared" si="14"/>
        <v>100</v>
      </c>
      <c r="X29" s="1803"/>
      <c r="Y29" s="3191"/>
      <c r="Z29" s="1804">
        <f t="shared" si="15"/>
        <v>111</v>
      </c>
      <c r="AA29" s="1801">
        <f t="shared" si="3"/>
        <v>1</v>
      </c>
      <c r="AB29" s="1801">
        <f t="shared" si="4"/>
        <v>1</v>
      </c>
      <c r="AC29" s="1801">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198"/>
      <c r="Q30" s="1800">
        <f t="shared" si="11"/>
        <v>111</v>
      </c>
      <c r="R30" s="772" t="s">
        <v>17</v>
      </c>
      <c r="S30" s="773">
        <f t="shared" si="12"/>
        <v>100</v>
      </c>
      <c r="T30" s="772" t="s">
        <v>17</v>
      </c>
      <c r="U30" s="773">
        <f t="shared" si="13"/>
        <v>100</v>
      </c>
      <c r="V30" s="772" t="s">
        <v>17</v>
      </c>
      <c r="W30" s="773">
        <f t="shared" si="14"/>
        <v>100</v>
      </c>
      <c r="X30" s="1803"/>
      <c r="Y30" s="3191"/>
      <c r="Z30" s="1804">
        <f t="shared" si="15"/>
        <v>111</v>
      </c>
      <c r="AA30" s="1801">
        <f t="shared" si="3"/>
        <v>1</v>
      </c>
      <c r="AB30" s="1801">
        <f t="shared" si="4"/>
        <v>1</v>
      </c>
      <c r="AC30" s="1801">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198"/>
      <c r="Q31" s="1800">
        <f t="shared" si="11"/>
        <v>111</v>
      </c>
      <c r="R31" s="772" t="s">
        <v>17</v>
      </c>
      <c r="S31" s="773">
        <f t="shared" si="12"/>
        <v>100</v>
      </c>
      <c r="T31" s="772" t="s">
        <v>17</v>
      </c>
      <c r="U31" s="773">
        <f t="shared" si="13"/>
        <v>100</v>
      </c>
      <c r="V31" s="772" t="s">
        <v>17</v>
      </c>
      <c r="W31" s="773">
        <f t="shared" si="14"/>
        <v>100</v>
      </c>
      <c r="X31" s="1803"/>
      <c r="Y31" s="3191"/>
      <c r="Z31" s="1804">
        <f t="shared" si="15"/>
        <v>111</v>
      </c>
      <c r="AA31" s="1801">
        <f t="shared" si="3"/>
        <v>1</v>
      </c>
      <c r="AB31" s="1801">
        <f t="shared" si="4"/>
        <v>1</v>
      </c>
      <c r="AC31" s="1801">
        <f t="shared" si="5"/>
        <v>1</v>
      </c>
    </row>
    <row r="32" spans="1:29" ht="15">
      <c r="A32" s="439" t="s">
        <v>2562</v>
      </c>
      <c r="B32" s="71" t="s">
        <v>2659</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192" t="s">
        <v>2564</v>
      </c>
      <c r="Q32" s="1800" t="str">
        <f t="shared" si="11"/>
        <v>商业类型</v>
      </c>
      <c r="R32" s="772" t="s">
        <v>17</v>
      </c>
      <c r="S32" s="773">
        <f t="shared" si="12"/>
        <v>100</v>
      </c>
      <c r="T32" s="772" t="s">
        <v>17</v>
      </c>
      <c r="U32" s="773">
        <f t="shared" si="13"/>
        <v>100</v>
      </c>
      <c r="V32" s="772" t="s">
        <v>17</v>
      </c>
      <c r="W32" s="773">
        <f t="shared" si="14"/>
        <v>100</v>
      </c>
      <c r="X32" s="1803"/>
      <c r="Y32" s="3195" t="s">
        <v>2564</v>
      </c>
      <c r="Z32" s="1804" t="str">
        <f t="shared" si="15"/>
        <v>商业类型</v>
      </c>
      <c r="AA32" s="1801">
        <f t="shared" si="3"/>
        <v>1</v>
      </c>
      <c r="AB32" s="1801">
        <f t="shared" si="4"/>
        <v>1</v>
      </c>
      <c r="AC32" s="1801">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193"/>
      <c r="Q33" s="774" t="str">
        <f t="shared" si="11"/>
        <v>项目建筑规模</v>
      </c>
      <c r="R33" s="775" t="s">
        <v>17</v>
      </c>
      <c r="S33" s="776" t="e">
        <f t="shared" si="12"/>
        <v>#N/A</v>
      </c>
      <c r="T33" s="775" t="s">
        <v>17</v>
      </c>
      <c r="U33" s="776" t="e">
        <f t="shared" si="13"/>
        <v>#N/A</v>
      </c>
      <c r="V33" s="775" t="s">
        <v>17</v>
      </c>
      <c r="W33" s="776" t="e">
        <f t="shared" si="14"/>
        <v>#N/A</v>
      </c>
      <c r="X33" s="777"/>
      <c r="Y33" s="3195"/>
      <c r="Z33" s="778" t="str">
        <f t="shared" si="15"/>
        <v>项目建筑规模</v>
      </c>
      <c r="AA33" s="1801" t="e">
        <f t="shared" si="3"/>
        <v>#N/A</v>
      </c>
      <c r="AB33" s="1801" t="e">
        <f t="shared" si="4"/>
        <v>#N/A</v>
      </c>
      <c r="AC33" s="1801" t="e">
        <f t="shared" si="5"/>
        <v>#N/A</v>
      </c>
    </row>
    <row r="34" spans="1:29" ht="15">
      <c r="A34" s="471"/>
      <c r="B34" s="421" t="s">
        <v>2566</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193"/>
      <c r="Q34" s="1800" t="str">
        <f t="shared" si="11"/>
        <v>建筑结构</v>
      </c>
      <c r="R34" s="772" t="s">
        <v>17</v>
      </c>
      <c r="S34" s="773">
        <f t="shared" si="12"/>
        <v>100</v>
      </c>
      <c r="T34" s="772" t="s">
        <v>17</v>
      </c>
      <c r="U34" s="773">
        <f t="shared" si="13"/>
        <v>100</v>
      </c>
      <c r="V34" s="772" t="s">
        <v>17</v>
      </c>
      <c r="W34" s="773">
        <f t="shared" si="14"/>
        <v>100</v>
      </c>
      <c r="X34" s="1803"/>
      <c r="Y34" s="3195"/>
      <c r="Z34" s="1804" t="str">
        <f t="shared" si="15"/>
        <v>建筑结构</v>
      </c>
      <c r="AA34" s="1801">
        <f t="shared" si="3"/>
        <v>1</v>
      </c>
      <c r="AB34" s="1801">
        <f t="shared" si="4"/>
        <v>1</v>
      </c>
      <c r="AC34" s="1801">
        <f t="shared" si="5"/>
        <v>1</v>
      </c>
    </row>
    <row r="35" spans="1:29" ht="15">
      <c r="A35" s="471"/>
      <c r="B35" s="421" t="s">
        <v>2660</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193"/>
      <c r="Q35" s="1800" t="str">
        <f t="shared" si="11"/>
        <v>公共部分装修</v>
      </c>
      <c r="R35" s="772" t="s">
        <v>17</v>
      </c>
      <c r="S35" s="773">
        <f t="shared" si="12"/>
        <v>100</v>
      </c>
      <c r="T35" s="772" t="s">
        <v>17</v>
      </c>
      <c r="U35" s="773">
        <f t="shared" si="13"/>
        <v>100</v>
      </c>
      <c r="V35" s="772" t="s">
        <v>17</v>
      </c>
      <c r="W35" s="773">
        <f t="shared" si="14"/>
        <v>100</v>
      </c>
      <c r="X35" s="1803"/>
      <c r="Y35" s="3195"/>
      <c r="Z35" s="1804" t="str">
        <f t="shared" si="15"/>
        <v>公共部分装修</v>
      </c>
      <c r="AA35" s="1801">
        <f t="shared" si="3"/>
        <v>1</v>
      </c>
      <c r="AB35" s="1801">
        <f t="shared" si="4"/>
        <v>1</v>
      </c>
      <c r="AC35" s="1801">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193"/>
      <c r="Q36" s="1800" t="str">
        <f t="shared" si="11"/>
        <v>成新度</v>
      </c>
      <c r="R36" s="772" t="s">
        <v>17</v>
      </c>
      <c r="S36" s="773" t="e">
        <f t="shared" si="12"/>
        <v>#N/A</v>
      </c>
      <c r="T36" s="772" t="s">
        <v>17</v>
      </c>
      <c r="U36" s="773" t="e">
        <f t="shared" si="13"/>
        <v>#N/A</v>
      </c>
      <c r="V36" s="772" t="s">
        <v>17</v>
      </c>
      <c r="W36" s="773" t="e">
        <f t="shared" si="14"/>
        <v>#N/A</v>
      </c>
      <c r="X36" s="1803"/>
      <c r="Y36" s="3195"/>
      <c r="Z36" s="1804" t="str">
        <f t="shared" si="15"/>
        <v>成新度</v>
      </c>
      <c r="AA36" s="1801" t="e">
        <f t="shared" si="3"/>
        <v>#N/A</v>
      </c>
      <c r="AB36" s="1801" t="e">
        <f t="shared" si="4"/>
        <v>#N/A</v>
      </c>
      <c r="AC36" s="1801" t="e">
        <f t="shared" si="5"/>
        <v>#N/A</v>
      </c>
    </row>
    <row r="37" spans="1:29" s="117" customFormat="1" ht="15">
      <c r="A37" s="472"/>
      <c r="B37" s="421" t="s">
        <v>2662</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193"/>
      <c r="Q37" s="1785" t="str">
        <f t="shared" si="11"/>
        <v>市政基础设施</v>
      </c>
      <c r="R37" s="768" t="s">
        <v>17</v>
      </c>
      <c r="S37" s="769">
        <f t="shared" si="12"/>
        <v>100</v>
      </c>
      <c r="T37" s="768" t="s">
        <v>17</v>
      </c>
      <c r="U37" s="769">
        <f t="shared" si="13"/>
        <v>100</v>
      </c>
      <c r="V37" s="768" t="s">
        <v>17</v>
      </c>
      <c r="W37" s="769">
        <f t="shared" si="14"/>
        <v>100</v>
      </c>
      <c r="X37" s="770"/>
      <c r="Y37" s="3195"/>
      <c r="Z37" s="55" t="str">
        <f t="shared" si="15"/>
        <v>市政基础设施</v>
      </c>
      <c r="AA37" s="771">
        <f t="shared" si="3"/>
        <v>1</v>
      </c>
      <c r="AB37" s="771">
        <f t="shared" si="4"/>
        <v>1</v>
      </c>
      <c r="AC37" s="771">
        <f t="shared" si="5"/>
        <v>1</v>
      </c>
    </row>
    <row r="38" spans="1:29" ht="15">
      <c r="A38" s="471"/>
      <c r="B38" s="421" t="s">
        <v>2663</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193" t="s">
        <v>2564</v>
      </c>
      <c r="Q38" s="1800" t="str">
        <f t="shared" si="11"/>
        <v>业态</v>
      </c>
      <c r="R38" s="772" t="s">
        <v>17</v>
      </c>
      <c r="S38" s="773">
        <f t="shared" si="12"/>
        <v>100</v>
      </c>
      <c r="T38" s="772" t="s">
        <v>17</v>
      </c>
      <c r="U38" s="773">
        <f t="shared" si="13"/>
        <v>100</v>
      </c>
      <c r="V38" s="772" t="s">
        <v>17</v>
      </c>
      <c r="W38" s="773">
        <f t="shared" si="14"/>
        <v>100</v>
      </c>
      <c r="X38" s="1803"/>
      <c r="Y38" s="3195" t="s">
        <v>2564</v>
      </c>
      <c r="Z38" s="1804" t="str">
        <f t="shared" si="15"/>
        <v>业态</v>
      </c>
      <c r="AA38" s="1801">
        <f t="shared" si="3"/>
        <v>1</v>
      </c>
      <c r="AB38" s="1801">
        <f t="shared" si="4"/>
        <v>1</v>
      </c>
      <c r="AC38" s="1801">
        <f t="shared" si="5"/>
        <v>1</v>
      </c>
    </row>
    <row r="39" spans="1:29" ht="15">
      <c r="A39" s="471"/>
      <c r="B39" s="421" t="s">
        <v>2664</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193"/>
      <c r="Q39" s="1800" t="str">
        <f t="shared" si="11"/>
        <v>层高</v>
      </c>
      <c r="R39" s="772" t="s">
        <v>17</v>
      </c>
      <c r="S39" s="773">
        <f t="shared" si="12"/>
        <v>100</v>
      </c>
      <c r="T39" s="772" t="s">
        <v>17</v>
      </c>
      <c r="U39" s="773">
        <f t="shared" si="13"/>
        <v>100</v>
      </c>
      <c r="V39" s="772" t="s">
        <v>17</v>
      </c>
      <c r="W39" s="773">
        <f t="shared" si="14"/>
        <v>100</v>
      </c>
      <c r="X39" s="1803"/>
      <c r="Y39" s="3195"/>
      <c r="Z39" s="1804" t="str">
        <f t="shared" si="15"/>
        <v>层高</v>
      </c>
      <c r="AA39" s="1801">
        <f t="shared" si="3"/>
        <v>1</v>
      </c>
      <c r="AB39" s="1801">
        <f t="shared" si="4"/>
        <v>1</v>
      </c>
      <c r="AC39" s="1801">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193"/>
      <c r="Q40" s="1800" t="str">
        <f t="shared" si="11"/>
        <v>单套建筑面积</v>
      </c>
      <c r="R40" s="772" t="s">
        <v>17</v>
      </c>
      <c r="S40" s="773">
        <f t="shared" si="12"/>
        <v>100</v>
      </c>
      <c r="T40" s="772" t="s">
        <v>17</v>
      </c>
      <c r="U40" s="773">
        <f t="shared" si="13"/>
        <v>100</v>
      </c>
      <c r="V40" s="772" t="s">
        <v>17</v>
      </c>
      <c r="W40" s="773">
        <f t="shared" si="14"/>
        <v>100</v>
      </c>
      <c r="X40" s="1803"/>
      <c r="Y40" s="3195"/>
      <c r="Z40" s="1804" t="str">
        <f t="shared" si="15"/>
        <v>单套建筑面积</v>
      </c>
      <c r="AA40" s="1801">
        <f t="shared" si="3"/>
        <v>1</v>
      </c>
      <c r="AB40" s="1801">
        <f t="shared" si="4"/>
        <v>1</v>
      </c>
      <c r="AC40" s="1801">
        <f t="shared" si="5"/>
        <v>1</v>
      </c>
    </row>
    <row r="41" spans="1:29" s="470" customFormat="1" ht="15">
      <c r="A41" s="467"/>
      <c r="B41" s="1802"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193"/>
      <c r="Q41" s="774" t="str">
        <f t="shared" si="11"/>
        <v>进深比</v>
      </c>
      <c r="R41" s="775" t="s">
        <v>17</v>
      </c>
      <c r="S41" s="776">
        <f t="shared" si="12"/>
        <v>100</v>
      </c>
      <c r="T41" s="775" t="s">
        <v>17</v>
      </c>
      <c r="U41" s="776">
        <f t="shared" si="13"/>
        <v>100</v>
      </c>
      <c r="V41" s="775" t="s">
        <v>17</v>
      </c>
      <c r="W41" s="776">
        <f t="shared" si="14"/>
        <v>100</v>
      </c>
      <c r="X41" s="777"/>
      <c r="Y41" s="3195"/>
      <c r="Z41" s="778" t="str">
        <f t="shared" si="15"/>
        <v>进深比</v>
      </c>
      <c r="AA41" s="1801">
        <f t="shared" si="3"/>
        <v>1</v>
      </c>
      <c r="AB41" s="1801">
        <f t="shared" si="4"/>
        <v>1</v>
      </c>
      <c r="AC41" s="1801">
        <f t="shared" si="5"/>
        <v>1</v>
      </c>
    </row>
    <row r="42" spans="1:29" ht="15">
      <c r="A42" s="471"/>
      <c r="B42" s="421" t="s">
        <v>2667</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193"/>
      <c r="Q42" s="1800" t="str">
        <f t="shared" si="11"/>
        <v>内部装修</v>
      </c>
      <c r="R42" s="772" t="s">
        <v>17</v>
      </c>
      <c r="S42" s="773">
        <f t="shared" si="12"/>
        <v>100</v>
      </c>
      <c r="T42" s="772" t="s">
        <v>17</v>
      </c>
      <c r="U42" s="773">
        <f t="shared" si="13"/>
        <v>100</v>
      </c>
      <c r="V42" s="772" t="s">
        <v>17</v>
      </c>
      <c r="W42" s="773">
        <f t="shared" si="14"/>
        <v>100</v>
      </c>
      <c r="X42" s="1803"/>
      <c r="Y42" s="3195"/>
      <c r="Z42" s="1804" t="str">
        <f t="shared" si="15"/>
        <v>内部装修</v>
      </c>
      <c r="AA42" s="1801">
        <f t="shared" si="3"/>
        <v>1</v>
      </c>
      <c r="AB42" s="1801">
        <f t="shared" si="4"/>
        <v>1</v>
      </c>
      <c r="AC42" s="1801">
        <f t="shared" si="5"/>
        <v>1</v>
      </c>
    </row>
    <row r="43" spans="1:29" ht="15">
      <c r="A43" s="471"/>
      <c r="B43" s="421" t="s">
        <v>2575</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193"/>
      <c r="Q43" s="1800" t="str">
        <f t="shared" si="11"/>
        <v>内部装修维护情况</v>
      </c>
      <c r="R43" s="772" t="s">
        <v>17</v>
      </c>
      <c r="S43" s="773">
        <f t="shared" si="12"/>
        <v>100</v>
      </c>
      <c r="T43" s="772" t="s">
        <v>17</v>
      </c>
      <c r="U43" s="773">
        <f t="shared" si="13"/>
        <v>100</v>
      </c>
      <c r="V43" s="772" t="s">
        <v>17</v>
      </c>
      <c r="W43" s="773">
        <f t="shared" si="14"/>
        <v>100</v>
      </c>
      <c r="X43" s="1803"/>
      <c r="Y43" s="3195"/>
      <c r="Z43" s="1804" t="str">
        <f t="shared" si="15"/>
        <v>内部装修维护情况</v>
      </c>
      <c r="AA43" s="1801">
        <f t="shared" si="3"/>
        <v>1</v>
      </c>
      <c r="AB43" s="1801">
        <f t="shared" si="4"/>
        <v>1</v>
      </c>
      <c r="AC43" s="1801">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193"/>
      <c r="Q44" s="1785">
        <f t="shared" si="11"/>
        <v>111</v>
      </c>
      <c r="R44" s="768" t="s">
        <v>17</v>
      </c>
      <c r="S44" s="769">
        <f t="shared" si="12"/>
        <v>100</v>
      </c>
      <c r="T44" s="768" t="s">
        <v>17</v>
      </c>
      <c r="U44" s="769">
        <f t="shared" si="13"/>
        <v>100</v>
      </c>
      <c r="V44" s="768" t="s">
        <v>17</v>
      </c>
      <c r="W44" s="769">
        <f t="shared" si="14"/>
        <v>100</v>
      </c>
      <c r="X44" s="770"/>
      <c r="Y44" s="3195"/>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193"/>
      <c r="Q45" s="1800">
        <f t="shared" si="11"/>
        <v>111</v>
      </c>
      <c r="R45" s="772" t="s">
        <v>17</v>
      </c>
      <c r="S45" s="773">
        <f t="shared" si="12"/>
        <v>100</v>
      </c>
      <c r="T45" s="772" t="s">
        <v>17</v>
      </c>
      <c r="U45" s="773">
        <f t="shared" si="13"/>
        <v>100</v>
      </c>
      <c r="V45" s="772" t="s">
        <v>17</v>
      </c>
      <c r="W45" s="773">
        <f t="shared" si="14"/>
        <v>100</v>
      </c>
      <c r="X45" s="1803"/>
      <c r="Y45" s="3195"/>
      <c r="Z45" s="1804">
        <f t="shared" si="15"/>
        <v>111</v>
      </c>
      <c r="AA45" s="1801">
        <f t="shared" si="3"/>
        <v>1</v>
      </c>
      <c r="AB45" s="1801">
        <f t="shared" si="4"/>
        <v>1</v>
      </c>
      <c r="AC45" s="1801">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194"/>
      <c r="Q46" s="1800">
        <f t="shared" si="11"/>
        <v>111</v>
      </c>
      <c r="R46" s="772" t="s">
        <v>17</v>
      </c>
      <c r="S46" s="773">
        <f t="shared" si="12"/>
        <v>100</v>
      </c>
      <c r="T46" s="772" t="s">
        <v>17</v>
      </c>
      <c r="U46" s="773">
        <f t="shared" si="13"/>
        <v>100</v>
      </c>
      <c r="V46" s="772" t="s">
        <v>17</v>
      </c>
      <c r="W46" s="773">
        <f t="shared" si="14"/>
        <v>100</v>
      </c>
      <c r="X46" s="1803"/>
      <c r="Y46" s="3196"/>
      <c r="Z46" s="1804">
        <f t="shared" si="15"/>
        <v>111</v>
      </c>
      <c r="AA46" s="1801">
        <f t="shared" si="3"/>
        <v>1</v>
      </c>
      <c r="AB46" s="1801">
        <f t="shared" si="4"/>
        <v>1</v>
      </c>
      <c r="AC46" s="1801">
        <f t="shared" si="5"/>
        <v>1</v>
      </c>
    </row>
    <row r="47" spans="1:29" ht="15">
      <c r="A47" s="478" t="s">
        <v>2576</v>
      </c>
      <c r="B47" s="479"/>
      <c r="C47" s="1405" t="s">
        <v>1</v>
      </c>
      <c r="D47" s="1406"/>
      <c r="E47" s="1407"/>
      <c r="F47" s="1408"/>
      <c r="G47" s="1409"/>
      <c r="H47" s="1410"/>
      <c r="I47" s="1407"/>
      <c r="J47" s="1410"/>
      <c r="K47" s="781"/>
      <c r="L47" s="1141"/>
      <c r="M47" s="1142"/>
      <c r="N47" s="1129"/>
      <c r="O47" s="1142"/>
      <c r="P47" s="3188" t="str">
        <f>A47</f>
        <v>成交单价（元/平方米）</v>
      </c>
      <c r="Q47" s="3188"/>
      <c r="R47" s="3219">
        <f>E47</f>
        <v>0</v>
      </c>
      <c r="S47" s="3219"/>
      <c r="T47" s="3219">
        <f>G47</f>
        <v>0</v>
      </c>
      <c r="U47" s="3219"/>
      <c r="V47" s="3219">
        <f>I47</f>
        <v>0</v>
      </c>
      <c r="W47" s="3219"/>
      <c r="X47" s="757"/>
      <c r="Y47" s="779"/>
      <c r="Z47" s="757"/>
      <c r="AA47" s="757"/>
      <c r="AB47" s="757"/>
      <c r="AC47" s="757"/>
    </row>
    <row r="48" spans="1:29" ht="15.75" thickBot="1">
      <c r="A48" s="485" t="s">
        <v>2668</v>
      </c>
      <c r="B48" s="486"/>
      <c r="C48" s="1411" t="e">
        <f>R49</f>
        <v>#DIV/0!</v>
      </c>
      <c r="D48" s="1412"/>
      <c r="E48" s="1413" t="e">
        <f>R48</f>
        <v>#DIV/0!</v>
      </c>
      <c r="F48" s="1413"/>
      <c r="G48" s="1411" t="e">
        <f>T48</f>
        <v>#DIV/0!</v>
      </c>
      <c r="H48" s="1412"/>
      <c r="I48" s="1413" t="e">
        <f>V48</f>
        <v>#DIV/0!</v>
      </c>
      <c r="J48" s="1412"/>
      <c r="K48" s="782"/>
      <c r="L48" s="1141"/>
      <c r="M48" s="1142"/>
      <c r="N48" s="1129"/>
      <c r="O48" s="1142"/>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7"/>
      <c r="Y48" s="757"/>
      <c r="Z48" s="757"/>
      <c r="AA48" s="757"/>
      <c r="AB48" s="757"/>
      <c r="AC48" s="757"/>
    </row>
    <row r="49" spans="1:29" ht="15.75" thickBot="1">
      <c r="A49" s="491" t="s">
        <v>2669</v>
      </c>
      <c r="B49" s="492"/>
      <c r="C49" s="1415" t="e">
        <f>R49</f>
        <v>#DIV/0!</v>
      </c>
      <c r="D49" s="1415"/>
      <c r="E49" s="1415"/>
      <c r="F49" s="1415"/>
      <c r="G49" s="1415"/>
      <c r="H49" s="1415"/>
      <c r="I49" s="1415"/>
      <c r="J49" s="1415"/>
      <c r="K49" s="783"/>
      <c r="L49" s="1141"/>
      <c r="M49" s="1142"/>
      <c r="N49" s="1129"/>
      <c r="O49" s="1142"/>
      <c r="P49" s="3185" t="str">
        <f>A49</f>
        <v>估价对象XX用房的比较价值（楼面单价，元/平方米）</v>
      </c>
      <c r="Q49" s="3186"/>
      <c r="R49" s="3187" t="e">
        <f>IF(F1="售价",ROUND(AVERAGE(R48:V48),0),ROUND(AVERAGE(R48:V48),1))</f>
        <v>#DIV/0!</v>
      </c>
      <c r="S49" s="3187"/>
      <c r="T49" s="3187"/>
      <c r="U49" s="3187"/>
      <c r="V49" s="3187"/>
      <c r="W49" s="318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8"/>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58"/>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59"/>
      <c r="M57" s="1157"/>
      <c r="N57" s="1157"/>
      <c r="O57" s="1157"/>
      <c r="P57" s="2659"/>
      <c r="Q57" s="2660"/>
      <c r="R57" s="757"/>
      <c r="S57" s="757"/>
      <c r="T57" s="757"/>
      <c r="U57" s="757"/>
      <c r="V57" s="757"/>
      <c r="W57" s="757"/>
      <c r="X57" s="757"/>
      <c r="Y57" s="757"/>
      <c r="Z57" s="757"/>
      <c r="AA57" s="757"/>
      <c r="AB57" s="757"/>
      <c r="AC57" s="757"/>
    </row>
    <row r="58" spans="1:29" s="507" customFormat="1" ht="15">
      <c r="A58" s="504" t="s">
        <v>2547</v>
      </c>
      <c r="B58" s="505"/>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8"/>
      <c r="B59" s="509"/>
      <c r="C59" s="1571">
        <v>100</v>
      </c>
      <c r="D59" s="511"/>
      <c r="E59" s="511"/>
      <c r="F59" s="511"/>
      <c r="G59" s="511"/>
      <c r="H59" s="511"/>
      <c r="I59" s="511"/>
      <c r="J59" s="511"/>
      <c r="K59" s="511"/>
      <c r="L59" s="511"/>
      <c r="M59" s="512"/>
      <c r="N59" s="511"/>
      <c r="O59" s="512"/>
      <c r="P59" s="2620"/>
    </row>
    <row r="60" spans="1:29" s="117" customFormat="1" ht="15.75" thickBot="1">
      <c r="A60" s="514" t="s">
        <v>2584</v>
      </c>
      <c r="B60" s="515"/>
      <c r="C60" s="516"/>
      <c r="D60" s="517"/>
      <c r="E60" s="517"/>
      <c r="F60" s="517"/>
      <c r="G60" s="517"/>
      <c r="H60" s="517"/>
      <c r="I60" s="517"/>
      <c r="J60" s="517"/>
      <c r="K60" s="517"/>
      <c r="L60" s="517"/>
      <c r="M60" s="518"/>
      <c r="N60" s="517"/>
      <c r="O60" s="518"/>
      <c r="P60" s="2620"/>
      <c r="Q60" s="503"/>
    </row>
    <row r="61" spans="1:29" s="117" customFormat="1" ht="15">
      <c r="A61" s="520" t="s">
        <v>2549</v>
      </c>
      <c r="B61" s="509"/>
      <c r="C61" s="521" t="s">
        <v>2651</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2587</v>
      </c>
      <c r="B63" s="527" t="s">
        <v>2553</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35"/>
      <c r="E73" s="535"/>
      <c r="F73" s="535"/>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2654</v>
      </c>
      <c r="C82" s="659" t="s">
        <v>2674</v>
      </c>
      <c r="D82" s="659" t="s">
        <v>2675</v>
      </c>
      <c r="E82" s="659" t="s">
        <v>2676</v>
      </c>
      <c r="F82" s="659" t="s">
        <v>2677</v>
      </c>
      <c r="G82" s="659" t="s">
        <v>2678</v>
      </c>
      <c r="H82" s="538"/>
      <c r="I82" s="538"/>
      <c r="J82" s="538"/>
      <c r="K82" s="538"/>
      <c r="L82" s="538"/>
      <c r="M82" s="1380"/>
      <c r="N82" s="1151"/>
      <c r="O82" s="1151"/>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2679</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9"/>
      <c r="O88" s="1149"/>
      <c r="P88" s="2622"/>
      <c r="Q88" s="503"/>
    </row>
    <row r="89" spans="1:17" s="117" customFormat="1" ht="15.75" thickBot="1">
      <c r="A89" s="578"/>
      <c r="B89" s="542"/>
      <c r="C89" s="559"/>
      <c r="D89" s="535"/>
      <c r="E89" s="535"/>
      <c r="F89" s="535"/>
      <c r="G89" s="535"/>
      <c r="H89" s="535"/>
      <c r="I89" s="535"/>
      <c r="J89" s="535"/>
      <c r="K89" s="535"/>
      <c r="L89" s="535"/>
      <c r="M89" s="535"/>
      <c r="N89" s="1151"/>
      <c r="O89" s="1151"/>
      <c r="P89" s="262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3"/>
      <c r="Q91" s="558"/>
    </row>
    <row r="92" spans="1:17" ht="15.75" thickTop="1">
      <c r="A92" s="533"/>
      <c r="B92" s="537" t="str">
        <f>B28</f>
        <v>楼层</v>
      </c>
      <c r="C92" s="553"/>
      <c r="D92" s="553"/>
      <c r="E92" s="553"/>
      <c r="F92" s="553"/>
      <c r="G92" s="553"/>
      <c r="H92" s="553"/>
      <c r="I92" s="553"/>
      <c r="J92" s="553"/>
      <c r="K92" s="553"/>
      <c r="L92" s="579"/>
      <c r="M92" s="580"/>
      <c r="N92" s="1150"/>
      <c r="O92" s="1150"/>
      <c r="P92" s="2622"/>
      <c r="Q92" s="503"/>
    </row>
    <row r="93" spans="1:17" ht="15.75" thickBot="1">
      <c r="A93" s="533"/>
      <c r="B93" s="542"/>
      <c r="C93" s="535"/>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35"/>
      <c r="E95" s="535"/>
      <c r="F95" s="535"/>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59"/>
      <c r="D97" s="535"/>
      <c r="E97" s="535"/>
      <c r="F97" s="535"/>
      <c r="G97" s="535"/>
      <c r="H97" s="535"/>
      <c r="I97" s="535"/>
      <c r="J97" s="535"/>
      <c r="K97" s="535"/>
      <c r="L97" s="535"/>
      <c r="M97" s="536"/>
      <c r="N97" s="1151"/>
      <c r="O97" s="1151"/>
      <c r="P97" s="2622"/>
      <c r="Q97" s="503"/>
    </row>
    <row r="98" spans="1:17" ht="15.75" thickTop="1">
      <c r="A98" s="533"/>
      <c r="B98" s="545">
        <f>B31</f>
        <v>111</v>
      </c>
      <c r="C98" s="553"/>
      <c r="D98" s="553"/>
      <c r="E98" s="553"/>
      <c r="F98" s="553"/>
      <c r="G98" s="586"/>
      <c r="H98" s="586"/>
      <c r="I98" s="586"/>
      <c r="J98" s="586"/>
      <c r="K98" s="587"/>
      <c r="L98" s="588"/>
      <c r="M98" s="589"/>
      <c r="N98" s="1150"/>
      <c r="O98" s="1150"/>
      <c r="P98" s="2622"/>
      <c r="Q98" s="503"/>
    </row>
    <row r="99" spans="1:17" ht="15.75" thickBot="1">
      <c r="A99" s="2628"/>
      <c r="B99" s="568"/>
      <c r="C99" s="569"/>
      <c r="D99" s="569"/>
      <c r="E99" s="569"/>
      <c r="F99" s="569"/>
      <c r="G99" s="590"/>
      <c r="H99" s="590"/>
      <c r="I99" s="590"/>
      <c r="J99" s="590"/>
      <c r="K99" s="590"/>
      <c r="L99" s="590"/>
      <c r="M99" s="591"/>
      <c r="N99" s="1151"/>
      <c r="O99" s="1151"/>
      <c r="P99" s="2622"/>
      <c r="Q99" s="503"/>
    </row>
    <row r="100" spans="1:17">
      <c r="A100" s="526" t="s">
        <v>2562</v>
      </c>
      <c r="B100" s="527" t="s">
        <v>2680</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3"/>
      <c r="Q104" s="558"/>
    </row>
    <row r="105" spans="1:17" ht="15" thickTop="1">
      <c r="A105" s="598"/>
      <c r="B105" s="537" t="s">
        <v>2613</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2"/>
      <c r="Q106" s="503"/>
    </row>
    <row r="107" spans="1:17" ht="15" thickTop="1">
      <c r="A107" s="598"/>
      <c r="B107" s="537" t="s">
        <v>2615</v>
      </c>
      <c r="C107" s="553"/>
      <c r="D107" s="553"/>
      <c r="E107" s="553"/>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2"/>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2"/>
      <c r="Q111" s="503"/>
    </row>
    <row r="112" spans="1:17" s="470" customFormat="1" ht="15" thickTop="1">
      <c r="A112" s="592"/>
      <c r="B112" s="537" t="s">
        <v>2617</v>
      </c>
      <c r="C112" s="553"/>
      <c r="D112" s="553"/>
      <c r="E112" s="553"/>
      <c r="F112" s="553"/>
      <c r="G112" s="553"/>
      <c r="H112" s="582"/>
      <c r="I112" s="582"/>
      <c r="J112" s="582"/>
      <c r="K112" s="583"/>
      <c r="L112" s="584"/>
      <c r="M112" s="585"/>
      <c r="N112" s="1152"/>
      <c r="O112" s="1152"/>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3"/>
      <c r="Q113" s="558"/>
    </row>
    <row r="114" spans="1:17" ht="15" thickTop="1">
      <c r="A114" s="598"/>
      <c r="B114" s="537" t="s">
        <v>2681</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2"/>
      <c r="Q115" s="503"/>
    </row>
    <row r="116" spans="1:17" ht="15" thickTop="1">
      <c r="A116" s="598"/>
      <c r="B116" s="537" t="s">
        <v>2682</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2683</v>
      </c>
      <c r="C118" s="626"/>
      <c r="D118" s="626"/>
      <c r="E118" s="626"/>
      <c r="F118" s="626"/>
      <c r="G118" s="626"/>
      <c r="H118" s="554"/>
      <c r="I118" s="554"/>
      <c r="J118" s="554"/>
      <c r="K118" s="554"/>
      <c r="L118" s="555"/>
      <c r="M118" s="556"/>
      <c r="N118" s="1150"/>
      <c r="O118" s="1150"/>
      <c r="P118" s="2622"/>
      <c r="Q118" s="503"/>
    </row>
    <row r="119" spans="1:17" ht="15.75" thickBot="1">
      <c r="A119" s="533"/>
      <c r="B119" s="542"/>
      <c r="C119" s="559"/>
      <c r="D119" s="535"/>
      <c r="E119" s="535"/>
      <c r="F119" s="535"/>
      <c r="G119" s="535"/>
      <c r="H119" s="535"/>
      <c r="I119" s="535"/>
      <c r="J119" s="535"/>
      <c r="K119" s="535"/>
      <c r="L119" s="535"/>
      <c r="M119" s="536"/>
      <c r="N119" s="1151"/>
      <c r="O119" s="1151"/>
      <c r="P119" s="2622"/>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3"/>
      <c r="Q121" s="558"/>
    </row>
    <row r="122" spans="1:17" ht="15" thickTop="1">
      <c r="A122" s="598"/>
      <c r="B122" s="537" t="s">
        <v>2619</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35"/>
      <c r="E129" s="535"/>
      <c r="F129" s="535"/>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1" t="s">
        <v>2685</v>
      </c>
      <c r="C1" s="1618" t="s">
        <v>2529</v>
      </c>
      <c r="D1" s="1619"/>
      <c r="E1" s="1628"/>
      <c r="F1" s="2576"/>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IF(C2="——",ROUND(C50*D3/10000,0),ROUND(C50*D3/10000,0)-D2)</f>
        <v>#DIV/0!</v>
      </c>
      <c r="C2" s="2578"/>
      <c r="D2" s="1363" t="e">
        <f ca="1">SUMIF(INDIRECT("'"&amp;F2&amp;"'"&amp;"!A:A"),"承租人权益价值",INDIRECT("'"&amp;F2&amp;"'"&amp;"!c:c"))</f>
        <v>#REF!</v>
      </c>
      <c r="E2" s="2579" t="s">
        <v>2327</v>
      </c>
      <c r="F2" s="2580"/>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 ca="1">IF(C2="——",C50,ROUND(B2*10000/D3,0))</f>
        <v>#DIV/0!</v>
      </c>
      <c r="C3" s="399" t="s">
        <v>2643</v>
      </c>
      <c r="D3" s="398">
        <f>IF(D1="",'数据-汇总表'!E3,SUMIF('数据-汇总表'!$C19:$C33,D1,'数据-汇总表'!$E19:$E33))</f>
        <v>66988.94</v>
      </c>
      <c r="E3" s="2655"/>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37" t="s">
        <v>2650</v>
      </c>
      <c r="Q4" s="3238"/>
      <c r="R4" s="3241" t="s">
        <v>2646</v>
      </c>
      <c r="S4" s="3242"/>
      <c r="T4" s="3241" t="s">
        <v>2647</v>
      </c>
      <c r="U4" s="3242"/>
      <c r="V4" s="3243" t="s">
        <v>2648</v>
      </c>
      <c r="W4" s="3243"/>
      <c r="X4" s="2662"/>
      <c r="Y4" s="3241" t="s">
        <v>2650</v>
      </c>
      <c r="Z4" s="3242"/>
      <c r="AA4" s="3245" t="s">
        <v>2646</v>
      </c>
      <c r="AB4" s="3245" t="s">
        <v>2647</v>
      </c>
      <c r="AC4" s="3234" t="s">
        <v>2648</v>
      </c>
    </row>
    <row r="5" spans="1:29" ht="15">
      <c r="A5" s="403"/>
      <c r="B5" s="404"/>
      <c r="C5" s="3222" t="s">
        <v>2541</v>
      </c>
      <c r="D5" s="3223"/>
      <c r="E5" s="3229" t="s">
        <v>2542</v>
      </c>
      <c r="F5" s="3230"/>
      <c r="G5" s="3222" t="s">
        <v>2543</v>
      </c>
      <c r="H5" s="3223"/>
      <c r="I5" s="3222" t="s">
        <v>2544</v>
      </c>
      <c r="J5" s="3223"/>
      <c r="K5" s="609"/>
      <c r="L5" s="1128"/>
      <c r="M5" s="1129"/>
      <c r="N5" s="1129"/>
      <c r="O5" s="1129"/>
      <c r="P5" s="3239"/>
      <c r="Q5" s="3210"/>
      <c r="R5" s="3215"/>
      <c r="S5" s="3216"/>
      <c r="T5" s="3215"/>
      <c r="U5" s="3216"/>
      <c r="V5" s="3219"/>
      <c r="W5" s="3219"/>
      <c r="X5" s="1803"/>
      <c r="Y5" s="3215"/>
      <c r="Z5" s="3216"/>
      <c r="AA5" s="3201"/>
      <c r="AB5" s="3201"/>
      <c r="AC5" s="3235"/>
    </row>
    <row r="6" spans="1:29" ht="15.75" thickBot="1">
      <c r="A6" s="405"/>
      <c r="B6" s="406"/>
      <c r="C6" s="3220" t="s">
        <v>2545</v>
      </c>
      <c r="D6" s="3221"/>
      <c r="E6" s="3227" t="s">
        <v>2545</v>
      </c>
      <c r="F6" s="3228"/>
      <c r="G6" s="3220" t="s">
        <v>2545</v>
      </c>
      <c r="H6" s="3221"/>
      <c r="I6" s="3220" t="s">
        <v>2545</v>
      </c>
      <c r="J6" s="3221"/>
      <c r="K6" s="609" t="s">
        <v>2546</v>
      </c>
      <c r="L6" s="1128"/>
      <c r="M6" s="1129"/>
      <c r="N6" s="1129"/>
      <c r="O6" s="1129"/>
      <c r="P6" s="3240"/>
      <c r="Q6" s="3212"/>
      <c r="R6" s="3215"/>
      <c r="S6" s="3216"/>
      <c r="T6" s="3217"/>
      <c r="U6" s="3218"/>
      <c r="V6" s="3219"/>
      <c r="W6" s="3219"/>
      <c r="X6" s="1803"/>
      <c r="Y6" s="3217"/>
      <c r="Z6" s="3218"/>
      <c r="AA6" s="3202"/>
      <c r="AB6" s="3202"/>
      <c r="AC6" s="3236"/>
    </row>
    <row r="7" spans="1:29" s="117" customFormat="1" ht="15.75" thickBot="1">
      <c r="A7" s="407" t="s">
        <v>2547</v>
      </c>
      <c r="B7" s="408"/>
      <c r="C7" s="409">
        <f>'数据-取费表'!B2</f>
        <v>44005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4" t="s">
        <v>2548</v>
      </c>
      <c r="Q7" s="3226"/>
      <c r="R7" s="768" t="s">
        <v>17</v>
      </c>
      <c r="S7" s="769">
        <f t="shared" ref="S7:S15" si="0">F7</f>
        <v>0</v>
      </c>
      <c r="T7" s="768" t="s">
        <v>17</v>
      </c>
      <c r="U7" s="769">
        <f t="shared" ref="U7:U15" si="1">H7</f>
        <v>0</v>
      </c>
      <c r="V7" s="768" t="s">
        <v>17</v>
      </c>
      <c r="W7" s="769">
        <f t="shared" ref="W7:W15" si="2">J7</f>
        <v>0</v>
      </c>
      <c r="X7" s="770"/>
      <c r="Y7" s="3224" t="s">
        <v>2548</v>
      </c>
      <c r="Z7" s="3225"/>
      <c r="AA7" s="771" t="e">
        <f>D7/F7</f>
        <v>#DIV/0!</v>
      </c>
      <c r="AB7" s="771" t="e">
        <f>D7/H7</f>
        <v>#DIV/0!</v>
      </c>
      <c r="AC7" s="2663"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4" t="s">
        <v>2551</v>
      </c>
      <c r="Q8" s="3225"/>
      <c r="R8" s="768" t="s">
        <v>17</v>
      </c>
      <c r="S8" s="769">
        <f t="shared" si="0"/>
        <v>0</v>
      </c>
      <c r="T8" s="768" t="s">
        <v>17</v>
      </c>
      <c r="U8" s="769">
        <f t="shared" si="1"/>
        <v>0</v>
      </c>
      <c r="V8" s="768" t="s">
        <v>17</v>
      </c>
      <c r="W8" s="769">
        <f t="shared" si="2"/>
        <v>0</v>
      </c>
      <c r="X8" s="770"/>
      <c r="Y8" s="3224" t="s">
        <v>2551</v>
      </c>
      <c r="Z8" s="3225"/>
      <c r="AA8" s="771" t="e">
        <f t="shared" ref="AA8:AA47" si="3">D8/F8</f>
        <v>#DIV/0!</v>
      </c>
      <c r="AB8" s="771" t="e">
        <f t="shared" ref="AB8:AB47" si="4">D8/H8</f>
        <v>#DIV/0!</v>
      </c>
      <c r="AC8" s="2663"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9"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266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9"/>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266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9"/>
      <c r="Q11" s="1785"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2663" t="e">
        <f t="shared" si="5"/>
        <v>#N/A</v>
      </c>
    </row>
    <row r="12" spans="1:29" s="117"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30"/>
      <c r="M12" s="1131"/>
      <c r="N12" s="1131"/>
      <c r="O12" s="1131"/>
      <c r="P12" s="3199"/>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8"/>
      <c r="M13" s="1129"/>
      <c r="N13" s="1129"/>
      <c r="O13" s="1129"/>
      <c r="P13" s="3199"/>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8"/>
      <c r="M14" s="1129"/>
      <c r="N14" s="1129"/>
      <c r="O14" s="1129"/>
      <c r="P14" s="3199"/>
      <c r="Q14" s="1785">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2663">
        <f t="shared" si="5"/>
        <v>1</v>
      </c>
    </row>
    <row r="15" spans="1:29" ht="71.25">
      <c r="A15" s="439" t="s">
        <v>2558</v>
      </c>
      <c r="B15" s="628" t="s">
        <v>2686</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197" t="s">
        <v>2559</v>
      </c>
      <c r="Q15" s="1800" t="str">
        <f t="shared" si="6"/>
        <v>办公集聚程度</v>
      </c>
      <c r="R15" s="772" t="s">
        <v>17</v>
      </c>
      <c r="S15" s="773">
        <f t="shared" si="0"/>
        <v>100</v>
      </c>
      <c r="T15" s="772" t="s">
        <v>17</v>
      </c>
      <c r="U15" s="773">
        <f t="shared" si="1"/>
        <v>100</v>
      </c>
      <c r="V15" s="772" t="s">
        <v>17</v>
      </c>
      <c r="W15" s="773">
        <f t="shared" si="2"/>
        <v>100</v>
      </c>
      <c r="X15" s="1803"/>
      <c r="Y15" s="3190" t="s">
        <v>2559</v>
      </c>
      <c r="Z15" s="1804" t="str">
        <f t="shared" si="7"/>
        <v>办公集聚程度</v>
      </c>
      <c r="AA15" s="1801">
        <f t="shared" si="3"/>
        <v>1</v>
      </c>
      <c r="AB15" s="1801">
        <f t="shared" si="4"/>
        <v>1</v>
      </c>
      <c r="AC15" s="2666">
        <f t="shared" si="5"/>
        <v>1</v>
      </c>
    </row>
    <row r="16" spans="1:29" ht="15">
      <c r="A16" s="427"/>
      <c r="B16" s="629"/>
      <c r="C16" s="2603"/>
      <c r="D16" s="447"/>
      <c r="E16" s="446"/>
      <c r="F16" s="447"/>
      <c r="G16" s="2603"/>
      <c r="H16" s="449"/>
      <c r="I16" s="446"/>
      <c r="J16" s="447"/>
      <c r="K16" s="614"/>
      <c r="L16" s="1138"/>
      <c r="M16" s="1129"/>
      <c r="N16" s="1129"/>
      <c r="O16" s="1129"/>
      <c r="P16" s="3198"/>
      <c r="Q16" s="1800"/>
      <c r="R16" s="772"/>
      <c r="S16" s="773"/>
      <c r="T16" s="772"/>
      <c r="U16" s="773"/>
      <c r="V16" s="772"/>
      <c r="W16" s="773"/>
      <c r="X16" s="1803"/>
      <c r="Y16" s="3191"/>
      <c r="Z16" s="1804"/>
      <c r="AA16" s="1801">
        <v>1</v>
      </c>
      <c r="AB16" s="1801">
        <v>1</v>
      </c>
      <c r="AC16" s="2666">
        <v>1</v>
      </c>
    </row>
    <row r="17" spans="1:29" ht="71.25">
      <c r="A17" s="427"/>
      <c r="B17" s="630" t="s">
        <v>2095</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198"/>
      <c r="Q17" s="1800" t="str">
        <f>B17</f>
        <v>交通便捷度</v>
      </c>
      <c r="R17" s="772" t="s">
        <v>17</v>
      </c>
      <c r="S17" s="773">
        <f>F17</f>
        <v>100</v>
      </c>
      <c r="T17" s="772" t="s">
        <v>17</v>
      </c>
      <c r="U17" s="773">
        <f>H17</f>
        <v>100</v>
      </c>
      <c r="V17" s="772" t="s">
        <v>17</v>
      </c>
      <c r="W17" s="773">
        <f>J17</f>
        <v>100</v>
      </c>
      <c r="X17" s="1803"/>
      <c r="Y17" s="3191"/>
      <c r="Z17" s="1804" t="str">
        <f>Q17</f>
        <v>交通便捷度</v>
      </c>
      <c r="AA17" s="1801">
        <f t="shared" si="3"/>
        <v>1</v>
      </c>
      <c r="AB17" s="1801">
        <f t="shared" si="4"/>
        <v>1</v>
      </c>
      <c r="AC17" s="2666">
        <f t="shared" si="5"/>
        <v>1</v>
      </c>
    </row>
    <row r="18" spans="1:29" ht="15">
      <c r="A18" s="427"/>
      <c r="B18" s="631"/>
      <c r="C18" s="2668"/>
      <c r="D18" s="449"/>
      <c r="E18" s="2601"/>
      <c r="F18" s="449"/>
      <c r="G18" s="2602"/>
      <c r="H18" s="447"/>
      <c r="I18" s="2602"/>
      <c r="J18" s="447"/>
      <c r="K18" s="614"/>
      <c r="L18" s="1138"/>
      <c r="M18" s="1129"/>
      <c r="N18" s="1129"/>
      <c r="O18" s="1129"/>
      <c r="P18" s="3198"/>
      <c r="Q18" s="1800"/>
      <c r="R18" s="772"/>
      <c r="S18" s="773"/>
      <c r="T18" s="772"/>
      <c r="U18" s="773"/>
      <c r="V18" s="772"/>
      <c r="W18" s="773"/>
      <c r="X18" s="1803"/>
      <c r="Y18" s="3191"/>
      <c r="Z18" s="1804"/>
      <c r="AA18" s="1801">
        <v>1</v>
      </c>
      <c r="AB18" s="1801">
        <v>1</v>
      </c>
      <c r="AC18" s="2666">
        <v>1</v>
      </c>
    </row>
    <row r="19" spans="1:29" ht="42.75">
      <c r="A19" s="427"/>
      <c r="B19" s="630" t="s">
        <v>2687</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198"/>
      <c r="Q19" s="1800" t="str">
        <f>B19</f>
        <v>公共配套设施</v>
      </c>
      <c r="R19" s="772" t="s">
        <v>17</v>
      </c>
      <c r="S19" s="773">
        <f>F19</f>
        <v>100</v>
      </c>
      <c r="T19" s="772" t="s">
        <v>17</v>
      </c>
      <c r="U19" s="773">
        <f>H19</f>
        <v>100</v>
      </c>
      <c r="V19" s="772" t="s">
        <v>17</v>
      </c>
      <c r="W19" s="773">
        <f>J19</f>
        <v>100</v>
      </c>
      <c r="X19" s="1803"/>
      <c r="Y19" s="3191"/>
      <c r="Z19" s="1804" t="str">
        <f>Q19</f>
        <v>公共配套设施</v>
      </c>
      <c r="AA19" s="1801">
        <f t="shared" si="3"/>
        <v>1</v>
      </c>
      <c r="AB19" s="1801">
        <f t="shared" si="4"/>
        <v>1</v>
      </c>
      <c r="AC19" s="2666">
        <f t="shared" si="5"/>
        <v>1</v>
      </c>
    </row>
    <row r="20" spans="1:29" ht="15">
      <c r="A20" s="427"/>
      <c r="B20" s="631"/>
      <c r="C20" s="2603"/>
      <c r="D20" s="447"/>
      <c r="E20" s="2596"/>
      <c r="F20" s="447"/>
      <c r="G20" s="2597"/>
      <c r="H20" s="447"/>
      <c r="I20" s="2597"/>
      <c r="J20" s="447"/>
      <c r="K20" s="614"/>
      <c r="L20" s="1138"/>
      <c r="M20" s="1129"/>
      <c r="N20" s="1129"/>
      <c r="O20" s="1129"/>
      <c r="P20" s="3198"/>
      <c r="Q20" s="1800"/>
      <c r="R20" s="772"/>
      <c r="S20" s="773"/>
      <c r="T20" s="772"/>
      <c r="U20" s="773"/>
      <c r="V20" s="772"/>
      <c r="W20" s="773"/>
      <c r="X20" s="1803"/>
      <c r="Y20" s="3191"/>
      <c r="Z20" s="1804"/>
      <c r="AA20" s="1801">
        <v>1</v>
      </c>
      <c r="AB20" s="1801">
        <v>1</v>
      </c>
      <c r="AC20" s="2666">
        <v>1</v>
      </c>
    </row>
    <row r="21" spans="1:29" ht="28.5">
      <c r="A21" s="427"/>
      <c r="B21" s="632" t="s">
        <v>2688</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198"/>
      <c r="Q21" s="1800" t="str">
        <f>B21</f>
        <v>基础设施水平</v>
      </c>
      <c r="R21" s="772" t="s">
        <v>17</v>
      </c>
      <c r="S21" s="773">
        <f>F21</f>
        <v>100</v>
      </c>
      <c r="T21" s="772" t="s">
        <v>17</v>
      </c>
      <c r="U21" s="773">
        <f>H21</f>
        <v>100</v>
      </c>
      <c r="V21" s="772" t="s">
        <v>17</v>
      </c>
      <c r="W21" s="773">
        <f>J21</f>
        <v>100</v>
      </c>
      <c r="X21" s="1803"/>
      <c r="Y21" s="3191"/>
      <c r="Z21" s="1804" t="str">
        <f>Q21</f>
        <v>基础设施水平</v>
      </c>
      <c r="AA21" s="1801">
        <f t="shared" ref="AA21" si="8">D21/F21</f>
        <v>1</v>
      </c>
      <c r="AB21" s="1801">
        <f t="shared" ref="AB21" si="9">D21/H21</f>
        <v>1</v>
      </c>
      <c r="AC21" s="2666">
        <f t="shared" ref="AC21" si="10">D21/J21</f>
        <v>1</v>
      </c>
    </row>
    <row r="22" spans="1:29" ht="15">
      <c r="A22" s="427"/>
      <c r="B22" s="632"/>
      <c r="C22" s="2668"/>
      <c r="D22" s="447"/>
      <c r="E22" s="446"/>
      <c r="F22" s="447"/>
      <c r="G22" s="2603"/>
      <c r="H22" s="447"/>
      <c r="I22" s="2603"/>
      <c r="J22" s="447"/>
      <c r="K22" s="1381"/>
      <c r="L22" s="1138"/>
      <c r="M22" s="1129"/>
      <c r="N22" s="1129"/>
      <c r="O22" s="1129"/>
      <c r="P22" s="3198"/>
      <c r="Q22" s="1800"/>
      <c r="R22" s="772"/>
      <c r="S22" s="773"/>
      <c r="T22" s="772"/>
      <c r="U22" s="773"/>
      <c r="V22" s="772"/>
      <c r="W22" s="773"/>
      <c r="X22" s="1803"/>
      <c r="Y22" s="3191"/>
      <c r="Z22" s="1804"/>
      <c r="AA22" s="1801">
        <v>1</v>
      </c>
      <c r="AB22" s="1801">
        <v>1</v>
      </c>
      <c r="AC22" s="2666">
        <v>1</v>
      </c>
    </row>
    <row r="23" spans="1:29" ht="42.75">
      <c r="A23" s="427"/>
      <c r="B23" s="630" t="s">
        <v>2689</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198"/>
      <c r="Q23" s="1800" t="str">
        <f>B23</f>
        <v>环境质量</v>
      </c>
      <c r="R23" s="772" t="s">
        <v>17</v>
      </c>
      <c r="S23" s="773">
        <f>F23</f>
        <v>100</v>
      </c>
      <c r="T23" s="772" t="s">
        <v>17</v>
      </c>
      <c r="U23" s="773">
        <f>H23</f>
        <v>100</v>
      </c>
      <c r="V23" s="772" t="s">
        <v>17</v>
      </c>
      <c r="W23" s="773">
        <f>J23</f>
        <v>100</v>
      </c>
      <c r="X23" s="1803"/>
      <c r="Y23" s="3191"/>
      <c r="Z23" s="1804" t="str">
        <f>Q23</f>
        <v>环境质量</v>
      </c>
      <c r="AA23" s="1801">
        <f t="shared" si="3"/>
        <v>1</v>
      </c>
      <c r="AB23" s="1801">
        <f t="shared" si="4"/>
        <v>1</v>
      </c>
      <c r="AC23" s="2666">
        <f t="shared" si="5"/>
        <v>1</v>
      </c>
    </row>
    <row r="24" spans="1:29" ht="15">
      <c r="A24" s="427"/>
      <c r="B24" s="632"/>
      <c r="C24" s="2603"/>
      <c r="D24" s="447"/>
      <c r="E24" s="2596"/>
      <c r="F24" s="447"/>
      <c r="G24" s="2597"/>
      <c r="H24" s="447"/>
      <c r="I24" s="2597"/>
      <c r="J24" s="447"/>
      <c r="K24" s="614"/>
      <c r="L24" s="1138"/>
      <c r="M24" s="1129"/>
      <c r="N24" s="1129"/>
      <c r="O24" s="1129"/>
      <c r="P24" s="3198"/>
      <c r="Q24" s="1800"/>
      <c r="R24" s="772"/>
      <c r="S24" s="773"/>
      <c r="T24" s="772"/>
      <c r="U24" s="773"/>
      <c r="V24" s="772"/>
      <c r="W24" s="773"/>
      <c r="X24" s="1803"/>
      <c r="Y24" s="3191"/>
      <c r="Z24" s="1804"/>
      <c r="AA24" s="1801">
        <v>1</v>
      </c>
      <c r="AB24" s="1801">
        <v>1</v>
      </c>
      <c r="AC24" s="2666">
        <v>1</v>
      </c>
    </row>
    <row r="25" spans="1:29" ht="27">
      <c r="A25" s="403"/>
      <c r="B25" s="630" t="s">
        <v>2690</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198"/>
      <c r="Q25" s="1800" t="str">
        <f>B25</f>
        <v>毗邻道路的类型与等级</v>
      </c>
      <c r="R25" s="772" t="s">
        <v>17</v>
      </c>
      <c r="S25" s="773">
        <f>F25</f>
        <v>100</v>
      </c>
      <c r="T25" s="772" t="s">
        <v>17</v>
      </c>
      <c r="U25" s="773">
        <f>H25</f>
        <v>100</v>
      </c>
      <c r="V25" s="772" t="s">
        <v>17</v>
      </c>
      <c r="W25" s="773">
        <f>J25</f>
        <v>100</v>
      </c>
      <c r="X25" s="1803"/>
      <c r="Y25" s="3191"/>
      <c r="Z25" s="1804" t="str">
        <f>Q25</f>
        <v>毗邻道路的类型与等级</v>
      </c>
      <c r="AA25" s="1801">
        <f t="shared" si="3"/>
        <v>1</v>
      </c>
      <c r="AB25" s="1801">
        <f t="shared" si="4"/>
        <v>1</v>
      </c>
      <c r="AC25" s="2666">
        <f t="shared" si="5"/>
        <v>1</v>
      </c>
    </row>
    <row r="26" spans="1:29" ht="15">
      <c r="A26" s="403"/>
      <c r="B26" s="631"/>
      <c r="C26" s="633"/>
      <c r="D26" s="434"/>
      <c r="E26" s="615"/>
      <c r="F26" s="434"/>
      <c r="G26" s="633"/>
      <c r="H26" s="434"/>
      <c r="I26" s="615"/>
      <c r="J26" s="434"/>
      <c r="K26" s="614"/>
      <c r="L26" s="1138"/>
      <c r="M26" s="1129"/>
      <c r="N26" s="1129"/>
      <c r="O26" s="1129"/>
      <c r="P26" s="3198"/>
      <c r="Q26" s="1800"/>
      <c r="R26" s="772"/>
      <c r="S26" s="773"/>
      <c r="T26" s="772"/>
      <c r="U26" s="773"/>
      <c r="V26" s="772"/>
      <c r="W26" s="773"/>
      <c r="X26" s="1803"/>
      <c r="Y26" s="3191"/>
      <c r="Z26" s="1804"/>
      <c r="AA26" s="1801">
        <v>1</v>
      </c>
      <c r="AB26" s="1801">
        <v>1</v>
      </c>
      <c r="AC26" s="266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198"/>
      <c r="Q27" s="1800" t="str">
        <f t="shared" ref="Q27:Q47" si="11">B27</f>
        <v>楼层</v>
      </c>
      <c r="R27" s="772" t="s">
        <v>17</v>
      </c>
      <c r="S27" s="773">
        <f>F27</f>
        <v>100</v>
      </c>
      <c r="T27" s="772" t="s">
        <v>17</v>
      </c>
      <c r="U27" s="773">
        <f>H27</f>
        <v>100</v>
      </c>
      <c r="V27" s="772" t="s">
        <v>17</v>
      </c>
      <c r="W27" s="773">
        <f>J27</f>
        <v>100</v>
      </c>
      <c r="X27" s="1803"/>
      <c r="Y27" s="3191"/>
      <c r="Z27" s="1804" t="str">
        <f>Q27</f>
        <v>楼层</v>
      </c>
      <c r="AA27" s="1801">
        <f t="shared" si="3"/>
        <v>1</v>
      </c>
      <c r="AB27" s="1801">
        <f t="shared" si="4"/>
        <v>1</v>
      </c>
      <c r="AC27" s="2666">
        <f t="shared" si="5"/>
        <v>1</v>
      </c>
    </row>
    <row r="28" spans="1:29" s="117" customFormat="1" ht="15">
      <c r="A28" s="430"/>
      <c r="B28" s="630" t="s">
        <v>2691</v>
      </c>
      <c r="C28" s="2669"/>
      <c r="D28" s="461">
        <v>100</v>
      </c>
      <c r="E28" s="2657"/>
      <c r="F28" s="461">
        <f>SUMIF(91:91,E28,92:92)-SUMIF(91:91,C28,92:92)+100</f>
        <v>100</v>
      </c>
      <c r="G28" s="2669"/>
      <c r="H28" s="461">
        <f>SUMIF(91:91,G28,92:92)-SUMIF(91:91,C28,92:92)+100</f>
        <v>100</v>
      </c>
      <c r="I28" s="2657"/>
      <c r="J28" s="461">
        <f>SUMIF(91:91,I28,92:92)-SUMIF(91:91,C28,92:92)+100</f>
        <v>100</v>
      </c>
      <c r="K28" s="611"/>
      <c r="L28" s="1130"/>
      <c r="M28" s="1131"/>
      <c r="N28" s="1131"/>
      <c r="O28" s="1131"/>
      <c r="P28" s="3198"/>
      <c r="Q28" s="1785" t="str">
        <f t="shared" si="11"/>
        <v>朝向</v>
      </c>
      <c r="R28" s="768" t="s">
        <v>17</v>
      </c>
      <c r="S28" s="769">
        <f>F28</f>
        <v>100</v>
      </c>
      <c r="T28" s="768" t="s">
        <v>17</v>
      </c>
      <c r="U28" s="769">
        <f>H28</f>
        <v>100</v>
      </c>
      <c r="V28" s="768" t="s">
        <v>17</v>
      </c>
      <c r="W28" s="769">
        <f>J28</f>
        <v>100</v>
      </c>
      <c r="X28" s="770"/>
      <c r="Y28" s="3191"/>
      <c r="Z28" s="55" t="str">
        <f>Q28</f>
        <v>朝向</v>
      </c>
      <c r="AA28" s="1801">
        <f>D28/F28</f>
        <v>1</v>
      </c>
      <c r="AB28" s="1801">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8"/>
      <c r="M29" s="1129"/>
      <c r="N29" s="1129"/>
      <c r="O29" s="1129"/>
      <c r="P29" s="3198"/>
      <c r="Q29" s="1800">
        <f t="shared" si="11"/>
        <v>111</v>
      </c>
      <c r="R29" s="772" t="s">
        <v>17</v>
      </c>
      <c r="S29" s="773">
        <f t="shared" ref="S29:S47" si="12">F29</f>
        <v>100</v>
      </c>
      <c r="T29" s="772" t="s">
        <v>17</v>
      </c>
      <c r="U29" s="773">
        <f t="shared" ref="U29:U47" si="13">H29</f>
        <v>100</v>
      </c>
      <c r="V29" s="772" t="s">
        <v>17</v>
      </c>
      <c r="W29" s="773">
        <f t="shared" ref="W29:W47" si="14">J29</f>
        <v>100</v>
      </c>
      <c r="X29" s="1803"/>
      <c r="Y29" s="3191"/>
      <c r="Z29" s="1804">
        <f t="shared" ref="Z29:Z47" si="15">Q29</f>
        <v>111</v>
      </c>
      <c r="AA29" s="1801">
        <f t="shared" si="3"/>
        <v>1</v>
      </c>
      <c r="AB29" s="1801">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8"/>
      <c r="M30" s="1129"/>
      <c r="N30" s="1129"/>
      <c r="O30" s="1129"/>
      <c r="P30" s="3198"/>
      <c r="Q30" s="1800">
        <f t="shared" si="11"/>
        <v>111</v>
      </c>
      <c r="R30" s="772" t="s">
        <v>17</v>
      </c>
      <c r="S30" s="773">
        <f t="shared" si="12"/>
        <v>100</v>
      </c>
      <c r="T30" s="772" t="s">
        <v>17</v>
      </c>
      <c r="U30" s="773">
        <f t="shared" si="13"/>
        <v>100</v>
      </c>
      <c r="V30" s="772" t="s">
        <v>17</v>
      </c>
      <c r="W30" s="773">
        <f t="shared" si="14"/>
        <v>100</v>
      </c>
      <c r="X30" s="1803"/>
      <c r="Y30" s="3191"/>
      <c r="Z30" s="1804">
        <f t="shared" si="15"/>
        <v>111</v>
      </c>
      <c r="AA30" s="1801">
        <f t="shared" si="3"/>
        <v>1</v>
      </c>
      <c r="AB30" s="1801">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8"/>
      <c r="M31" s="1129"/>
      <c r="N31" s="1129"/>
      <c r="O31" s="1129"/>
      <c r="P31" s="3198"/>
      <c r="Q31" s="1800">
        <f t="shared" si="11"/>
        <v>111</v>
      </c>
      <c r="R31" s="772" t="s">
        <v>17</v>
      </c>
      <c r="S31" s="773">
        <f t="shared" si="12"/>
        <v>100</v>
      </c>
      <c r="T31" s="772" t="s">
        <v>17</v>
      </c>
      <c r="U31" s="773">
        <f t="shared" si="13"/>
        <v>100</v>
      </c>
      <c r="V31" s="772" t="s">
        <v>17</v>
      </c>
      <c r="W31" s="773">
        <f t="shared" si="14"/>
        <v>100</v>
      </c>
      <c r="X31" s="1803"/>
      <c r="Y31" s="3191"/>
      <c r="Z31" s="1804">
        <f t="shared" si="15"/>
        <v>111</v>
      </c>
      <c r="AA31" s="1801">
        <f t="shared" si="3"/>
        <v>1</v>
      </c>
      <c r="AB31" s="1801">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8"/>
      <c r="M32" s="1129"/>
      <c r="N32" s="1129"/>
      <c r="O32" s="1129"/>
      <c r="P32" s="3198"/>
      <c r="Q32" s="1800">
        <f t="shared" si="11"/>
        <v>111</v>
      </c>
      <c r="R32" s="772" t="s">
        <v>17</v>
      </c>
      <c r="S32" s="773">
        <f t="shared" si="12"/>
        <v>100</v>
      </c>
      <c r="T32" s="772" t="s">
        <v>17</v>
      </c>
      <c r="U32" s="773">
        <f t="shared" si="13"/>
        <v>100</v>
      </c>
      <c r="V32" s="772" t="s">
        <v>17</v>
      </c>
      <c r="W32" s="773">
        <f t="shared" si="14"/>
        <v>100</v>
      </c>
      <c r="X32" s="1803"/>
      <c r="Y32" s="3191"/>
      <c r="Z32" s="1804">
        <f t="shared" si="15"/>
        <v>111</v>
      </c>
      <c r="AA32" s="1801">
        <f t="shared" si="3"/>
        <v>1</v>
      </c>
      <c r="AB32" s="1801">
        <f t="shared" si="4"/>
        <v>1</v>
      </c>
      <c r="AC32" s="2666">
        <f t="shared" si="5"/>
        <v>1</v>
      </c>
    </row>
    <row r="33" spans="1:29" ht="15">
      <c r="A33" s="439" t="s">
        <v>2562</v>
      </c>
      <c r="B33" s="71" t="s">
        <v>2692</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8"/>
      <c r="M33" s="1129"/>
      <c r="N33" s="1129"/>
      <c r="O33" s="1129"/>
      <c r="P33" s="3192" t="s">
        <v>2564</v>
      </c>
      <c r="Q33" s="1800" t="str">
        <f t="shared" si="11"/>
        <v>建筑类型</v>
      </c>
      <c r="R33" s="772" t="s">
        <v>17</v>
      </c>
      <c r="S33" s="773">
        <f t="shared" si="12"/>
        <v>100</v>
      </c>
      <c r="T33" s="772" t="s">
        <v>17</v>
      </c>
      <c r="U33" s="773">
        <f t="shared" si="13"/>
        <v>100</v>
      </c>
      <c r="V33" s="772" t="s">
        <v>17</v>
      </c>
      <c r="W33" s="773">
        <f t="shared" si="14"/>
        <v>100</v>
      </c>
      <c r="X33" s="1803"/>
      <c r="Y33" s="3195" t="s">
        <v>2564</v>
      </c>
      <c r="Z33" s="1804" t="str">
        <f t="shared" si="15"/>
        <v>建筑类型</v>
      </c>
      <c r="AA33" s="1801">
        <f t="shared" si="3"/>
        <v>1</v>
      </c>
      <c r="AB33" s="1801">
        <f t="shared" si="4"/>
        <v>1</v>
      </c>
      <c r="AC33" s="266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193"/>
      <c r="Q34" s="774" t="str">
        <f t="shared" si="11"/>
        <v>项目建筑规模</v>
      </c>
      <c r="R34" s="775" t="s">
        <v>17</v>
      </c>
      <c r="S34" s="776" t="e">
        <f t="shared" si="12"/>
        <v>#N/A</v>
      </c>
      <c r="T34" s="775" t="s">
        <v>17</v>
      </c>
      <c r="U34" s="776" t="e">
        <f t="shared" si="13"/>
        <v>#N/A</v>
      </c>
      <c r="V34" s="775" t="s">
        <v>17</v>
      </c>
      <c r="W34" s="776" t="e">
        <f t="shared" si="14"/>
        <v>#N/A</v>
      </c>
      <c r="X34" s="777"/>
      <c r="Y34" s="3195"/>
      <c r="Z34" s="778" t="str">
        <f t="shared" si="15"/>
        <v>项目建筑规模</v>
      </c>
      <c r="AA34" s="1801" t="e">
        <f t="shared" si="3"/>
        <v>#N/A</v>
      </c>
      <c r="AB34" s="1801" t="e">
        <f t="shared" si="4"/>
        <v>#N/A</v>
      </c>
      <c r="AC34" s="266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193"/>
      <c r="Q35" s="1800" t="str">
        <f t="shared" si="11"/>
        <v>建筑结构</v>
      </c>
      <c r="R35" s="772" t="s">
        <v>17</v>
      </c>
      <c r="S35" s="773">
        <f t="shared" si="12"/>
        <v>100</v>
      </c>
      <c r="T35" s="772" t="s">
        <v>17</v>
      </c>
      <c r="U35" s="773">
        <f t="shared" si="13"/>
        <v>100</v>
      </c>
      <c r="V35" s="772" t="s">
        <v>17</v>
      </c>
      <c r="W35" s="773">
        <f t="shared" si="14"/>
        <v>100</v>
      </c>
      <c r="X35" s="1803"/>
      <c r="Y35" s="3195"/>
      <c r="Z35" s="1804" t="str">
        <f t="shared" si="15"/>
        <v>建筑结构</v>
      </c>
      <c r="AA35" s="1801">
        <f t="shared" si="3"/>
        <v>1</v>
      </c>
      <c r="AB35" s="1801">
        <f t="shared" si="4"/>
        <v>1</v>
      </c>
      <c r="AC35" s="266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193"/>
      <c r="Q36" s="1800" t="str">
        <f t="shared" si="11"/>
        <v>公共部分装修</v>
      </c>
      <c r="R36" s="772" t="s">
        <v>17</v>
      </c>
      <c r="S36" s="773">
        <f t="shared" si="12"/>
        <v>100</v>
      </c>
      <c r="T36" s="772" t="s">
        <v>17</v>
      </c>
      <c r="U36" s="773">
        <f t="shared" si="13"/>
        <v>100</v>
      </c>
      <c r="V36" s="772" t="s">
        <v>17</v>
      </c>
      <c r="W36" s="773">
        <f t="shared" si="14"/>
        <v>100</v>
      </c>
      <c r="X36" s="1803"/>
      <c r="Y36" s="3195"/>
      <c r="Z36" s="1804" t="str">
        <f t="shared" si="15"/>
        <v>公共部分装修</v>
      </c>
      <c r="AA36" s="1801">
        <f t="shared" si="3"/>
        <v>1</v>
      </c>
      <c r="AB36" s="1801">
        <f t="shared" si="4"/>
        <v>1</v>
      </c>
      <c r="AC36" s="266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193"/>
      <c r="Q37" s="1800" t="str">
        <f t="shared" si="11"/>
        <v>成新度</v>
      </c>
      <c r="R37" s="772" t="s">
        <v>17</v>
      </c>
      <c r="S37" s="773" t="e">
        <f t="shared" si="12"/>
        <v>#N/A</v>
      </c>
      <c r="T37" s="772" t="s">
        <v>17</v>
      </c>
      <c r="U37" s="773" t="e">
        <f t="shared" si="13"/>
        <v>#N/A</v>
      </c>
      <c r="V37" s="772" t="s">
        <v>17</v>
      </c>
      <c r="W37" s="773" t="e">
        <f t="shared" si="14"/>
        <v>#N/A</v>
      </c>
      <c r="X37" s="1803"/>
      <c r="Y37" s="3195"/>
      <c r="Z37" s="1804" t="str">
        <f t="shared" si="15"/>
        <v>成新度</v>
      </c>
      <c r="AA37" s="1801" t="e">
        <f t="shared" si="3"/>
        <v>#N/A</v>
      </c>
      <c r="AB37" s="1801" t="e">
        <f t="shared" si="4"/>
        <v>#N/A</v>
      </c>
      <c r="AC37" s="2666"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193"/>
      <c r="Q38" s="1785" t="str">
        <f t="shared" si="11"/>
        <v>写字楼等级</v>
      </c>
      <c r="R38" s="768" t="s">
        <v>17</v>
      </c>
      <c r="S38" s="769">
        <f t="shared" si="12"/>
        <v>100</v>
      </c>
      <c r="T38" s="768" t="s">
        <v>17</v>
      </c>
      <c r="U38" s="769">
        <f t="shared" si="13"/>
        <v>100</v>
      </c>
      <c r="V38" s="768" t="s">
        <v>17</v>
      </c>
      <c r="W38" s="769">
        <f t="shared" si="14"/>
        <v>100</v>
      </c>
      <c r="X38" s="770"/>
      <c r="Y38" s="3195"/>
      <c r="Z38" s="55" t="str">
        <f t="shared" si="15"/>
        <v>写字楼等级</v>
      </c>
      <c r="AA38" s="771">
        <f t="shared" si="3"/>
        <v>1</v>
      </c>
      <c r="AB38" s="771">
        <f t="shared" si="4"/>
        <v>1</v>
      </c>
      <c r="AC38" s="266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193" t="s">
        <v>2564</v>
      </c>
      <c r="Q39" s="1800" t="str">
        <f t="shared" si="11"/>
        <v>物业管理</v>
      </c>
      <c r="R39" s="772" t="s">
        <v>17</v>
      </c>
      <c r="S39" s="773">
        <f t="shared" si="12"/>
        <v>100</v>
      </c>
      <c r="T39" s="772" t="s">
        <v>17</v>
      </c>
      <c r="U39" s="773">
        <f t="shared" si="13"/>
        <v>100</v>
      </c>
      <c r="V39" s="772" t="s">
        <v>17</v>
      </c>
      <c r="W39" s="773">
        <f t="shared" si="14"/>
        <v>100</v>
      </c>
      <c r="X39" s="1803"/>
      <c r="Y39" s="3195" t="s">
        <v>2564</v>
      </c>
      <c r="Z39" s="1804" t="str">
        <f t="shared" si="15"/>
        <v>物业管理</v>
      </c>
      <c r="AA39" s="1801">
        <f t="shared" si="3"/>
        <v>1</v>
      </c>
      <c r="AB39" s="1801">
        <f t="shared" si="4"/>
        <v>1</v>
      </c>
      <c r="AC39" s="266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193"/>
      <c r="Q40" s="1800" t="str">
        <f t="shared" si="11"/>
        <v>市政基础设施</v>
      </c>
      <c r="R40" s="772" t="s">
        <v>17</v>
      </c>
      <c r="S40" s="773">
        <f t="shared" si="12"/>
        <v>100</v>
      </c>
      <c r="T40" s="772" t="s">
        <v>17</v>
      </c>
      <c r="U40" s="773">
        <f t="shared" si="13"/>
        <v>100</v>
      </c>
      <c r="V40" s="772" t="s">
        <v>17</v>
      </c>
      <c r="W40" s="773">
        <f t="shared" si="14"/>
        <v>100</v>
      </c>
      <c r="X40" s="1803"/>
      <c r="Y40" s="3195"/>
      <c r="Z40" s="1804" t="str">
        <f t="shared" si="15"/>
        <v>市政基础设施</v>
      </c>
      <c r="AA40" s="1801">
        <f t="shared" si="3"/>
        <v>1</v>
      </c>
      <c r="AB40" s="1801">
        <f t="shared" si="4"/>
        <v>1</v>
      </c>
      <c r="AC40" s="266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193"/>
      <c r="Q41" s="1800" t="str">
        <f t="shared" si="11"/>
        <v>层高</v>
      </c>
      <c r="R41" s="772" t="s">
        <v>17</v>
      </c>
      <c r="S41" s="773">
        <f t="shared" si="12"/>
        <v>100</v>
      </c>
      <c r="T41" s="772" t="s">
        <v>17</v>
      </c>
      <c r="U41" s="773">
        <f t="shared" si="13"/>
        <v>100</v>
      </c>
      <c r="V41" s="772" t="s">
        <v>17</v>
      </c>
      <c r="W41" s="773">
        <f t="shared" si="14"/>
        <v>100</v>
      </c>
      <c r="X41" s="1803"/>
      <c r="Y41" s="3195"/>
      <c r="Z41" s="1804" t="str">
        <f t="shared" si="15"/>
        <v>层高</v>
      </c>
      <c r="AA41" s="1801">
        <f t="shared" si="3"/>
        <v>1</v>
      </c>
      <c r="AB41" s="1801">
        <f t="shared" si="4"/>
        <v>1</v>
      </c>
      <c r="AC41" s="2666">
        <f t="shared" si="5"/>
        <v>1</v>
      </c>
    </row>
    <row r="42" spans="1:29" s="470" customFormat="1" ht="15">
      <c r="A42" s="467"/>
      <c r="B42" s="1802"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193"/>
      <c r="Q42" s="774" t="str">
        <f t="shared" si="11"/>
        <v>单套建筑面积</v>
      </c>
      <c r="R42" s="775" t="s">
        <v>17</v>
      </c>
      <c r="S42" s="776">
        <f t="shared" si="12"/>
        <v>100</v>
      </c>
      <c r="T42" s="775" t="s">
        <v>17</v>
      </c>
      <c r="U42" s="776">
        <f t="shared" si="13"/>
        <v>100</v>
      </c>
      <c r="V42" s="775" t="s">
        <v>17</v>
      </c>
      <c r="W42" s="776">
        <f t="shared" si="14"/>
        <v>100</v>
      </c>
      <c r="X42" s="777"/>
      <c r="Y42" s="3195"/>
      <c r="Z42" s="778" t="str">
        <f t="shared" si="15"/>
        <v>单套建筑面积</v>
      </c>
      <c r="AA42" s="1801">
        <f t="shared" si="3"/>
        <v>1</v>
      </c>
      <c r="AB42" s="1801">
        <f t="shared" si="4"/>
        <v>1</v>
      </c>
      <c r="AC42" s="266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193"/>
      <c r="Q43" s="1800" t="str">
        <f t="shared" si="11"/>
        <v>内部装修</v>
      </c>
      <c r="R43" s="772" t="s">
        <v>17</v>
      </c>
      <c r="S43" s="773">
        <f t="shared" si="12"/>
        <v>100</v>
      </c>
      <c r="T43" s="772" t="s">
        <v>17</v>
      </c>
      <c r="U43" s="773">
        <f t="shared" si="13"/>
        <v>100</v>
      </c>
      <c r="V43" s="772" t="s">
        <v>17</v>
      </c>
      <c r="W43" s="773">
        <f t="shared" si="14"/>
        <v>100</v>
      </c>
      <c r="X43" s="1803"/>
      <c r="Y43" s="3195"/>
      <c r="Z43" s="1804" t="str">
        <f t="shared" si="15"/>
        <v>内部装修</v>
      </c>
      <c r="AA43" s="1801">
        <f t="shared" si="3"/>
        <v>1</v>
      </c>
      <c r="AB43" s="1801">
        <f t="shared" si="4"/>
        <v>1</v>
      </c>
      <c r="AC43" s="2666">
        <f t="shared" si="5"/>
        <v>1</v>
      </c>
    </row>
    <row r="44" spans="1:29" ht="15">
      <c r="A44" s="471"/>
      <c r="B44" s="421" t="s">
        <v>2575</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193"/>
      <c r="Q44" s="1800" t="str">
        <f t="shared" si="11"/>
        <v>内部装修维护情况</v>
      </c>
      <c r="R44" s="772" t="s">
        <v>17</v>
      </c>
      <c r="S44" s="773">
        <f t="shared" si="12"/>
        <v>100</v>
      </c>
      <c r="T44" s="772" t="s">
        <v>17</v>
      </c>
      <c r="U44" s="773">
        <f t="shared" si="13"/>
        <v>100</v>
      </c>
      <c r="V44" s="772" t="s">
        <v>17</v>
      </c>
      <c r="W44" s="773">
        <f t="shared" si="14"/>
        <v>100</v>
      </c>
      <c r="X44" s="1803"/>
      <c r="Y44" s="3195"/>
      <c r="Z44" s="1804" t="str">
        <f t="shared" si="15"/>
        <v>内部装修维护情况</v>
      </c>
      <c r="AA44" s="1801">
        <f t="shared" si="3"/>
        <v>1</v>
      </c>
      <c r="AB44" s="1801">
        <f t="shared" si="4"/>
        <v>1</v>
      </c>
      <c r="AC44" s="2666">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193"/>
      <c r="Q45" s="1785">
        <f t="shared" si="11"/>
        <v>111</v>
      </c>
      <c r="R45" s="768" t="s">
        <v>17</v>
      </c>
      <c r="S45" s="769">
        <f t="shared" si="12"/>
        <v>100</v>
      </c>
      <c r="T45" s="768" t="s">
        <v>17</v>
      </c>
      <c r="U45" s="769">
        <f t="shared" si="13"/>
        <v>100</v>
      </c>
      <c r="V45" s="768" t="s">
        <v>17</v>
      </c>
      <c r="W45" s="769">
        <f t="shared" si="14"/>
        <v>100</v>
      </c>
      <c r="X45" s="770"/>
      <c r="Y45" s="3195"/>
      <c r="Z45" s="55">
        <f t="shared" si="15"/>
        <v>111</v>
      </c>
      <c r="AA45" s="771">
        <f t="shared" si="3"/>
        <v>1</v>
      </c>
      <c r="AB45" s="771">
        <f t="shared" si="4"/>
        <v>1</v>
      </c>
      <c r="AC45" s="266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193"/>
      <c r="Q46" s="1800">
        <f t="shared" si="11"/>
        <v>111</v>
      </c>
      <c r="R46" s="772" t="s">
        <v>17</v>
      </c>
      <c r="S46" s="773">
        <f t="shared" si="12"/>
        <v>100</v>
      </c>
      <c r="T46" s="772" t="s">
        <v>17</v>
      </c>
      <c r="U46" s="773">
        <f t="shared" si="13"/>
        <v>100</v>
      </c>
      <c r="V46" s="772" t="s">
        <v>17</v>
      </c>
      <c r="W46" s="773">
        <f t="shared" si="14"/>
        <v>100</v>
      </c>
      <c r="X46" s="1803"/>
      <c r="Y46" s="3195"/>
      <c r="Z46" s="1804">
        <f t="shared" si="15"/>
        <v>111</v>
      </c>
      <c r="AA46" s="1801">
        <f t="shared" si="3"/>
        <v>1</v>
      </c>
      <c r="AB46" s="1801">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194"/>
      <c r="Q47" s="1800">
        <f t="shared" si="11"/>
        <v>111</v>
      </c>
      <c r="R47" s="772" t="s">
        <v>17</v>
      </c>
      <c r="S47" s="773">
        <f t="shared" si="12"/>
        <v>100</v>
      </c>
      <c r="T47" s="772" t="s">
        <v>17</v>
      </c>
      <c r="U47" s="773">
        <f t="shared" si="13"/>
        <v>100</v>
      </c>
      <c r="V47" s="772" t="s">
        <v>17</v>
      </c>
      <c r="W47" s="773">
        <f t="shared" si="14"/>
        <v>100</v>
      </c>
      <c r="X47" s="1803"/>
      <c r="Y47" s="3196"/>
      <c r="Z47" s="1804">
        <f t="shared" si="15"/>
        <v>111</v>
      </c>
      <c r="AA47" s="1801">
        <f t="shared" si="3"/>
        <v>1</v>
      </c>
      <c r="AB47" s="1801">
        <f t="shared" si="4"/>
        <v>1</v>
      </c>
      <c r="AC47" s="2666">
        <f t="shared" si="5"/>
        <v>1</v>
      </c>
    </row>
    <row r="48" spans="1:29" ht="15">
      <c r="A48" s="478" t="s">
        <v>2576</v>
      </c>
      <c r="B48" s="479"/>
      <c r="C48" s="1405" t="s">
        <v>1</v>
      </c>
      <c r="D48" s="1406"/>
      <c r="E48" s="1407"/>
      <c r="F48" s="1408"/>
      <c r="G48" s="1409"/>
      <c r="H48" s="1410"/>
      <c r="I48" s="1407"/>
      <c r="J48" s="484"/>
      <c r="K48" s="781"/>
      <c r="L48" s="1141"/>
      <c r="M48" s="1129"/>
      <c r="N48" s="1129"/>
      <c r="O48" s="1129"/>
      <c r="P48" s="3199" t="str">
        <f>A48</f>
        <v>成交单价（元/平方米）</v>
      </c>
      <c r="Q48" s="3188"/>
      <c r="R48" s="3189">
        <f>E48</f>
        <v>0</v>
      </c>
      <c r="S48" s="3189"/>
      <c r="T48" s="3189">
        <f>G48</f>
        <v>0</v>
      </c>
      <c r="U48" s="3189"/>
      <c r="V48" s="3189">
        <f>I48</f>
        <v>0</v>
      </c>
      <c r="W48" s="3189"/>
      <c r="X48" s="445"/>
      <c r="Y48" s="779"/>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2"/>
      <c r="L49" s="1141"/>
      <c r="M49" s="1129"/>
      <c r="N49" s="1129"/>
      <c r="O49" s="1129"/>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3"/>
      <c r="L50" s="1141"/>
      <c r="M50" s="1129"/>
      <c r="N50" s="1129"/>
      <c r="O50" s="1129"/>
      <c r="P50" s="3231" t="str">
        <f>A50</f>
        <v>估价对象XX用房的比较价值（楼面单价，元/平方米）</v>
      </c>
      <c r="Q50" s="3232"/>
      <c r="R50" s="3233" t="e">
        <f>IF(F1="售价",ROUND(AVERAGE(R49:V49),0),ROUND(AVERAGE(R49:V49),1))</f>
        <v>#DIV/0!</v>
      </c>
      <c r="S50" s="3233"/>
      <c r="T50" s="3233"/>
      <c r="U50" s="3233"/>
      <c r="V50" s="3233"/>
      <c r="W50" s="3233"/>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2"/>
    </row>
    <row r="56" spans="1:29" s="501"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61" t="s">
        <v>2673</v>
      </c>
      <c r="B58" s="757"/>
      <c r="C58" s="762"/>
      <c r="D58" s="762"/>
      <c r="E58" s="762"/>
      <c r="F58" s="763"/>
      <c r="G58" s="763"/>
      <c r="H58" s="762"/>
      <c r="I58" s="762"/>
      <c r="J58" s="762"/>
      <c r="K58" s="764"/>
      <c r="L58" s="1159"/>
      <c r="M58" s="1157"/>
      <c r="N58" s="1157"/>
      <c r="O58" s="1157"/>
      <c r="P58" s="2673"/>
      <c r="Q58" s="503"/>
    </row>
    <row r="59" spans="1:29" s="507" customFormat="1" ht="15">
      <c r="A59" s="504" t="s">
        <v>2547</v>
      </c>
      <c r="B59" s="505"/>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8"/>
      <c r="B60" s="509"/>
      <c r="C60" s="1571">
        <v>100</v>
      </c>
      <c r="D60" s="511"/>
      <c r="E60" s="511"/>
      <c r="F60" s="511"/>
      <c r="G60" s="511"/>
      <c r="H60" s="511"/>
      <c r="I60" s="511"/>
      <c r="J60" s="511"/>
      <c r="K60" s="511"/>
      <c r="L60" s="511"/>
      <c r="M60" s="512"/>
      <c r="N60" s="511"/>
      <c r="O60" s="512"/>
      <c r="P60" s="2674"/>
    </row>
    <row r="61" spans="1:29" s="117" customFormat="1" ht="15.75" thickBot="1">
      <c r="A61" s="514" t="s">
        <v>2584</v>
      </c>
      <c r="B61" s="515"/>
      <c r="C61" s="516"/>
      <c r="D61" s="517"/>
      <c r="E61" s="517"/>
      <c r="F61" s="517"/>
      <c r="G61" s="517"/>
      <c r="H61" s="517"/>
      <c r="I61" s="517"/>
      <c r="J61" s="517"/>
      <c r="K61" s="517"/>
      <c r="L61" s="517"/>
      <c r="M61" s="518"/>
      <c r="N61" s="517"/>
      <c r="O61" s="518"/>
      <c r="P61" s="2674"/>
      <c r="Q61" s="503"/>
    </row>
    <row r="62" spans="1:29" s="117" customFormat="1" ht="15">
      <c r="A62" s="520" t="s">
        <v>2549</v>
      </c>
      <c r="B62" s="509"/>
      <c r="C62" s="521" t="s">
        <v>2651</v>
      </c>
      <c r="D62" s="522"/>
      <c r="E62" s="522"/>
      <c r="F62" s="522"/>
      <c r="G62" s="522"/>
      <c r="H62" s="522"/>
      <c r="I62" s="522"/>
      <c r="J62" s="522"/>
      <c r="K62" s="522"/>
      <c r="L62" s="523"/>
      <c r="M62" s="524"/>
      <c r="N62" s="1149"/>
      <c r="O62" s="1149"/>
      <c r="P62" s="2675"/>
      <c r="Q62" s="503"/>
    </row>
    <row r="63" spans="1:29" s="117" customFormat="1" ht="15.75" thickBot="1">
      <c r="A63" s="520"/>
      <c r="B63" s="509"/>
      <c r="C63" s="510">
        <v>100</v>
      </c>
      <c r="D63" s="511"/>
      <c r="E63" s="511"/>
      <c r="F63" s="511"/>
      <c r="G63" s="511"/>
      <c r="H63" s="511"/>
      <c r="I63" s="511"/>
      <c r="J63" s="511"/>
      <c r="K63" s="511"/>
      <c r="L63" s="511"/>
      <c r="M63" s="513"/>
      <c r="N63" s="1149"/>
      <c r="O63" s="1149"/>
      <c r="P63" s="2674"/>
      <c r="Q63" s="503"/>
    </row>
    <row r="64" spans="1:29">
      <c r="A64" s="526" t="s">
        <v>2587</v>
      </c>
      <c r="B64" s="527" t="s">
        <v>2553</v>
      </c>
      <c r="C64" s="528">
        <f>C9</f>
        <v>0</v>
      </c>
      <c r="D64" s="529"/>
      <c r="E64" s="529"/>
      <c r="F64" s="529"/>
      <c r="G64" s="529"/>
      <c r="H64" s="529"/>
      <c r="I64" s="529"/>
      <c r="J64" s="529"/>
      <c r="K64" s="530"/>
      <c r="L64" s="531"/>
      <c r="M64" s="532"/>
      <c r="N64" s="1150"/>
      <c r="O64" s="1150"/>
      <c r="P64" s="2676"/>
      <c r="Q64" s="503"/>
    </row>
    <row r="65" spans="1:17" ht="15.75" thickBot="1">
      <c r="A65" s="533"/>
      <c r="B65" s="534"/>
      <c r="C65" s="535">
        <v>100</v>
      </c>
      <c r="D65" s="535"/>
      <c r="E65" s="535"/>
      <c r="F65" s="535"/>
      <c r="G65" s="535"/>
      <c r="H65" s="535"/>
      <c r="I65" s="535"/>
      <c r="J65" s="535"/>
      <c r="K65" s="535"/>
      <c r="L65" s="535"/>
      <c r="M65" s="536"/>
      <c r="N65" s="1151"/>
      <c r="O65" s="1151"/>
      <c r="P65" s="267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6"/>
      <c r="Q68" s="503"/>
    </row>
    <row r="69" spans="1:17" ht="15">
      <c r="A69" s="533"/>
      <c r="B69" s="547"/>
      <c r="C69" s="548"/>
      <c r="D69" s="548"/>
      <c r="E69" s="548"/>
      <c r="F69" s="548"/>
      <c r="G69" s="548"/>
      <c r="H69" s="548"/>
      <c r="I69" s="548"/>
      <c r="J69" s="548"/>
      <c r="K69" s="549"/>
      <c r="L69" s="550"/>
      <c r="M69" s="551"/>
      <c r="N69" s="1150"/>
      <c r="O69" s="1150"/>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6"/>
      <c r="Q70" s="503"/>
    </row>
    <row r="71" spans="1:17" s="470" customFormat="1" ht="15.75" thickTop="1">
      <c r="A71" s="552"/>
      <c r="B71" s="537">
        <f>B12</f>
        <v>111</v>
      </c>
      <c r="C71" s="553"/>
      <c r="D71" s="553"/>
      <c r="E71" s="553"/>
      <c r="F71" s="553"/>
      <c r="G71" s="553"/>
      <c r="H71" s="554"/>
      <c r="I71" s="554"/>
      <c r="J71" s="554"/>
      <c r="K71" s="554"/>
      <c r="L71" s="555"/>
      <c r="M71" s="556"/>
      <c r="N71" s="1152"/>
      <c r="O71" s="1152"/>
      <c r="P71" s="2677"/>
      <c r="Q71" s="558"/>
    </row>
    <row r="72" spans="1:17" s="470" customFormat="1" ht="15.75" thickBot="1">
      <c r="A72" s="552"/>
      <c r="B72" s="542"/>
      <c r="C72" s="559"/>
      <c r="D72" s="535"/>
      <c r="E72" s="535"/>
      <c r="F72" s="535"/>
      <c r="G72" s="535"/>
      <c r="H72" s="535"/>
      <c r="I72" s="535"/>
      <c r="J72" s="535"/>
      <c r="K72" s="535"/>
      <c r="L72" s="535"/>
      <c r="M72" s="536"/>
      <c r="N72" s="1151"/>
      <c r="O72" s="1151"/>
      <c r="P72" s="2677"/>
      <c r="Q72" s="558"/>
    </row>
    <row r="73" spans="1:17" s="470" customFormat="1" ht="15.75" thickTop="1">
      <c r="A73" s="552"/>
      <c r="B73" s="537">
        <f>B13</f>
        <v>111</v>
      </c>
      <c r="C73" s="553"/>
      <c r="D73" s="553"/>
      <c r="E73" s="553"/>
      <c r="F73" s="553"/>
      <c r="G73" s="553"/>
      <c r="H73" s="554"/>
      <c r="I73" s="554"/>
      <c r="J73" s="554"/>
      <c r="K73" s="554"/>
      <c r="L73" s="555"/>
      <c r="M73" s="556"/>
      <c r="N73" s="1152"/>
      <c r="O73" s="1152"/>
      <c r="P73" s="2678"/>
      <c r="Q73" s="560"/>
    </row>
    <row r="74" spans="1:17" s="470" customFormat="1" ht="15.75" thickBot="1">
      <c r="A74" s="552"/>
      <c r="B74" s="542"/>
      <c r="C74" s="559"/>
      <c r="D74" s="559"/>
      <c r="E74" s="559"/>
      <c r="F74" s="559"/>
      <c r="G74" s="559"/>
      <c r="H74" s="561"/>
      <c r="I74" s="561"/>
      <c r="J74" s="561"/>
      <c r="K74" s="561"/>
      <c r="L74" s="561"/>
      <c r="M74" s="562"/>
      <c r="N74" s="1152"/>
      <c r="O74" s="1152"/>
      <c r="P74" s="2677"/>
      <c r="Q74" s="558"/>
    </row>
    <row r="75" spans="1:17" s="470" customFormat="1" ht="15.75" thickTop="1">
      <c r="A75" s="552"/>
      <c r="B75" s="545">
        <f>B14</f>
        <v>111</v>
      </c>
      <c r="C75" s="522"/>
      <c r="D75" s="522"/>
      <c r="E75" s="522"/>
      <c r="F75" s="522"/>
      <c r="G75" s="522"/>
      <c r="H75" s="563"/>
      <c r="I75" s="563"/>
      <c r="J75" s="563"/>
      <c r="K75" s="563"/>
      <c r="L75" s="564"/>
      <c r="M75" s="565"/>
      <c r="N75" s="1152"/>
      <c r="O75" s="1152"/>
      <c r="P75" s="2679"/>
      <c r="Q75" s="558"/>
    </row>
    <row r="76" spans="1:17" s="470" customFormat="1" ht="15.75" thickBot="1">
      <c r="A76" s="567"/>
      <c r="B76" s="568"/>
      <c r="C76" s="569"/>
      <c r="D76" s="569"/>
      <c r="E76" s="569"/>
      <c r="F76" s="569"/>
      <c r="G76" s="569"/>
      <c r="H76" s="570"/>
      <c r="I76" s="570"/>
      <c r="J76" s="570"/>
      <c r="K76" s="570"/>
      <c r="L76" s="570"/>
      <c r="M76" s="571"/>
      <c r="N76" s="1152"/>
      <c r="O76" s="1152"/>
      <c r="P76" s="267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6"/>
      <c r="Q82" s="503"/>
    </row>
    <row r="83" spans="1:17" ht="15.75" thickTop="1">
      <c r="A83" s="533"/>
      <c r="B83" s="545" t="s">
        <v>2688</v>
      </c>
      <c r="C83" s="659" t="s">
        <v>2674</v>
      </c>
      <c r="D83" s="659" t="s">
        <v>2675</v>
      </c>
      <c r="E83" s="659" t="s">
        <v>2676</v>
      </c>
      <c r="F83" s="659" t="s">
        <v>2677</v>
      </c>
      <c r="G83" s="659" t="s">
        <v>2678</v>
      </c>
      <c r="H83" s="538"/>
      <c r="I83" s="538"/>
      <c r="J83" s="538"/>
      <c r="K83" s="538"/>
      <c r="L83" s="538"/>
      <c r="M83" s="1380"/>
      <c r="N83" s="1151"/>
      <c r="O83" s="1151"/>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6"/>
      <c r="Q86" s="503"/>
    </row>
    <row r="87" spans="1:17" s="117" customFormat="1" ht="27.75" thickTop="1">
      <c r="A87" s="578"/>
      <c r="B87" s="537" t="s">
        <v>2698</v>
      </c>
      <c r="C87" s="553"/>
      <c r="D87" s="553"/>
      <c r="E87" s="553"/>
      <c r="F87" s="553"/>
      <c r="G87" s="553"/>
      <c r="H87" s="553"/>
      <c r="I87" s="553"/>
      <c r="J87" s="553"/>
      <c r="K87" s="553"/>
      <c r="L87" s="579"/>
      <c r="M87" s="580"/>
      <c r="N87" s="1149"/>
      <c r="O87" s="1149"/>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6"/>
      <c r="Q88" s="503"/>
    </row>
    <row r="89" spans="1:17" s="117" customFormat="1" ht="15.75" thickTop="1">
      <c r="A89" s="578"/>
      <c r="B89" s="537" t="str">
        <f>B27</f>
        <v>楼层</v>
      </c>
      <c r="C89" s="553"/>
      <c r="D89" s="553"/>
      <c r="E89" s="553"/>
      <c r="F89" s="2627"/>
      <c r="G89" s="553"/>
      <c r="H89" s="553"/>
      <c r="I89" s="553"/>
      <c r="J89" s="553"/>
      <c r="K89" s="553"/>
      <c r="L89" s="553"/>
      <c r="M89" s="580"/>
      <c r="N89" s="1149"/>
      <c r="O89" s="1149"/>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6"/>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7"/>
      <c r="Q92" s="558"/>
    </row>
    <row r="93" spans="1:17" ht="15.75" thickTop="1">
      <c r="A93" s="533"/>
      <c r="B93" s="537">
        <f>B29</f>
        <v>111</v>
      </c>
      <c r="C93" s="553"/>
      <c r="D93" s="553"/>
      <c r="E93" s="553"/>
      <c r="F93" s="553"/>
      <c r="G93" s="553"/>
      <c r="H93" s="553"/>
      <c r="I93" s="553"/>
      <c r="J93" s="553"/>
      <c r="K93" s="553"/>
      <c r="L93" s="579"/>
      <c r="M93" s="580"/>
      <c r="N93" s="1150"/>
      <c r="O93" s="1150"/>
      <c r="P93" s="2676"/>
      <c r="Q93" s="503"/>
    </row>
    <row r="94" spans="1:17" ht="15.75" thickBot="1">
      <c r="A94" s="533"/>
      <c r="B94" s="542"/>
      <c r="C94" s="559"/>
      <c r="D94" s="535"/>
      <c r="E94" s="535"/>
      <c r="F94" s="535"/>
      <c r="G94" s="535"/>
      <c r="H94" s="535"/>
      <c r="I94" s="535"/>
      <c r="J94" s="535"/>
      <c r="K94" s="535"/>
      <c r="L94" s="535"/>
      <c r="M94" s="536"/>
      <c r="N94" s="1151"/>
      <c r="O94" s="1151"/>
      <c r="P94" s="2676"/>
      <c r="Q94" s="503"/>
    </row>
    <row r="95" spans="1:17" ht="15.75" thickTop="1">
      <c r="A95" s="533"/>
      <c r="B95" s="537">
        <f>B30</f>
        <v>111</v>
      </c>
      <c r="C95" s="553"/>
      <c r="D95" s="553"/>
      <c r="E95" s="553"/>
      <c r="F95" s="553"/>
      <c r="G95" s="582"/>
      <c r="H95" s="582"/>
      <c r="I95" s="582"/>
      <c r="J95" s="582"/>
      <c r="K95" s="583"/>
      <c r="L95" s="584"/>
      <c r="M95" s="585"/>
      <c r="N95" s="1150"/>
      <c r="O95" s="1150"/>
      <c r="P95" s="2676"/>
      <c r="Q95" s="503"/>
    </row>
    <row r="96" spans="1:17" ht="15.75" thickBot="1">
      <c r="A96" s="533"/>
      <c r="B96" s="542"/>
      <c r="C96" s="559"/>
      <c r="D96" s="559"/>
      <c r="E96" s="559"/>
      <c r="F96" s="559"/>
      <c r="G96" s="535"/>
      <c r="H96" s="535"/>
      <c r="I96" s="535"/>
      <c r="J96" s="535"/>
      <c r="K96" s="535"/>
      <c r="L96" s="535"/>
      <c r="M96" s="536"/>
      <c r="N96" s="1151"/>
      <c r="O96" s="1151"/>
      <c r="P96" s="2676"/>
      <c r="Q96" s="503"/>
    </row>
    <row r="97" spans="1:17" ht="15.75" thickTop="1">
      <c r="A97" s="533"/>
      <c r="B97" s="537">
        <f>B31</f>
        <v>111</v>
      </c>
      <c r="C97" s="553"/>
      <c r="D97" s="553"/>
      <c r="E97" s="553"/>
      <c r="F97" s="553"/>
      <c r="G97" s="582"/>
      <c r="H97" s="582"/>
      <c r="I97" s="582"/>
      <c r="J97" s="582"/>
      <c r="K97" s="583"/>
      <c r="L97" s="584"/>
      <c r="M97" s="585"/>
      <c r="N97" s="1150"/>
      <c r="O97" s="1150"/>
      <c r="P97" s="2676"/>
      <c r="Q97" s="503"/>
    </row>
    <row r="98" spans="1:17" ht="15.75" thickBot="1">
      <c r="A98" s="533"/>
      <c r="B98" s="542"/>
      <c r="C98" s="559"/>
      <c r="D98" s="535"/>
      <c r="E98" s="535"/>
      <c r="F98" s="535"/>
      <c r="G98" s="535"/>
      <c r="H98" s="535"/>
      <c r="I98" s="535"/>
      <c r="J98" s="535"/>
      <c r="K98" s="535"/>
      <c r="L98" s="535"/>
      <c r="M98" s="536"/>
      <c r="N98" s="1151"/>
      <c r="O98" s="1151"/>
      <c r="P98" s="2676"/>
      <c r="Q98" s="503"/>
    </row>
    <row r="99" spans="1:17" ht="15.75" thickTop="1">
      <c r="A99" s="533"/>
      <c r="B99" s="545">
        <f>B32</f>
        <v>111</v>
      </c>
      <c r="C99" s="522"/>
      <c r="D99" s="522"/>
      <c r="E99" s="522"/>
      <c r="F99" s="522"/>
      <c r="G99" s="586"/>
      <c r="H99" s="586"/>
      <c r="I99" s="586"/>
      <c r="J99" s="586"/>
      <c r="K99" s="587"/>
      <c r="L99" s="588"/>
      <c r="M99" s="589"/>
      <c r="N99" s="1150"/>
      <c r="O99" s="1150"/>
      <c r="P99" s="2676"/>
      <c r="Q99" s="503"/>
    </row>
    <row r="100" spans="1:17" ht="15.75" thickBot="1">
      <c r="A100" s="2628"/>
      <c r="B100" s="568"/>
      <c r="C100" s="569"/>
      <c r="D100" s="569"/>
      <c r="E100" s="569"/>
      <c r="F100" s="569"/>
      <c r="G100" s="590"/>
      <c r="H100" s="590"/>
      <c r="I100" s="590"/>
      <c r="J100" s="590"/>
      <c r="K100" s="590"/>
      <c r="L100" s="590"/>
      <c r="M100" s="591"/>
      <c r="N100" s="1151"/>
      <c r="O100" s="1151"/>
      <c r="P100" s="2676"/>
      <c r="Q100" s="503"/>
    </row>
    <row r="101" spans="1:17">
      <c r="A101" s="526" t="s">
        <v>2562</v>
      </c>
      <c r="B101" s="527" t="s">
        <v>2611</v>
      </c>
      <c r="C101" s="529"/>
      <c r="D101" s="529"/>
      <c r="E101" s="529"/>
      <c r="F101" s="529"/>
      <c r="G101" s="529"/>
      <c r="H101" s="529"/>
      <c r="I101" s="529"/>
      <c r="J101" s="529"/>
      <c r="K101" s="530"/>
      <c r="L101" s="531"/>
      <c r="M101" s="532"/>
      <c r="N101" s="1150"/>
      <c r="O101" s="1150"/>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6"/>
      <c r="Q103" s="503"/>
    </row>
    <row r="104" spans="1:17" s="470" customFormat="1">
      <c r="A104" s="592"/>
      <c r="B104" s="593"/>
      <c r="C104" s="594"/>
      <c r="D104" s="594"/>
      <c r="E104" s="594"/>
      <c r="F104" s="594"/>
      <c r="G104" s="594"/>
      <c r="H104" s="594"/>
      <c r="I104" s="594"/>
      <c r="J104" s="595"/>
      <c r="K104" s="595"/>
      <c r="L104" s="596"/>
      <c r="M104" s="597"/>
      <c r="N104" s="1152"/>
      <c r="O104" s="1152"/>
      <c r="P104" s="2677"/>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7"/>
      <c r="Q105" s="558"/>
    </row>
    <row r="106" spans="1:17" ht="15" thickTop="1">
      <c r="A106" s="598"/>
      <c r="B106" s="537" t="s">
        <v>2613</v>
      </c>
      <c r="C106" s="553"/>
      <c r="D106" s="553"/>
      <c r="E106" s="582"/>
      <c r="F106" s="582"/>
      <c r="G106" s="582"/>
      <c r="H106" s="582"/>
      <c r="I106" s="582"/>
      <c r="J106" s="582"/>
      <c r="K106" s="583"/>
      <c r="L106" s="584"/>
      <c r="M106" s="585"/>
      <c r="N106" s="1150"/>
      <c r="O106" s="1150"/>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6"/>
      <c r="Q107" s="503"/>
    </row>
    <row r="108" spans="1:17" ht="15" thickTop="1">
      <c r="A108" s="598"/>
      <c r="B108" s="537" t="s">
        <v>2615</v>
      </c>
      <c r="C108" s="553"/>
      <c r="D108" s="553"/>
      <c r="E108" s="553"/>
      <c r="F108" s="582"/>
      <c r="G108" s="582"/>
      <c r="H108" s="582"/>
      <c r="I108" s="582"/>
      <c r="J108" s="582"/>
      <c r="K108" s="583"/>
      <c r="L108" s="584"/>
      <c r="M108" s="585"/>
      <c r="N108" s="1150"/>
      <c r="O108" s="1150"/>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6"/>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6"/>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7"/>
      <c r="Q114" s="558"/>
    </row>
    <row r="115" spans="1:17" ht="15" thickTop="1">
      <c r="A115" s="598"/>
      <c r="B115" s="537" t="s">
        <v>2616</v>
      </c>
      <c r="C115" s="553"/>
      <c r="D115" s="553"/>
      <c r="E115" s="582"/>
      <c r="F115" s="582"/>
      <c r="G115" s="582"/>
      <c r="H115" s="582"/>
      <c r="I115" s="582"/>
      <c r="J115" s="582"/>
      <c r="K115" s="583"/>
      <c r="L115" s="584"/>
      <c r="M115" s="585"/>
      <c r="N115" s="1150"/>
      <c r="O115" s="1150"/>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6"/>
      <c r="Q116" s="503"/>
    </row>
    <row r="117" spans="1:17" ht="15" thickTop="1">
      <c r="A117" s="598"/>
      <c r="B117" s="537" t="s">
        <v>2617</v>
      </c>
      <c r="C117" s="553"/>
      <c r="D117" s="553"/>
      <c r="E117" s="553"/>
      <c r="F117" s="553"/>
      <c r="G117" s="553"/>
      <c r="H117" s="582"/>
      <c r="I117" s="582"/>
      <c r="J117" s="582"/>
      <c r="K117" s="583"/>
      <c r="L117" s="584"/>
      <c r="M117" s="585"/>
      <c r="N117" s="1150"/>
      <c r="O117" s="1150"/>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6"/>
      <c r="Q118" s="503"/>
    </row>
    <row r="119" spans="1:17" ht="15" thickTop="1">
      <c r="A119" s="598"/>
      <c r="B119" s="635" t="s">
        <v>2700</v>
      </c>
      <c r="C119" s="582"/>
      <c r="D119" s="582"/>
      <c r="E119" s="582"/>
      <c r="F119" s="582"/>
      <c r="G119" s="582"/>
      <c r="H119" s="582"/>
      <c r="I119" s="582"/>
      <c r="J119" s="582"/>
      <c r="K119" s="582"/>
      <c r="L119" s="2681"/>
      <c r="M119" s="2682"/>
      <c r="N119" s="1151"/>
      <c r="O119" s="1151"/>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6"/>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77"/>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7"/>
      <c r="Q122" s="558"/>
    </row>
    <row r="123" spans="1:17" ht="15" thickTop="1">
      <c r="A123" s="598"/>
      <c r="B123" s="537" t="s">
        <v>2619</v>
      </c>
      <c r="C123" s="553"/>
      <c r="D123" s="553"/>
      <c r="E123" s="553"/>
      <c r="F123" s="582"/>
      <c r="G123" s="582"/>
      <c r="H123" s="582"/>
      <c r="I123" s="582"/>
      <c r="J123" s="582"/>
      <c r="K123" s="583"/>
      <c r="L123" s="584"/>
      <c r="M123" s="585"/>
      <c r="N123" s="1150"/>
      <c r="O123" s="1150"/>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7"/>
      <c r="Q128" s="558"/>
    </row>
    <row r="129" spans="1:17" ht="15" thickTop="1">
      <c r="A129" s="598"/>
      <c r="B129" s="537">
        <f>B46</f>
        <v>111</v>
      </c>
      <c r="C129" s="553"/>
      <c r="D129" s="553"/>
      <c r="E129" s="553"/>
      <c r="F129" s="553"/>
      <c r="G129" s="582"/>
      <c r="H129" s="582"/>
      <c r="I129" s="582"/>
      <c r="J129" s="582"/>
      <c r="K129" s="583"/>
      <c r="L129" s="584"/>
      <c r="M129" s="585"/>
      <c r="N129" s="1150"/>
      <c r="O129" s="1150"/>
      <c r="P129" s="2676"/>
      <c r="Q129" s="503"/>
    </row>
    <row r="130" spans="1:17" ht="15.75" thickBot="1">
      <c r="A130" s="533"/>
      <c r="B130" s="542"/>
      <c r="C130" s="559"/>
      <c r="D130" s="559"/>
      <c r="E130" s="559"/>
      <c r="F130" s="559"/>
      <c r="G130" s="535"/>
      <c r="H130" s="535"/>
      <c r="I130" s="535"/>
      <c r="J130" s="535"/>
      <c r="K130" s="535"/>
      <c r="L130" s="535"/>
      <c r="M130" s="536"/>
      <c r="N130" s="1151"/>
      <c r="O130" s="1151"/>
      <c r="P130" s="2676"/>
      <c r="Q130" s="503"/>
    </row>
    <row r="131" spans="1:17" ht="15" thickTop="1">
      <c r="A131" s="598"/>
      <c r="B131" s="545">
        <f>B47</f>
        <v>111</v>
      </c>
      <c r="C131" s="522"/>
      <c r="D131" s="522"/>
      <c r="E131" s="522"/>
      <c r="F131" s="522"/>
      <c r="G131" s="586"/>
      <c r="H131" s="586"/>
      <c r="I131" s="586"/>
      <c r="J131" s="586"/>
      <c r="K131" s="522"/>
      <c r="L131" s="523"/>
      <c r="M131" s="589"/>
      <c r="N131" s="1150"/>
      <c r="O131" s="1150"/>
      <c r="P131" s="2676"/>
      <c r="Q131" s="503"/>
    </row>
    <row r="132" spans="1:17" ht="15.75" thickBot="1">
      <c r="A132" s="2628"/>
      <c r="B132" s="568"/>
      <c r="C132" s="569"/>
      <c r="D132" s="569"/>
      <c r="E132" s="569"/>
      <c r="F132" s="569"/>
      <c r="G132" s="590"/>
      <c r="H132" s="590"/>
      <c r="I132" s="590"/>
      <c r="J132" s="590"/>
      <c r="K132" s="590"/>
      <c r="L132" s="590"/>
      <c r="M132" s="591"/>
      <c r="N132" s="1151"/>
      <c r="O132" s="1151"/>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0" sqref="J5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4"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1583</v>
      </c>
      <c r="B1" s="780"/>
      <c r="C1" s="1827" t="s">
        <v>3083</v>
      </c>
      <c r="D1" s="1810" t="s">
        <v>70</v>
      </c>
      <c r="E1" s="1811" t="s">
        <v>1381</v>
      </c>
      <c r="F1" s="1281">
        <f ca="1">J53</f>
        <v>33.049999999999997</v>
      </c>
      <c r="G1" s="1826">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1509</v>
      </c>
      <c r="B2" s="1834">
        <f ca="1">C40+J29+L46</f>
        <v>19239</v>
      </c>
      <c r="C2" s="1835" t="s">
        <v>1510</v>
      </c>
      <c r="D2" s="1835"/>
      <c r="E2" s="1836"/>
      <c r="F2" s="1837"/>
      <c r="G2" s="1838"/>
      <c r="H2" s="1830"/>
      <c r="I2" s="1830"/>
      <c r="J2" s="1830"/>
      <c r="K2" s="1831"/>
      <c r="L2" s="1830"/>
      <c r="M2" s="1830"/>
    </row>
    <row r="3" spans="1:37" ht="18" customHeight="1" thickBot="1">
      <c r="A3" s="1839" t="s">
        <v>1511</v>
      </c>
      <c r="B3" s="1840">
        <f ca="1">IF(ISERROR(B2*10000/F43),0,ROUND(B2*10000/F43,0))</f>
        <v>5208</v>
      </c>
      <c r="C3" s="1835" t="s">
        <v>1512</v>
      </c>
      <c r="D3" s="1835"/>
      <c r="E3" s="1836"/>
      <c r="F3" s="1837"/>
      <c r="G3" s="1838"/>
      <c r="H3" s="742" t="s">
        <v>1582</v>
      </c>
      <c r="I3" s="1830"/>
      <c r="J3" s="1830"/>
      <c r="K3" s="1831"/>
      <c r="L3" s="1830"/>
      <c r="M3" s="1830"/>
    </row>
    <row r="4" spans="1:37" ht="18" customHeight="1">
      <c r="A4" s="339" t="s">
        <v>1390</v>
      </c>
      <c r="B4" s="340" t="s">
        <v>1391</v>
      </c>
      <c r="C4" s="340" t="s">
        <v>1392</v>
      </c>
      <c r="D4" s="340" t="s">
        <v>1393</v>
      </c>
      <c r="E4" s="341" t="s">
        <v>1394</v>
      </c>
      <c r="F4" s="342"/>
      <c r="G4" s="1841"/>
      <c r="H4" s="339" t="s">
        <v>1390</v>
      </c>
      <c r="I4" s="340" t="s">
        <v>1391</v>
      </c>
      <c r="J4" s="340" t="s">
        <v>1392</v>
      </c>
      <c r="K4" s="340" t="s">
        <v>1393</v>
      </c>
      <c r="L4" s="341" t="s">
        <v>1394</v>
      </c>
      <c r="M4" s="342"/>
    </row>
    <row r="5" spans="1:37" ht="18" customHeight="1">
      <c r="A5" s="343">
        <v>1</v>
      </c>
      <c r="B5" s="344" t="s">
        <v>1395</v>
      </c>
      <c r="C5" s="1290">
        <f ca="1">C6+C10+C12</f>
        <v>1580</v>
      </c>
      <c r="D5" s="1812" t="s">
        <v>1396</v>
      </c>
      <c r="E5" s="1291"/>
      <c r="F5" s="1292"/>
      <c r="G5" s="1841"/>
      <c r="H5" s="343">
        <v>1</v>
      </c>
      <c r="I5" s="344" t="s">
        <v>1395</v>
      </c>
      <c r="J5" s="1290">
        <f ca="1">J6+J10+J12</f>
        <v>0</v>
      </c>
      <c r="K5" s="1812" t="s">
        <v>1396</v>
      </c>
      <c r="L5" s="1291"/>
      <c r="M5" s="1292"/>
    </row>
    <row r="6" spans="1:37" ht="18" customHeight="1">
      <c r="A6" s="1289" t="s">
        <v>1031</v>
      </c>
      <c r="B6" s="3160" t="s">
        <v>1397</v>
      </c>
      <c r="C6" s="1294">
        <f ca="1">ROUND(F6*F8*F7*(1-F9)/10000,0)</f>
        <v>1578</v>
      </c>
      <c r="D6" s="163" t="s">
        <v>3029</v>
      </c>
      <c r="E6" s="346" t="s">
        <v>1399</v>
      </c>
      <c r="F6" s="347">
        <f ca="1">INDIRECT("'数据-取费表'!u"&amp;$G$1)</f>
        <v>1.3</v>
      </c>
      <c r="G6" s="1841"/>
      <c r="H6" s="1289" t="s">
        <v>1031</v>
      </c>
      <c r="I6" s="3160" t="s">
        <v>1397</v>
      </c>
      <c r="J6" s="345">
        <f ca="1">ROUND(M6*M8*M7*(1-M9)/10000,0)</f>
        <v>0</v>
      </c>
      <c r="K6" s="163" t="s">
        <v>3028</v>
      </c>
      <c r="L6" s="346" t="s">
        <v>1399</v>
      </c>
      <c r="M6" s="347">
        <f ca="1">INDIRECT("'数据-取费表'!z"&amp;$G$1)</f>
        <v>0</v>
      </c>
    </row>
    <row r="7" spans="1:37" ht="18" customHeight="1">
      <c r="A7" s="1293"/>
      <c r="B7" s="3161"/>
      <c r="C7" s="1295"/>
      <c r="D7" s="351"/>
      <c r="E7" s="2961" t="s">
        <v>1400</v>
      </c>
      <c r="F7" s="347">
        <f ca="1">IF(INDIRECT("'数据-取费表'!ah"&amp;$G$1)="",INDIRECT("'数据-取费表'!k"&amp;$G$1),INDIRECT("'数据-取费表'!ah"&amp;$G$1))</f>
        <v>36939.72</v>
      </c>
      <c r="G7" s="1841"/>
      <c r="H7" s="348"/>
      <c r="I7" s="3161"/>
      <c r="J7" s="350"/>
      <c r="K7" s="351"/>
      <c r="L7" s="346" t="s">
        <v>1400</v>
      </c>
      <c r="M7" s="347">
        <f ca="1">F7</f>
        <v>36939.72</v>
      </c>
    </row>
    <row r="8" spans="1:37" ht="18" customHeight="1">
      <c r="A8" s="348"/>
      <c r="B8" s="3161"/>
      <c r="C8" s="350"/>
      <c r="D8" s="351"/>
      <c r="E8" s="346" t="s">
        <v>1401</v>
      </c>
      <c r="F8" s="347">
        <f ca="1">INDIRECT("'数据-取费表'!ai"&amp;$G$1)</f>
        <v>365</v>
      </c>
      <c r="G8" s="1841"/>
      <c r="H8" s="348"/>
      <c r="I8" s="3161"/>
      <c r="J8" s="350"/>
      <c r="K8" s="351"/>
      <c r="L8" s="346" t="s">
        <v>1401</v>
      </c>
      <c r="M8" s="347">
        <f ca="1">INDIRECT("'数据-取费表'!ai"&amp;$G$1)</f>
        <v>365</v>
      </c>
    </row>
    <row r="9" spans="1:37" ht="18" customHeight="1">
      <c r="A9" s="348"/>
      <c r="B9" s="3162"/>
      <c r="C9" s="350"/>
      <c r="D9" s="351"/>
      <c r="E9" s="346" t="s">
        <v>1402</v>
      </c>
      <c r="F9" s="356">
        <f ca="1">INDIRECT("'数据-取费表'!w"&amp;$G$1)</f>
        <v>0.1</v>
      </c>
      <c r="G9" s="1841"/>
      <c r="H9" s="348"/>
      <c r="I9" s="3162"/>
      <c r="J9" s="350"/>
      <c r="K9" s="351"/>
      <c r="L9" s="357" t="s">
        <v>1402</v>
      </c>
      <c r="M9" s="358">
        <f ca="1">INDIRECT("'数据-取费表'!ab"&amp;$G$1)</f>
        <v>0</v>
      </c>
    </row>
    <row r="10" spans="1:37" ht="18" customHeight="1">
      <c r="A10" s="1289" t="s">
        <v>1035</v>
      </c>
      <c r="B10" s="1813" t="s">
        <v>1403</v>
      </c>
      <c r="C10" s="360">
        <f ca="1">ROUND(IF(F10="押一",C6/12*F11,IF(F10="押二",C6/12*2*F11,IF(F10="押三",C6/12*3*F11,C11*F11))),0)</f>
        <v>2</v>
      </c>
      <c r="D10" s="1814" t="s">
        <v>3037</v>
      </c>
      <c r="E10" s="357" t="s">
        <v>1404</v>
      </c>
      <c r="F10" s="1364" t="s">
        <v>3069</v>
      </c>
      <c r="G10" s="1841"/>
      <c r="H10" s="1289" t="s">
        <v>1035</v>
      </c>
      <c r="I10" s="1813" t="s">
        <v>1403</v>
      </c>
      <c r="J10" s="345">
        <f ca="1">ROUND(IF(M10="押一",J6/12*M11,IF(M10="押二",J6/12*2*M11,IF(M10="押三",J6/12*3*M11,J11*M11))),0)</f>
        <v>0</v>
      </c>
      <c r="K10" s="1814" t="s">
        <v>3037</v>
      </c>
      <c r="L10" s="357" t="s">
        <v>1404</v>
      </c>
      <c r="M10" s="1364" t="s">
        <v>1405</v>
      </c>
    </row>
    <row r="11" spans="1:37" ht="18" customHeight="1">
      <c r="A11" s="352"/>
      <c r="B11" s="1815" t="s">
        <v>1382</v>
      </c>
      <c r="C11" s="1176"/>
      <c r="D11" s="1816"/>
      <c r="E11" s="357" t="s">
        <v>1406</v>
      </c>
      <c r="F11" s="358">
        <f ca="1">'数据-取费表'!B39</f>
        <v>1.4999999999999999E-2</v>
      </c>
      <c r="G11" s="1841"/>
      <c r="H11" s="1297"/>
      <c r="I11" s="1815" t="s">
        <v>1382</v>
      </c>
      <c r="J11" s="1176"/>
      <c r="K11" s="746"/>
      <c r="L11" s="357"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4">
        <f ca="1">ROUND(C29*F13,0)</f>
        <v>10934</v>
      </c>
      <c r="D13" s="1329" t="s">
        <v>1409</v>
      </c>
      <c r="E13" s="1329" t="s">
        <v>1410</v>
      </c>
      <c r="F13" s="1330">
        <f ca="1">INDIRECT("'数据-取费表'!y"&amp;$G$1)</f>
        <v>0.79</v>
      </c>
      <c r="G13" s="1841"/>
      <c r="H13" s="1327">
        <v>2</v>
      </c>
      <c r="I13" s="1328" t="s">
        <v>1408</v>
      </c>
      <c r="J13" s="1288">
        <f ca="1">ROUND(J14*J15,0)</f>
        <v>0</v>
      </c>
      <c r="K13" s="1335" t="s">
        <v>1409</v>
      </c>
      <c r="L13" s="1842"/>
      <c r="M13" s="1843"/>
    </row>
    <row r="14" spans="1:37" ht="18" customHeight="1">
      <c r="A14" s="1199" t="s">
        <v>1030</v>
      </c>
      <c r="B14" s="346" t="s">
        <v>1411</v>
      </c>
      <c r="C14" s="362">
        <f ca="1">INDIRECT("'数据-取费表'!m"&amp;$G$1)+INDIRECT("'数据-取费表'!t"&amp;$G$1)</f>
        <v>9235</v>
      </c>
      <c r="D14" s="2964" t="s">
        <v>1412</v>
      </c>
      <c r="E14" s="2963"/>
      <c r="F14" s="363"/>
      <c r="G14" s="1841"/>
      <c r="H14" s="1199" t="s">
        <v>1031</v>
      </c>
      <c r="I14" s="346" t="s">
        <v>1413</v>
      </c>
      <c r="J14" s="24">
        <f ca="1">C29</f>
        <v>13841</v>
      </c>
      <c r="K14" s="2960"/>
      <c r="L14" s="977"/>
      <c r="M14" s="978"/>
    </row>
    <row r="15" spans="1:37" s="1848" customFormat="1" ht="18" customHeight="1" thickBot="1">
      <c r="A15" s="1199" t="s">
        <v>1032</v>
      </c>
      <c r="B15" s="346" t="s">
        <v>1414</v>
      </c>
      <c r="C15" s="24">
        <f ca="1">ROUND(C14*F15,0)</f>
        <v>462</v>
      </c>
      <c r="D15" s="364" t="s">
        <v>1415</v>
      </c>
      <c r="E15" s="364" t="s">
        <v>1416</v>
      </c>
      <c r="F15" s="365">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6" t="s">
        <v>1417</v>
      </c>
      <c r="C16" s="24">
        <f ca="1">ROUND(INDIRECT("'数据-取费表'!m"&amp;$G$1)*F16,0)</f>
        <v>0</v>
      </c>
      <c r="D16" s="346" t="s">
        <v>1415</v>
      </c>
      <c r="E16" s="346" t="s">
        <v>1416</v>
      </c>
      <c r="F16" s="366">
        <f ca="1">IF(INDIRECT("'数据-取费表'!c"&amp;$G$1)="住宅",'数据-取费表'!B34,0)</f>
        <v>0</v>
      </c>
      <c r="G16" s="1841"/>
      <c r="H16" s="1327" t="s">
        <v>1026</v>
      </c>
      <c r="I16" s="1328" t="s">
        <v>1418</v>
      </c>
      <c r="J16" s="354">
        <f ca="1">ROUND(J17+J22+J23+J24,0)</f>
        <v>334</v>
      </c>
      <c r="K16" s="1335" t="s">
        <v>1419</v>
      </c>
      <c r="L16" s="2966"/>
      <c r="M16" s="1292"/>
    </row>
    <row r="17" spans="1:37" s="1848" customFormat="1" ht="18" customHeight="1">
      <c r="A17" s="1199" t="s">
        <v>1384</v>
      </c>
      <c r="B17" s="346" t="s">
        <v>1420</v>
      </c>
      <c r="C17" s="24">
        <f ca="1">ROUND(F17*(F43+INDIRECT("'数据-取费表'!S"&amp;$G$1))/10000,0)</f>
        <v>739</v>
      </c>
      <c r="D17" s="346" t="s">
        <v>1421</v>
      </c>
      <c r="E17" s="346" t="s">
        <v>1422</v>
      </c>
      <c r="F17" s="26">
        <f>'数据-取费表'!B35</f>
        <v>200</v>
      </c>
      <c r="G17" s="1844"/>
      <c r="H17" s="1199" t="s">
        <v>1031</v>
      </c>
      <c r="I17" s="346" t="s">
        <v>1423</v>
      </c>
      <c r="J17" s="24">
        <f ca="1">ROUND(IF(项目基本情况!B11="自然人",J6*M17/(1+'数据-取费表'!C42),J18+J19+J20),1)</f>
        <v>126.2</v>
      </c>
      <c r="K17" s="2964" t="s">
        <v>1424</v>
      </c>
      <c r="L17" s="2965" t="s">
        <v>1425</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6" t="s">
        <v>1426</v>
      </c>
      <c r="C18" s="24">
        <f ca="1">ROUND(C14*F18,0)</f>
        <v>139</v>
      </c>
      <c r="D18" s="346" t="s">
        <v>1415</v>
      </c>
      <c r="E18" s="346" t="s">
        <v>1416</v>
      </c>
      <c r="F18" s="366">
        <f>'数据-取费表'!B36</f>
        <v>1.4999999999999999E-2</v>
      </c>
      <c r="G18" s="1844"/>
      <c r="H18" s="1199" t="s">
        <v>1030</v>
      </c>
      <c r="I18" s="346" t="s">
        <v>1427</v>
      </c>
      <c r="J18" s="24">
        <f ca="1">ROUND(J6*M18/(1+'数据-取费表'!C42),2)</f>
        <v>0</v>
      </c>
      <c r="K18" s="2965" t="s">
        <v>1428</v>
      </c>
      <c r="L18" s="346" t="s">
        <v>1416</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6" t="s">
        <v>1429</v>
      </c>
      <c r="C19" s="24">
        <f ca="1">SUM(C14:C18)</f>
        <v>10575</v>
      </c>
      <c r="D19" s="139" t="s">
        <v>1430</v>
      </c>
      <c r="E19" s="2959"/>
      <c r="F19" s="26"/>
      <c r="G19" s="1841"/>
      <c r="H19" s="1199" t="s">
        <v>1032</v>
      </c>
      <c r="I19" s="346" t="s">
        <v>1431</v>
      </c>
      <c r="J19" s="24">
        <f ca="1">IF(K19="按租金收入计税",ROUND(J6*M19/(1+'数据-取费表'!C42),2),ROUND(C29*M19*0.7,2))</f>
        <v>116.26</v>
      </c>
      <c r="K19" s="1818" t="s">
        <v>1432</v>
      </c>
      <c r="L19" s="346" t="s">
        <v>1416</v>
      </c>
      <c r="M19" s="366">
        <f>IF(K19="按租金收入计税",'数据-取费表'!B51,'数据-取费表'!B50)</f>
        <v>1.2E-2</v>
      </c>
    </row>
    <row r="20" spans="1:37" s="1848" customFormat="1" ht="18" customHeight="1">
      <c r="A20" s="1199" t="s">
        <v>1035</v>
      </c>
      <c r="B20" s="346" t="s">
        <v>1433</v>
      </c>
      <c r="C20" s="24">
        <f ca="1">ROUND(C19*F20,0)</f>
        <v>212</v>
      </c>
      <c r="D20" s="368" t="s">
        <v>1434</v>
      </c>
      <c r="E20" s="346" t="s">
        <v>1416</v>
      </c>
      <c r="F20" s="366">
        <f>'数据-取费表'!B37</f>
        <v>0.02</v>
      </c>
      <c r="G20" s="1844"/>
      <c r="H20" s="1199" t="s">
        <v>1383</v>
      </c>
      <c r="I20" s="163" t="s">
        <v>1435</v>
      </c>
      <c r="J20" s="25">
        <f ca="1">ROUND(M20*M21/10000,2)</f>
        <v>9.98</v>
      </c>
      <c r="K20" s="369" t="s">
        <v>1436</v>
      </c>
      <c r="L20" s="346" t="s">
        <v>1437</v>
      </c>
      <c r="M20" s="370">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6" t="s">
        <v>1438</v>
      </c>
      <c r="C21" s="24" t="s">
        <v>18</v>
      </c>
      <c r="D21" s="368" t="s">
        <v>1439</v>
      </c>
      <c r="E21" s="346" t="s">
        <v>1440</v>
      </c>
      <c r="F21" s="366">
        <f>'数据-取费表'!B38</f>
        <v>0.02</v>
      </c>
      <c r="G21" s="1844"/>
      <c r="H21" s="371"/>
      <c r="I21" s="355"/>
      <c r="J21" s="29"/>
      <c r="K21" s="372"/>
      <c r="L21" s="346" t="s">
        <v>1441</v>
      </c>
      <c r="M21" s="347">
        <f ca="1">INDIRECT("'数据-取费表'!r"&amp;$G$1)</f>
        <v>66518.36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2959"/>
      <c r="F22" s="26"/>
      <c r="G22" s="1841"/>
      <c r="H22" s="1199" t="s">
        <v>1035</v>
      </c>
      <c r="I22" s="346" t="s">
        <v>1443</v>
      </c>
      <c r="J22" s="24">
        <f ca="1">ROUND(J14*M22,1)</f>
        <v>207.6</v>
      </c>
      <c r="K22" s="2965" t="s">
        <v>1444</v>
      </c>
      <c r="L22" s="346" t="s">
        <v>1416</v>
      </c>
      <c r="M22" s="373">
        <f ca="1">INDIRECT("'数据-取费表'!Ak"&amp;$G$1)</f>
        <v>1.4999999999999999E-2</v>
      </c>
    </row>
    <row r="23" spans="1:37" s="1848" customFormat="1" ht="18" customHeight="1">
      <c r="A23" s="1199" t="s">
        <v>1030</v>
      </c>
      <c r="B23" s="346" t="s">
        <v>1445</v>
      </c>
      <c r="C23" s="24">
        <f ca="1">IF('数据-取费表'!B22&lt;=1,ROUND(C19*F24*F23/2,0)+ROUND(C20*F24*F23/2,0),ROUND(C19*(POWER((1+F24),F23/2)-1),0)+ROUND(C20*(POWER((1+F24),F23/2)-1),0))</f>
        <v>383</v>
      </c>
      <c r="D23" s="374" t="str">
        <f>IF(F23&lt;=1,"(建造成本+管理费用)×利率×(建设周期÷2)","(建造成本+管理费用)×((1+利率)^(建设周期÷2)-1)")</f>
        <v>(建造成本+管理费用)×((1+利率)^(建设周期÷2)-1)</v>
      </c>
      <c r="E23" s="346" t="s">
        <v>1446</v>
      </c>
      <c r="F23" s="370">
        <f>'数据-取费表'!B20</f>
        <v>1.5</v>
      </c>
      <c r="G23" s="1844"/>
      <c r="H23" s="1199" t="s">
        <v>1071</v>
      </c>
      <c r="I23" s="346" t="s">
        <v>1447</v>
      </c>
      <c r="J23" s="24">
        <f ca="1">ROUND(J13*M23,1)</f>
        <v>0</v>
      </c>
      <c r="K23" s="2965" t="s">
        <v>1448</v>
      </c>
      <c r="L23" s="346" t="s">
        <v>1416</v>
      </c>
      <c r="M23" s="375">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1032</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4"/>
      <c r="H24" s="1337" t="s">
        <v>1386</v>
      </c>
      <c r="I24" s="1338" t="s">
        <v>1433</v>
      </c>
      <c r="J24" s="1339">
        <f ca="1">ROUND(J5*M24,1)</f>
        <v>0</v>
      </c>
      <c r="K24" s="1340" t="s">
        <v>1453</v>
      </c>
      <c r="L24" s="1338" t="s">
        <v>1416</v>
      </c>
      <c r="M24" s="1334">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6" t="s">
        <v>1455</v>
      </c>
      <c r="C25" s="24"/>
      <c r="D25" s="139" t="s">
        <v>1456</v>
      </c>
      <c r="E25" s="2959"/>
      <c r="F25" s="26"/>
      <c r="G25" s="1841"/>
      <c r="H25" s="1327" t="s">
        <v>1027</v>
      </c>
      <c r="I25" s="1342" t="s">
        <v>1457</v>
      </c>
      <c r="J25" s="354">
        <f ca="1">J5-J16</f>
        <v>-334</v>
      </c>
      <c r="K25" s="1343" t="s">
        <v>1458</v>
      </c>
      <c r="L25" s="1344"/>
      <c r="M25" s="1345"/>
    </row>
    <row r="26" spans="1:37">
      <c r="A26" s="1199" t="s">
        <v>1030</v>
      </c>
      <c r="B26" s="346" t="s">
        <v>1459</v>
      </c>
      <c r="C26" s="24">
        <f ca="1">ROUND((C19+C20)*F26,0)</f>
        <v>1618</v>
      </c>
      <c r="D26" s="368" t="s">
        <v>1460</v>
      </c>
      <c r="E26" s="357" t="s">
        <v>1461</v>
      </c>
      <c r="F26" s="356">
        <f ca="1">INDIRECT("'数据-取费表'!q"&amp;$G$1)</f>
        <v>0.15</v>
      </c>
      <c r="G26" s="1841"/>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1"/>
      <c r="H27" s="348"/>
      <c r="I27" s="349"/>
      <c r="J27" s="350"/>
      <c r="K27" s="377" t="s">
        <v>1467</v>
      </c>
      <c r="L27" s="346" t="s">
        <v>1468</v>
      </c>
      <c r="M27" s="378">
        <f ca="1">INDIRECT("'数据-取费表'!ag"&amp;$G$1)</f>
        <v>0</v>
      </c>
    </row>
    <row r="28" spans="1:37" s="1848" customFormat="1" ht="18" customHeight="1">
      <c r="A28" s="1199" t="s">
        <v>1033</v>
      </c>
      <c r="B28" s="346" t="s">
        <v>1469</v>
      </c>
      <c r="C28" s="24">
        <f>ROUND(F28/(1+'数据-取费表'!C42),4)</f>
        <v>5.2400000000000002E-2</v>
      </c>
      <c r="D28" s="368" t="s">
        <v>1470</v>
      </c>
      <c r="E28" s="346" t="s">
        <v>1416</v>
      </c>
      <c r="F28" s="366">
        <f>'数据-取费表'!B41</f>
        <v>5.5000000000000007E-2</v>
      </c>
      <c r="G28" s="1844"/>
      <c r="H28" s="352"/>
      <c r="I28" s="353"/>
      <c r="J28" s="354"/>
      <c r="K28" s="372"/>
      <c r="L28" s="346" t="s">
        <v>1471</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13841</v>
      </c>
      <c r="D29" s="1340"/>
      <c r="E29" s="1338"/>
      <c r="F29" s="1341"/>
      <c r="G29" s="1844"/>
      <c r="H29" s="379" t="s">
        <v>1029</v>
      </c>
      <c r="I29" s="380" t="s">
        <v>1473</v>
      </c>
      <c r="J29" s="381">
        <f ca="1">ROUND(J26/(1+F40)^F41,0)</f>
        <v>0</v>
      </c>
      <c r="K29" s="382" t="s">
        <v>1474</v>
      </c>
      <c r="L29" s="383"/>
      <c r="M29" s="384">
        <f ca="1">INDIRECT("'数据-取费表'!k"&amp;$G$1)</f>
        <v>36939.72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4">
        <f ca="1">ROUND(C31+C36+C37+C38,0)</f>
        <v>513</v>
      </c>
      <c r="D30" s="1335" t="s">
        <v>1419</v>
      </c>
      <c r="E30" s="2966"/>
      <c r="F30" s="1292"/>
      <c r="G30" s="1841"/>
      <c r="H30" s="743"/>
      <c r="I30" s="744"/>
      <c r="J30" s="745"/>
      <c r="K30" s="746"/>
      <c r="L30" s="747"/>
      <c r="M30" s="748"/>
    </row>
    <row r="31" spans="1:37" ht="18" customHeight="1">
      <c r="A31" s="1199" t="s">
        <v>1031</v>
      </c>
      <c r="B31" s="346" t="s">
        <v>1423</v>
      </c>
      <c r="C31" s="24">
        <f ca="1">ROUND(IF(项目基本情况!B11="自然人",C6*F31/(1+'数据-取费表'!C42),C32+C33+C34),1)</f>
        <v>273</v>
      </c>
      <c r="D31" s="2964" t="s">
        <v>1424</v>
      </c>
      <c r="E31" s="2965" t="s">
        <v>1475</v>
      </c>
      <c r="F31" s="367" t="str">
        <f ca="1">IF(项目基本情况!B11="企业","",IF(INDIRECT("'数据-取费表'!c"&amp;$G$1)="住宅",5%,IF(F6*F7*F8/12/(1+'数据-取费表'!C42)&gt;20000,12%,7%)))</f>
        <v/>
      </c>
      <c r="G31" s="1841"/>
      <c r="H31" s="743"/>
      <c r="I31" s="744"/>
      <c r="J31" s="745"/>
      <c r="K31" s="746"/>
      <c r="L31" s="747"/>
      <c r="M31" s="748"/>
    </row>
    <row r="32" spans="1:37" ht="18" customHeight="1">
      <c r="A32" s="1199" t="s">
        <v>1030</v>
      </c>
      <c r="B32" s="346" t="s">
        <v>1427</v>
      </c>
      <c r="C32" s="24">
        <f ca="1">IF(项目基本情况!B11="自然人","——",ROUND(C6*F32/(1+'数据-取费表'!C42),2))</f>
        <v>82.66</v>
      </c>
      <c r="D32" s="2965" t="s">
        <v>1428</v>
      </c>
      <c r="E32" s="346" t="s">
        <v>1416</v>
      </c>
      <c r="F32" s="376">
        <f>'数据-取费表'!B41</f>
        <v>5.5000000000000007E-2</v>
      </c>
      <c r="G32" s="1841"/>
      <c r="H32" s="743"/>
      <c r="I32" s="744"/>
      <c r="J32" s="745"/>
      <c r="K32" s="746"/>
      <c r="L32" s="747"/>
      <c r="M32" s="748"/>
    </row>
    <row r="33" spans="1:18" ht="18" customHeight="1">
      <c r="A33" s="1199" t="s">
        <v>1032</v>
      </c>
      <c r="B33" s="346" t="s">
        <v>1431</v>
      </c>
      <c r="C33" s="24">
        <f ca="1">IF(项目基本情况!B11="自然人","——",IF(D33="按租金收入计税",ROUND(C6*F33/(1+'数据-取费表'!C42),2),IF(D33="按房产原值计税",ROUND(C29*F33*0.7,2),INDIRECT("'数据-取费表'!Aj"&amp;$G$1))))</f>
        <v>180.34</v>
      </c>
      <c r="D33" s="1818" t="s">
        <v>3070</v>
      </c>
      <c r="E33" s="346" t="s">
        <v>1416</v>
      </c>
      <c r="F33" s="366">
        <f>IF(D33="按票据","——",IF(D33="按租金收入计税",'数据-取费表'!B51,'数据-取费表'!B50))</f>
        <v>0.12</v>
      </c>
      <c r="G33" s="1841"/>
      <c r="H33" s="1849"/>
      <c r="I33" s="1850"/>
      <c r="J33" s="1851"/>
      <c r="K33" s="1852"/>
      <c r="L33" s="1849"/>
      <c r="M33" s="1849"/>
    </row>
    <row r="34" spans="1:18" ht="18" customHeight="1">
      <c r="A34" s="1289" t="s">
        <v>1383</v>
      </c>
      <c r="B34" s="163" t="s">
        <v>1435</v>
      </c>
      <c r="C34" s="25">
        <f ca="1">IF(项目基本情况!B11="自然人","——",ROUND(F34*F35/10000,2))</f>
        <v>9.98</v>
      </c>
      <c r="D34" s="369" t="s">
        <v>1436</v>
      </c>
      <c r="E34" s="346" t="s">
        <v>1437</v>
      </c>
      <c r="F34" s="370">
        <f>'数据-取费表'!B52</f>
        <v>1.5</v>
      </c>
      <c r="G34" s="1841"/>
      <c r="H34" s="743"/>
      <c r="I34" s="1850"/>
      <c r="J34" s="1851"/>
      <c r="K34" s="1853"/>
      <c r="L34" s="1854"/>
      <c r="M34" s="1854"/>
    </row>
    <row r="35" spans="1:18" ht="18" customHeight="1">
      <c r="A35" s="1351"/>
      <c r="B35" s="1349"/>
      <c r="C35" s="29"/>
      <c r="D35" s="372"/>
      <c r="E35" s="346" t="s">
        <v>1441</v>
      </c>
      <c r="F35" s="347">
        <f ca="1">INDIRECT("'数据-取费表'!r"&amp;$G$1)</f>
        <v>66518.36</v>
      </c>
      <c r="G35" s="1841"/>
      <c r="H35" s="743"/>
      <c r="I35" s="1850"/>
      <c r="J35" s="1851"/>
      <c r="K35" s="1852"/>
      <c r="L35" s="1849"/>
      <c r="M35" s="1849"/>
    </row>
    <row r="36" spans="1:18" ht="18" customHeight="1">
      <c r="A36" s="1350" t="s">
        <v>1035</v>
      </c>
      <c r="B36" s="346" t="s">
        <v>1443</v>
      </c>
      <c r="C36" s="24">
        <f ca="1">ROUND(C29*F36,1)</f>
        <v>207.6</v>
      </c>
      <c r="D36" s="2965" t="s">
        <v>1476</v>
      </c>
      <c r="E36" s="346" t="s">
        <v>1416</v>
      </c>
      <c r="F36" s="373">
        <f ca="1">INDIRECT("'数据-取费表'!Ak"&amp;$G$1)</f>
        <v>1.4999999999999999E-2</v>
      </c>
      <c r="G36" s="1841"/>
      <c r="H36" s="1849"/>
      <c r="I36" s="1850"/>
      <c r="J36" s="1851"/>
      <c r="K36" s="749"/>
      <c r="L36" s="1849"/>
      <c r="M36" s="1849"/>
    </row>
    <row r="37" spans="1:18" ht="18" customHeight="1">
      <c r="A37" s="1199" t="s">
        <v>1071</v>
      </c>
      <c r="B37" s="346" t="s">
        <v>1447</v>
      </c>
      <c r="C37" s="24">
        <f ca="1">ROUND(C13*F37,1)</f>
        <v>16.399999999999999</v>
      </c>
      <c r="D37" s="2965" t="s">
        <v>1448</v>
      </c>
      <c r="E37" s="346" t="s">
        <v>1416</v>
      </c>
      <c r="F37" s="375">
        <f ca="1">INDIRECT("'数据-取费表'!Al"&amp;$G$1)</f>
        <v>1.5E-3</v>
      </c>
      <c r="G37" s="1841"/>
      <c r="H37" s="1849"/>
      <c r="I37" s="1850"/>
      <c r="J37" s="1851"/>
      <c r="K37" s="749"/>
      <c r="L37" s="1849"/>
      <c r="M37" s="1849"/>
    </row>
    <row r="38" spans="1:18" ht="18" customHeight="1" thickBot="1">
      <c r="A38" s="1337" t="s">
        <v>1386</v>
      </c>
      <c r="B38" s="1338" t="s">
        <v>1433</v>
      </c>
      <c r="C38" s="1339">
        <f ca="1">ROUND(C5*F38,1)</f>
        <v>15.8</v>
      </c>
      <c r="D38" s="1340" t="s">
        <v>1453</v>
      </c>
      <c r="E38" s="1338" t="s">
        <v>1416</v>
      </c>
      <c r="F38" s="1334">
        <f ca="1">INDIRECT("'数据-取费表'!Am"&amp;$G$1)</f>
        <v>0.01</v>
      </c>
      <c r="G38" s="1841"/>
      <c r="H38" s="1849"/>
      <c r="I38" s="1850"/>
      <c r="J38" s="1851"/>
      <c r="K38" s="1855"/>
      <c r="L38" s="1849"/>
      <c r="M38" s="1849"/>
    </row>
    <row r="39" spans="1:18" ht="24.6" customHeight="1" thickTop="1">
      <c r="A39" s="1327" t="s">
        <v>1027</v>
      </c>
      <c r="B39" s="1342" t="s">
        <v>1457</v>
      </c>
      <c r="C39" s="354">
        <f ca="1">C5-C30</f>
        <v>1067</v>
      </c>
      <c r="D39" s="1343" t="s">
        <v>1458</v>
      </c>
      <c r="E39" s="1344"/>
      <c r="F39" s="1345"/>
      <c r="G39" s="1841"/>
      <c r="H39" s="1849"/>
      <c r="I39" s="1850"/>
      <c r="J39" s="1851"/>
      <c r="K39" s="1855"/>
      <c r="L39" s="1849"/>
      <c r="M39" s="1849"/>
    </row>
    <row r="40" spans="1:18" ht="18" customHeight="1">
      <c r="A40" s="343" t="s">
        <v>1028</v>
      </c>
      <c r="B40" s="344" t="s">
        <v>1479</v>
      </c>
      <c r="C40" s="345">
        <f ca="1">ROUND(C39*(1-((1+F42)/(1+F40))^F41)/(F40-F42),0)</f>
        <v>19239</v>
      </c>
      <c r="D40" s="369" t="s">
        <v>1463</v>
      </c>
      <c r="E40" s="346" t="s">
        <v>1464</v>
      </c>
      <c r="F40" s="356">
        <f ca="1">INDIRECT("'数据-取费表'!I"&amp;$G$1)</f>
        <v>5.5E-2</v>
      </c>
      <c r="G40" s="1841"/>
      <c r="H40" s="1829"/>
      <c r="I40" s="1850"/>
      <c r="J40" s="1851"/>
      <c r="K40" s="1855"/>
      <c r="L40" s="1829"/>
      <c r="M40" s="1829"/>
    </row>
    <row r="41" spans="1:18" ht="18" customHeight="1">
      <c r="A41" s="348"/>
      <c r="B41" s="349"/>
      <c r="C41" s="350"/>
      <c r="D41" s="377" t="s">
        <v>1480</v>
      </c>
      <c r="E41" s="346" t="s">
        <v>1468</v>
      </c>
      <c r="F41" s="378">
        <f ca="1">IF(INDIRECT("'数据-取费表'!af"&amp;$G$1)=0,INDIRECT("'数据-取费表'!ae"&amp;$G$1),INDIRECT("'数据-取费表'!af"&amp;$G$1))</f>
        <v>33.049999999999997</v>
      </c>
      <c r="G41" s="1841"/>
      <c r="H41" s="730"/>
      <c r="I41" s="1850"/>
      <c r="J41" s="1851"/>
      <c r="K41" s="749"/>
      <c r="L41" s="730"/>
      <c r="M41" s="730"/>
    </row>
    <row r="42" spans="1:18" ht="18" customHeight="1">
      <c r="A42" s="352"/>
      <c r="B42" s="353"/>
      <c r="C42" s="354"/>
      <c r="D42" s="372"/>
      <c r="E42" s="346" t="s">
        <v>1471</v>
      </c>
      <c r="F42" s="356">
        <f ca="1">INDIRECT("'数据-取费表'!v"&amp;$G$1)</f>
        <v>1.4999999999999999E-2</v>
      </c>
      <c r="G42" s="1841"/>
      <c r="H42" s="730"/>
      <c r="I42" s="1850"/>
      <c r="J42" s="1851"/>
      <c r="K42" s="749"/>
      <c r="L42" s="730"/>
      <c r="M42" s="730"/>
    </row>
    <row r="43" spans="1:18" ht="18" customHeight="1" thickBot="1">
      <c r="A43" s="379" t="s">
        <v>1029</v>
      </c>
      <c r="B43" s="380" t="s">
        <v>1481</v>
      </c>
      <c r="C43" s="381">
        <f ca="1">ROUND(C40*10000/F43,0)</f>
        <v>5208</v>
      </c>
      <c r="D43" s="382" t="s">
        <v>1482</v>
      </c>
      <c r="E43" s="383" t="s">
        <v>1483</v>
      </c>
      <c r="F43" s="384">
        <f ca="1">INDIRECT("'数据-取费表'!k"&amp;$G$1)</f>
        <v>36939.72</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4"/>
      <c r="O45" s="1859" t="s">
        <v>1513</v>
      </c>
      <c r="P45" s="1829"/>
      <c r="Q45" s="1829"/>
      <c r="R45" s="1829"/>
    </row>
    <row r="46" spans="1:18" s="1832" customFormat="1" ht="13.5" thickBot="1">
      <c r="A46" s="1860" t="s">
        <v>1514</v>
      </c>
      <c r="C46" s="1861">
        <f ca="1">C68-C40</f>
        <v>-40310</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0"/>
      <c r="I47" s="1870" t="s">
        <v>1520</v>
      </c>
      <c r="J47" s="1871" t="s">
        <v>3082</v>
      </c>
      <c r="K47" s="1872" t="s">
        <v>1521</v>
      </c>
      <c r="L47" s="1873">
        <f ca="1">INDIRECT("'数据-取费表'!d"&amp;$G$1)</f>
        <v>50</v>
      </c>
      <c r="M47" s="1828" t="str">
        <f>IF(ISNUMBER(FIND("住宅",C1)),"住宅","非住宅")</f>
        <v>非住宅</v>
      </c>
      <c r="O47" s="1874" t="s">
        <v>1036</v>
      </c>
      <c r="P47" s="1875" t="s">
        <v>1522</v>
      </c>
      <c r="Q47" s="1876">
        <f ca="1">C40+J29</f>
        <v>19239</v>
      </c>
      <c r="R47" s="1876" t="s">
        <v>1523</v>
      </c>
    </row>
    <row r="48" spans="1:18" s="1832" customFormat="1" ht="28.5" thickBot="1">
      <c r="A48" s="1358" t="s">
        <v>1131</v>
      </c>
      <c r="B48" s="344" t="s">
        <v>1395</v>
      </c>
      <c r="C48" s="2958">
        <f ca="1">C49+C53+C55</f>
        <v>0</v>
      </c>
      <c r="D48" s="1360"/>
      <c r="E48" s="1361"/>
      <c r="F48" s="1179"/>
      <c r="G48" s="790"/>
      <c r="H48" s="791"/>
      <c r="I48" s="1877" t="s">
        <v>1524</v>
      </c>
      <c r="J48" s="1878" t="s">
        <v>3081</v>
      </c>
      <c r="K48" s="1879" t="s">
        <v>1525</v>
      </c>
      <c r="L48" s="1880">
        <f ca="1">INDIRECT("'数据-取费表'!f"&amp;$G$1)</f>
        <v>33.049999999999997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3028</v>
      </c>
      <c r="E49" s="1820" t="s">
        <v>1485</v>
      </c>
      <c r="F49" s="1279"/>
      <c r="G49" s="1881"/>
      <c r="H49" s="791"/>
      <c r="I49" s="1877" t="s">
        <v>1528</v>
      </c>
      <c r="J49" s="1882">
        <v>2006</v>
      </c>
      <c r="K49" s="1879" t="s">
        <v>1529</v>
      </c>
      <c r="L49" s="1883"/>
      <c r="O49" s="1884" t="s">
        <v>1038</v>
      </c>
      <c r="P49" s="1875" t="s">
        <v>1530</v>
      </c>
      <c r="Q49" s="1876">
        <f ca="1">C29</f>
        <v>13841</v>
      </c>
      <c r="R49" s="1876" t="s">
        <v>1523</v>
      </c>
    </row>
    <row r="50" spans="1:18" s="1832" customFormat="1" ht="13.5" thickBot="1">
      <c r="A50" s="1193"/>
      <c r="B50" s="1196"/>
      <c r="C50" s="1366"/>
      <c r="D50" s="1170"/>
      <c r="E50" s="1275" t="s">
        <v>1400</v>
      </c>
      <c r="F50" s="1276">
        <f ca="1">F7</f>
        <v>36939.72</v>
      </c>
      <c r="H50" s="791"/>
      <c r="I50" s="1877" t="s">
        <v>1531</v>
      </c>
      <c r="J50" s="1885">
        <f>SUMPRODUCT((I63:I65=J47)*(J62:L62=J48)*(J63:L65))</f>
        <v>50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7">
        <f ca="1">F8</f>
        <v>365</v>
      </c>
      <c r="I51" s="1888" t="s">
        <v>1534</v>
      </c>
      <c r="J51" s="1889">
        <f>IF(J49="",J50,J49+J50-YEAR('数据-取费表'!B2))</f>
        <v>36</v>
      </c>
      <c r="K51" s="1890" t="s">
        <v>1535</v>
      </c>
      <c r="L51" s="1891">
        <f ca="1">ROUND(-PV(INDIRECT("'数据-取费表'!h"&amp;$G$1),J51,(C39-C13*C76),0),0)</f>
        <v>3265</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33.049999999999997</v>
      </c>
      <c r="R52" s="1876" t="s">
        <v>1540</v>
      </c>
    </row>
    <row r="53" spans="1:18" s="1832" customFormat="1" ht="24.75" thickBot="1">
      <c r="A53" s="1403" t="s">
        <v>1133</v>
      </c>
      <c r="B53" s="1821" t="s">
        <v>1403</v>
      </c>
      <c r="C53" s="360">
        <f ca="1">ROUND(IF(F53="押一",C49/12*F11,IF(F53="押二",C49/12*2*F11,IF(F53="押三",C49/12*3*F11,C54*F11))),0)</f>
        <v>0</v>
      </c>
      <c r="D53" s="1814" t="s">
        <v>3037</v>
      </c>
      <c r="E53" s="357" t="s">
        <v>1404</v>
      </c>
      <c r="F53" s="1364"/>
      <c r="I53" s="1895" t="s">
        <v>1541</v>
      </c>
      <c r="J53" s="2942">
        <f ca="1">IF(M47="住宅",IF(D1="——",MAX(J51,L48),MAX(J51,L48-'数据-取费表'!B24)),IF(D1="——",MIN(J51,L48),MIN(J51,L48-'数据-取费表'!B24)))</f>
        <v>33.049999999999997</v>
      </c>
      <c r="K53" s="3158" t="s">
        <v>1542</v>
      </c>
      <c r="L53" s="3159"/>
      <c r="O53" s="1874" t="s">
        <v>1042</v>
      </c>
      <c r="P53" s="1875" t="s">
        <v>1543</v>
      </c>
      <c r="Q53" s="1876">
        <f ca="1">Q47+Q48</f>
        <v>19239</v>
      </c>
      <c r="R53" s="1876" t="s">
        <v>1043</v>
      </c>
    </row>
    <row r="54" spans="1:18" s="1832" customFormat="1" ht="13.5" thickBot="1">
      <c r="A54" s="1404"/>
      <c r="B54" s="1815" t="s">
        <v>1382</v>
      </c>
      <c r="C54" s="1176"/>
      <c r="D54" s="1814"/>
      <c r="E54" s="296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296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5">
        <f ca="1">C13</f>
        <v>10934</v>
      </c>
      <c r="D56" s="1903"/>
      <c r="E56" s="1904"/>
      <c r="F56" s="1896"/>
      <c r="I56" s="1905" t="s">
        <v>1548</v>
      </c>
      <c r="J56" s="1906" t="s">
        <v>3065</v>
      </c>
      <c r="K56" s="1877" t="s">
        <v>1549</v>
      </c>
      <c r="L56" s="1880" t="str">
        <f ca="1">IF(L48&lt;J51,"——",L48-J53)</f>
        <v>——</v>
      </c>
      <c r="O56" s="1874" t="s">
        <v>1036</v>
      </c>
      <c r="P56" s="1875" t="s">
        <v>1522</v>
      </c>
      <c r="Q56" s="1876">
        <f ca="1">C40+J29</f>
        <v>19239</v>
      </c>
      <c r="R56" s="1876" t="s">
        <v>1523</v>
      </c>
    </row>
    <row r="57" spans="1:18" s="1832" customFormat="1" ht="24.75" thickBot="1">
      <c r="A57" s="1907"/>
      <c r="B57" s="1167" t="s">
        <v>1472</v>
      </c>
      <c r="C57" s="281">
        <f ca="1">C29</f>
        <v>13841</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59" t="s">
        <v>1026</v>
      </c>
      <c r="B58" s="1175" t="s">
        <v>1418</v>
      </c>
      <c r="C58" s="360">
        <f ca="1">ROUND(C59+C64+C65+C66,0)</f>
        <v>1397</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1172.5999999999999</v>
      </c>
      <c r="D59" s="1180" t="s">
        <v>1424</v>
      </c>
      <c r="E59" s="1181" t="s">
        <v>1425</v>
      </c>
      <c r="F59" s="367"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6">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1431</v>
      </c>
      <c r="C61" s="24">
        <f ca="1">IF(项目基本情况!B11="自然人","——",IF(D61="按租金收入计税",ROUND(C48*F61,2),IF(D61="按房产原值计税",ROUND(C57*F61*0.7,2),INDIRECT("'数据-取费表'!Aj"&amp;$G$1))))</f>
        <v>1162.6400000000001</v>
      </c>
      <c r="D61" s="1818" t="s">
        <v>1432</v>
      </c>
      <c r="E61" s="1167" t="s">
        <v>1416</v>
      </c>
      <c r="F61" s="366">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199" t="s">
        <v>1489</v>
      </c>
      <c r="B62" s="1166" t="s">
        <v>1435</v>
      </c>
      <c r="C62" s="25">
        <f ca="1">IF(项目基本情况!B11="自然人","——",ROUND(F62*F63/10000,2))</f>
        <v>9.98</v>
      </c>
      <c r="D62" s="1182" t="s">
        <v>1436</v>
      </c>
      <c r="E62" s="1167" t="s">
        <v>1437</v>
      </c>
      <c r="F62" s="370">
        <f t="shared" si="0"/>
        <v>1.5</v>
      </c>
      <c r="I62" s="1918" t="s">
        <v>1564</v>
      </c>
      <c r="J62" s="1919" t="s">
        <v>1565</v>
      </c>
      <c r="K62" s="1919" t="s">
        <v>1566</v>
      </c>
      <c r="L62" s="1919" t="s">
        <v>1567</v>
      </c>
      <c r="M62" s="1920" t="s">
        <v>1568</v>
      </c>
      <c r="O62" s="1874" t="s">
        <v>1042</v>
      </c>
      <c r="P62" s="1875" t="s">
        <v>1543</v>
      </c>
      <c r="Q62" s="1876">
        <f ca="1">Q56+Q57</f>
        <v>19239</v>
      </c>
      <c r="R62" s="1876" t="s">
        <v>1043</v>
      </c>
    </row>
    <row r="63" spans="1:18" s="1832" customFormat="1" ht="13.5" thickBot="1">
      <c r="A63" s="371"/>
      <c r="B63" s="1173"/>
      <c r="C63" s="29"/>
      <c r="D63" s="1183"/>
      <c r="E63" s="1167" t="s">
        <v>1441</v>
      </c>
      <c r="F63" s="347">
        <f t="shared" ca="1" si="0"/>
        <v>66518.36</v>
      </c>
      <c r="I63" s="1918" t="s">
        <v>1570</v>
      </c>
      <c r="J63" s="1919">
        <v>70</v>
      </c>
      <c r="K63" s="1919">
        <v>50</v>
      </c>
      <c r="L63" s="1919">
        <v>80</v>
      </c>
      <c r="M63" s="1921">
        <v>0.02</v>
      </c>
      <c r="O63" s="1859" t="s">
        <v>1571</v>
      </c>
      <c r="P63" s="1829"/>
      <c r="Q63" s="1829"/>
      <c r="R63" s="1829"/>
    </row>
    <row r="64" spans="1:18" s="1832" customFormat="1" ht="13.5" thickBot="1">
      <c r="A64" s="1199" t="s">
        <v>1035</v>
      </c>
      <c r="B64" s="1167" t="s">
        <v>1443</v>
      </c>
      <c r="C64" s="24">
        <f ca="1">ROUND(C57*F64,1)</f>
        <v>207.6</v>
      </c>
      <c r="D64" s="1181" t="s">
        <v>1476</v>
      </c>
      <c r="E64" s="1167" t="s">
        <v>1416</v>
      </c>
      <c r="F64" s="373">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16.399999999999999</v>
      </c>
      <c r="D65" s="1181" t="s">
        <v>1448</v>
      </c>
      <c r="E65" s="1167" t="s">
        <v>1416</v>
      </c>
      <c r="F65" s="375">
        <f t="shared" ca="1" si="0"/>
        <v>1.5E-3</v>
      </c>
      <c r="I65" s="1918" t="s">
        <v>1573</v>
      </c>
      <c r="J65" s="1919">
        <v>40</v>
      </c>
      <c r="K65" s="1919">
        <v>30</v>
      </c>
      <c r="L65" s="1919">
        <v>50</v>
      </c>
      <c r="M65" s="1921">
        <v>0.02</v>
      </c>
      <c r="O65" s="1874" t="s">
        <v>1036</v>
      </c>
      <c r="P65" s="1875" t="s">
        <v>1522</v>
      </c>
      <c r="Q65" s="1876">
        <f ca="1">C40+J29</f>
        <v>19239</v>
      </c>
      <c r="R65" s="1876" t="s">
        <v>1523</v>
      </c>
    </row>
    <row r="66" spans="1:18" s="1832" customFormat="1" ht="16.5" thickBot="1">
      <c r="A66" s="1199" t="s">
        <v>1498</v>
      </c>
      <c r="B66" s="1167" t="s">
        <v>1433</v>
      </c>
      <c r="C66" s="24">
        <f ca="1">ROUND(C48*F66,1)</f>
        <v>0</v>
      </c>
      <c r="D66" s="1181" t="s">
        <v>1453</v>
      </c>
      <c r="E66" s="1167" t="s">
        <v>1416</v>
      </c>
      <c r="F66" s="356">
        <f t="shared" ca="1" si="0"/>
        <v>0.01</v>
      </c>
      <c r="O66" s="1874" t="s">
        <v>1037</v>
      </c>
      <c r="P66" s="1875" t="s">
        <v>1552</v>
      </c>
      <c r="Q66" s="1876">
        <f ca="1">L60</f>
        <v>0</v>
      </c>
      <c r="R66" s="1876" t="s">
        <v>1575</v>
      </c>
    </row>
    <row r="67" spans="1:18" s="1832" customFormat="1" ht="16.5" thickBot="1">
      <c r="A67" s="1174" t="s">
        <v>1027</v>
      </c>
      <c r="B67" s="1184" t="s">
        <v>1457</v>
      </c>
      <c r="C67" s="360">
        <f ca="1">C48-C58</f>
        <v>-1397</v>
      </c>
      <c r="D67" s="1180" t="s">
        <v>1458</v>
      </c>
      <c r="E67" s="1185"/>
      <c r="F67" s="1186"/>
      <c r="O67" s="1884" t="s">
        <v>1038</v>
      </c>
      <c r="P67" s="1875" t="s">
        <v>1556</v>
      </c>
      <c r="Q67" s="1922">
        <f ca="1">L51</f>
        <v>3265</v>
      </c>
      <c r="R67" s="1876" t="s">
        <v>1576</v>
      </c>
    </row>
    <row r="68" spans="1:18" s="1832" customFormat="1" ht="16.5" thickBot="1">
      <c r="A68" s="1164" t="s">
        <v>1028</v>
      </c>
      <c r="B68" s="1165" t="s">
        <v>1479</v>
      </c>
      <c r="C68" s="345">
        <f ca="1">ROUND(C67*(1-((1+F70)/(1+F68))^F69)/(F68-F70),0)</f>
        <v>-21071</v>
      </c>
      <c r="D68" s="1182" t="s">
        <v>1463</v>
      </c>
      <c r="E68" s="1167" t="s">
        <v>1464</v>
      </c>
      <c r="F68" s="356">
        <f ca="1">F40</f>
        <v>5.5E-2</v>
      </c>
      <c r="O68" s="1884" t="s">
        <v>1039</v>
      </c>
      <c r="P68" s="1923" t="s">
        <v>1577</v>
      </c>
      <c r="Q68" s="1876">
        <f ca="1">ROUND(Q69-Q70*Q71,0)</f>
        <v>192</v>
      </c>
      <c r="R68" s="1876" t="s">
        <v>1047</v>
      </c>
    </row>
    <row r="69" spans="1:18" s="1832" customFormat="1" ht="13.5" thickBot="1">
      <c r="A69" s="1168"/>
      <c r="B69" s="1169"/>
      <c r="C69" s="350"/>
      <c r="D69" s="1187" t="s">
        <v>1467</v>
      </c>
      <c r="E69" s="1167" t="s">
        <v>1468</v>
      </c>
      <c r="F69" s="378">
        <f ca="1">F41</f>
        <v>33.049999999999997</v>
      </c>
      <c r="O69" s="1884" t="s">
        <v>1044</v>
      </c>
      <c r="P69" s="1923" t="s">
        <v>1578</v>
      </c>
      <c r="Q69" s="1876">
        <f ca="1">C39</f>
        <v>1067</v>
      </c>
      <c r="R69" s="1876" t="s">
        <v>1523</v>
      </c>
    </row>
    <row r="70" spans="1:18" s="1832" customFormat="1" ht="13.5" thickBot="1">
      <c r="A70" s="1171"/>
      <c r="B70" s="1172"/>
      <c r="C70" s="354"/>
      <c r="D70" s="1183"/>
      <c r="E70" s="1167" t="s">
        <v>1471</v>
      </c>
      <c r="F70" s="1273"/>
      <c r="O70" s="1884" t="s">
        <v>1045</v>
      </c>
      <c r="P70" s="1923" t="s">
        <v>1579</v>
      </c>
      <c r="Q70" s="1876">
        <f ca="1">C13</f>
        <v>10934</v>
      </c>
      <c r="R70" s="1876" t="s">
        <v>1523</v>
      </c>
    </row>
    <row r="71" spans="1:18" s="1832" customFormat="1" ht="13.5" thickBot="1">
      <c r="A71" s="1188" t="s">
        <v>1029</v>
      </c>
      <c r="B71" s="1189" t="s">
        <v>1481</v>
      </c>
      <c r="C71" s="381">
        <f ca="1">ROUND(C68*10000/F71,0)</f>
        <v>-5704</v>
      </c>
      <c r="D71" s="1190" t="s">
        <v>1482</v>
      </c>
      <c r="E71" s="1191" t="s">
        <v>1483</v>
      </c>
      <c r="F71" s="384">
        <f ca="1">F43</f>
        <v>36939.72</v>
      </c>
      <c r="O71" s="1884" t="s">
        <v>1046</v>
      </c>
      <c r="P71" s="1923" t="s">
        <v>1580</v>
      </c>
      <c r="Q71" s="1887">
        <f ca="1">C76</f>
        <v>0.08</v>
      </c>
      <c r="R71" s="1876"/>
    </row>
    <row r="72" spans="1:18" s="1832" customFormat="1" ht="13.5" thickBot="1">
      <c r="B72" s="794"/>
      <c r="C72" s="794"/>
      <c r="O72" s="1884" t="s">
        <v>1040</v>
      </c>
      <c r="P72" s="1875" t="s">
        <v>1558</v>
      </c>
      <c r="Q72" s="1887">
        <f>L52</f>
        <v>0</v>
      </c>
      <c r="R72" s="1876"/>
    </row>
    <row r="73" spans="1:18" ht="16.5" thickBot="1">
      <c r="A73" s="1832"/>
      <c r="B73" s="794"/>
      <c r="C73" s="794"/>
      <c r="D73" s="1832"/>
      <c r="E73" s="1832"/>
      <c r="F73" s="1832"/>
      <c r="O73" s="1884" t="s">
        <v>1041</v>
      </c>
      <c r="P73" s="1875" t="s">
        <v>1561</v>
      </c>
      <c r="Q73" s="1876" t="e">
        <f ca="1">L58</f>
        <v>#DIV/0!</v>
      </c>
      <c r="R73" s="1876" t="s">
        <v>1562</v>
      </c>
    </row>
    <row r="74" spans="1:18" ht="13.5" thickBot="1">
      <c r="A74" s="1832"/>
      <c r="B74" s="316"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5" t="s">
        <v>1500</v>
      </c>
      <c r="C75" s="386">
        <f ca="1">ROUND(C13*C76,0)</f>
        <v>875</v>
      </c>
      <c r="D75" s="1832"/>
      <c r="E75" s="1832"/>
      <c r="F75" s="1832"/>
      <c r="K75" s="1858"/>
      <c r="L75" s="1832"/>
      <c r="O75" s="1874" t="s">
        <v>1042</v>
      </c>
      <c r="P75" s="1875" t="s">
        <v>1543</v>
      </c>
      <c r="Q75" s="1876">
        <f ca="1">Q65+Q66</f>
        <v>19239</v>
      </c>
      <c r="R75" s="1876" t="s">
        <v>1043</v>
      </c>
    </row>
    <row r="76" spans="1:18">
      <c r="B76" s="387" t="s">
        <v>1501</v>
      </c>
      <c r="C76" s="388">
        <f ca="1">INDIRECT("'数据-取费表'!j"&amp;$G$1)</f>
        <v>0.08</v>
      </c>
      <c r="I76" s="1832"/>
      <c r="J76" s="1832"/>
      <c r="K76" s="1858"/>
      <c r="L76" s="1832"/>
    </row>
    <row r="77" spans="1:18">
      <c r="B77" s="389" t="s">
        <v>1502</v>
      </c>
      <c r="C77" s="390"/>
      <c r="I77" s="1832"/>
      <c r="J77" s="1832"/>
      <c r="K77" s="1858"/>
      <c r="L77" s="1832"/>
    </row>
    <row r="78" spans="1:18">
      <c r="B78" s="313" t="s">
        <v>1503</v>
      </c>
      <c r="C78" s="391"/>
    </row>
    <row r="79" spans="1:18">
      <c r="B79" s="385" t="s">
        <v>1504</v>
      </c>
      <c r="C79" s="317">
        <f ca="1">1-C80</f>
        <v>0.18000000000000005</v>
      </c>
    </row>
    <row r="80" spans="1:18">
      <c r="B80" s="385" t="s">
        <v>1505</v>
      </c>
      <c r="C80" s="317">
        <f ca="1">ROUND(C75/C39,3)</f>
        <v>0.82</v>
      </c>
    </row>
    <row r="81" spans="2:3">
      <c r="B81" s="313" t="s">
        <v>1506</v>
      </c>
      <c r="C81" s="281"/>
    </row>
    <row r="82" spans="2:3">
      <c r="B82" s="316" t="s">
        <v>1507</v>
      </c>
      <c r="C82" s="318">
        <f ca="1">1-C83</f>
        <v>0.43200000000000005</v>
      </c>
    </row>
    <row r="83" spans="2:3">
      <c r="B83" s="316" t="s">
        <v>1508</v>
      </c>
      <c r="C83" s="317">
        <f ca="1">ROUND(C13/C40,3)</f>
        <v>0.56799999999999995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6" sqref="K36"/>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53" t="s">
        <v>2525</v>
      </c>
      <c r="B1" s="2554"/>
      <c r="C1" s="2554"/>
      <c r="D1" s="2554"/>
      <c r="E1" s="2555"/>
    </row>
    <row r="2" spans="1:6" ht="15.75">
      <c r="A2" s="2556" t="s">
        <v>2326</v>
      </c>
      <c r="B2" s="2557">
        <f ca="1">SUMIF(B6:B13,"&lt;&gt;#ref!",B6:B13)</f>
        <v>34872</v>
      </c>
      <c r="C2" s="2558" t="s">
        <v>2518</v>
      </c>
      <c r="D2" s="2559" t="s">
        <v>2519</v>
      </c>
      <c r="E2" s="2560">
        <f>SUM(E6:E13)</f>
        <v>66988.94</v>
      </c>
    </row>
    <row r="3" spans="1:6" ht="15.75">
      <c r="A3" s="2556" t="s">
        <v>1389</v>
      </c>
      <c r="B3" s="2557">
        <f ca="1">ROUND(B2*10000/E2,0)</f>
        <v>5206</v>
      </c>
      <c r="C3" s="2558" t="s">
        <v>2526</v>
      </c>
      <c r="D3" s="2561"/>
      <c r="E3" s="2562"/>
    </row>
    <row r="4" spans="1:6" ht="15.75">
      <c r="A4" s="2563"/>
      <c r="B4" s="2561"/>
      <c r="C4" s="2561"/>
      <c r="D4" s="2561"/>
      <c r="E4" s="2562"/>
    </row>
    <row r="5" spans="1:6" ht="15">
      <c r="A5" s="2564" t="s">
        <v>2520</v>
      </c>
      <c r="B5" s="3163" t="s">
        <v>2521</v>
      </c>
      <c r="C5" s="3163"/>
      <c r="D5" s="2565"/>
      <c r="E5" s="2566" t="s">
        <v>2522</v>
      </c>
      <c r="F5" s="2567" t="s">
        <v>2523</v>
      </c>
    </row>
    <row r="6" spans="1:6">
      <c r="A6" s="2568" t="str">
        <f>'数据-取费表'!AN6</f>
        <v>收益法</v>
      </c>
      <c r="B6" s="2567">
        <f ca="1">IF(F6="是",'数据-取费表'!AO6,0)</f>
        <v>15633</v>
      </c>
      <c r="C6" s="2558" t="s">
        <v>2518</v>
      </c>
      <c r="D6" s="2561"/>
      <c r="E6" s="2569">
        <f>IF(OR(A6=0,F6="否"),0,'数据-取费表'!K6+'数据-取费表'!S6)</f>
        <v>30049.22</v>
      </c>
      <c r="F6" s="2570" t="s">
        <v>2524</v>
      </c>
    </row>
    <row r="7" spans="1:6">
      <c r="A7" s="2568" t="str">
        <f>'数据-取费表'!AN7</f>
        <v>收益法 (2)</v>
      </c>
      <c r="B7" s="2567">
        <f ca="1">IF(F7="是",'数据-取费表'!AO7,0)</f>
        <v>19239</v>
      </c>
      <c r="C7" s="2558" t="s">
        <v>2518</v>
      </c>
      <c r="D7" s="2561"/>
      <c r="E7" s="2569">
        <f>IF(OR(A7=0,F7="否"),0,'数据-取费表'!K7+'数据-取费表'!S7)</f>
        <v>36939.72</v>
      </c>
      <c r="F7" s="2570" t="s">
        <v>2524</v>
      </c>
    </row>
    <row r="8" spans="1:6">
      <c r="A8" s="2568">
        <f>'数据-取费表'!AN8</f>
        <v>0</v>
      </c>
      <c r="B8" s="2567" t="e">
        <f ca="1">IF(F8="是",'数据-取费表'!AO8,0)</f>
        <v>#REF!</v>
      </c>
      <c r="C8" s="2558" t="s">
        <v>2518</v>
      </c>
      <c r="D8" s="2561"/>
      <c r="E8" s="2569">
        <f>IF(OR(A8=0,F8="否"),0,'数据-取费表'!K8+'数据-取费表'!S8)</f>
        <v>0</v>
      </c>
      <c r="F8" s="2570" t="s">
        <v>2524</v>
      </c>
    </row>
    <row r="9" spans="1:6">
      <c r="A9" s="2568">
        <f>'数据-取费表'!AN9</f>
        <v>0</v>
      </c>
      <c r="B9" s="2567" t="e">
        <f ca="1">IF(F9="是",'数据-取费表'!AO9,0)</f>
        <v>#REF!</v>
      </c>
      <c r="C9" s="2558" t="s">
        <v>2518</v>
      </c>
      <c r="D9" s="2561"/>
      <c r="E9" s="2569">
        <f>IF(OR(A9=0,F9="否"),0,'数据-取费表'!K9+'数据-取费表'!S9)</f>
        <v>0</v>
      </c>
      <c r="F9" s="2570" t="s">
        <v>2524</v>
      </c>
    </row>
    <row r="10" spans="1:6">
      <c r="A10" s="2568">
        <f>'数据-取费表'!AN10</f>
        <v>0</v>
      </c>
      <c r="B10" s="2567" t="e">
        <f ca="1">IF(F10="是",'数据-取费表'!AO10,0)</f>
        <v>#REF!</v>
      </c>
      <c r="C10" s="2558" t="s">
        <v>2518</v>
      </c>
      <c r="D10" s="2561"/>
      <c r="E10" s="2569">
        <f>IF(OR(A10=0,F10="否"),0,'数据-取费表'!K10+'数据-取费表'!S10)</f>
        <v>0</v>
      </c>
      <c r="F10" s="2570" t="s">
        <v>2524</v>
      </c>
    </row>
    <row r="11" spans="1:6">
      <c r="A11" s="2568">
        <f>'数据-取费表'!AN11</f>
        <v>0</v>
      </c>
      <c r="B11" s="2567" t="e">
        <f ca="1">IF(F11="是",'数据-取费表'!AO11,0)</f>
        <v>#REF!</v>
      </c>
      <c r="C11" s="2558" t="s">
        <v>2518</v>
      </c>
      <c r="D11" s="2561"/>
      <c r="E11" s="2569">
        <f>IF(OR(A11=0,F11="否"),0,'数据-取费表'!K11+'数据-取费表'!S11)</f>
        <v>0</v>
      </c>
      <c r="F11" s="2570" t="s">
        <v>2524</v>
      </c>
    </row>
    <row r="12" spans="1:6">
      <c r="A12" s="2568">
        <f>'数据-取费表'!AN12</f>
        <v>0</v>
      </c>
      <c r="B12" s="2567" t="e">
        <f ca="1">IF(F12="是",'数据-取费表'!AO12,0)</f>
        <v>#REF!</v>
      </c>
      <c r="C12" s="2558" t="s">
        <v>2518</v>
      </c>
      <c r="D12" s="2561"/>
      <c r="E12" s="2569">
        <f>IF(OR(A12=0,F12="否"),0,'数据-取费表'!K12+'数据-取费表'!S12)</f>
        <v>0</v>
      </c>
      <c r="F12" s="2570" t="s">
        <v>2524</v>
      </c>
    </row>
    <row r="13" spans="1:6" ht="15" thickBot="1">
      <c r="A13" s="2571">
        <f>'数据-取费表'!AN13</f>
        <v>0</v>
      </c>
      <c r="B13" s="2567" t="e">
        <f ca="1">IF(F13="是",'数据-取费表'!AO13,0)</f>
        <v>#REF!</v>
      </c>
      <c r="C13" s="2572" t="s">
        <v>2518</v>
      </c>
      <c r="D13" s="2573"/>
      <c r="E13" s="2569">
        <f>IF(OR(A13=0,F13="否"),0,'数据-取费表'!K13+'数据-取费表'!S13)</f>
        <v>0</v>
      </c>
      <c r="F13" s="257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1" t="s">
        <v>2701</v>
      </c>
      <c r="C1" s="1618" t="s">
        <v>2529</v>
      </c>
      <c r="D1" s="1619"/>
      <c r="E1" s="1628"/>
      <c r="F1" s="2576"/>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IF(C2="——",ROUND(C43*D3/10000,0),ROUND(C43*D3/10000,0)-D2)</f>
        <v>#N/A</v>
      </c>
      <c r="C2" s="2578"/>
      <c r="D2" s="1122" t="e">
        <f ca="1">SUMIF(INDIRECT("'"&amp;F2&amp;"'"&amp;"!A:A"),"承租人权益价值",INDIRECT("'"&amp;F2&amp;"'"&amp;"!c:c"))</f>
        <v>#REF!</v>
      </c>
      <c r="E2" s="2579" t="s">
        <v>2327</v>
      </c>
      <c r="F2" s="2580"/>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2328</v>
      </c>
      <c r="B3" s="608" t="e">
        <f ca="1">IF(C2="——",C43,ROUND(B2*10000/D3,0))</f>
        <v>#N/A</v>
      </c>
      <c r="C3" s="399" t="s">
        <v>2643</v>
      </c>
      <c r="D3" s="398">
        <f>IF(D1="",'数据-汇总表'!E3,SUMIF('数据-汇总表'!$C19:$C33,D1,'数据-汇总表'!$E19:$E33))</f>
        <v>66988.94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01" t="s">
        <v>2647</v>
      </c>
      <c r="AC4" s="3200" t="s">
        <v>2648</v>
      </c>
    </row>
    <row r="5" spans="1:29" ht="15">
      <c r="A5" s="403"/>
      <c r="B5" s="404"/>
      <c r="C5" s="3222" t="s">
        <v>2541</v>
      </c>
      <c r="D5" s="3223"/>
      <c r="E5" s="3302" t="s">
        <v>3141</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01"/>
      <c r="AC5" s="3201"/>
    </row>
    <row r="6" spans="1:29" ht="15.75" thickBot="1">
      <c r="A6" s="405"/>
      <c r="B6" s="406"/>
      <c r="C6" s="3220" t="s">
        <v>2545</v>
      </c>
      <c r="D6" s="3221"/>
      <c r="E6" s="3227" t="s">
        <v>2545</v>
      </c>
      <c r="F6" s="3228"/>
      <c r="G6" s="3220" t="s">
        <v>2545</v>
      </c>
      <c r="H6" s="3221"/>
      <c r="I6" s="3220" t="s">
        <v>2545</v>
      </c>
      <c r="J6" s="3221"/>
      <c r="K6" s="609" t="s">
        <v>2546</v>
      </c>
      <c r="L6" s="1128"/>
      <c r="M6" s="1129"/>
      <c r="N6" s="1129"/>
      <c r="O6" s="1129"/>
      <c r="P6" s="3211"/>
      <c r="Q6" s="3212"/>
      <c r="R6" s="3215"/>
      <c r="S6" s="3216"/>
      <c r="T6" s="3217"/>
      <c r="U6" s="3218"/>
      <c r="V6" s="3219"/>
      <c r="W6" s="3219"/>
      <c r="X6" s="1803"/>
      <c r="Y6" s="3217"/>
      <c r="Z6" s="3218"/>
      <c r="AA6" s="3202"/>
      <c r="AB6" s="3202"/>
      <c r="AC6" s="3202"/>
    </row>
    <row r="7" spans="1:29" s="117" customFormat="1" ht="15.75" thickBot="1">
      <c r="A7" s="407" t="s">
        <v>2547</v>
      </c>
      <c r="B7" s="408"/>
      <c r="C7" s="409">
        <f>'数据-取费表'!B2</f>
        <v>44005</v>
      </c>
      <c r="D7" s="410">
        <v>100</v>
      </c>
      <c r="E7" s="411">
        <f>C7</f>
        <v>44005</v>
      </c>
      <c r="F7" s="412">
        <f>SUMIF(52:52,YEAR(E7)&amp;"-"&amp;MONTH(E7),53:53)</f>
        <v>100</v>
      </c>
      <c r="G7" s="411">
        <f>C7</f>
        <v>44005</v>
      </c>
      <c r="H7" s="410">
        <f>SUMIF(52:52,YEAR(G7)&amp;"-"&amp;MONTH(G7),53:53)</f>
        <v>100</v>
      </c>
      <c r="I7" s="411">
        <f>C7</f>
        <v>44005</v>
      </c>
      <c r="J7" s="410">
        <f>SUMIF(52:52,YEAR(I7)&amp;"-"&amp;MONTH(I7),53:53)</f>
        <v>100</v>
      </c>
      <c r="K7" s="610"/>
      <c r="L7" s="1130"/>
      <c r="M7" s="1131"/>
      <c r="N7" s="1131"/>
      <c r="O7" s="1131"/>
      <c r="P7" s="3224" t="s">
        <v>2548</v>
      </c>
      <c r="Q7" s="3226"/>
      <c r="R7" s="768" t="s">
        <v>17</v>
      </c>
      <c r="S7" s="769">
        <f t="shared" ref="S7:S15" si="0">F7</f>
        <v>100</v>
      </c>
      <c r="T7" s="768" t="s">
        <v>17</v>
      </c>
      <c r="U7" s="769">
        <f t="shared" ref="U7:U15" si="1">H7</f>
        <v>100</v>
      </c>
      <c r="V7" s="768" t="s">
        <v>17</v>
      </c>
      <c r="W7" s="769">
        <f t="shared" ref="W7:W15" si="2">J7</f>
        <v>100</v>
      </c>
      <c r="X7" s="770"/>
      <c r="Y7" s="3224" t="s">
        <v>2548</v>
      </c>
      <c r="Z7" s="3225"/>
      <c r="AA7" s="771">
        <f>D7/F7</f>
        <v>1</v>
      </c>
      <c r="AB7" s="771">
        <f>D7/H7</f>
        <v>1</v>
      </c>
      <c r="AC7" s="771">
        <f>D7/J7</f>
        <v>1</v>
      </c>
    </row>
    <row r="8" spans="1:29" s="117" customFormat="1" ht="15.75" thickBot="1">
      <c r="A8" s="407" t="s">
        <v>2549</v>
      </c>
      <c r="B8" s="408"/>
      <c r="C8" s="413" t="s">
        <v>2550</v>
      </c>
      <c r="D8" s="410">
        <v>100</v>
      </c>
      <c r="E8" s="413" t="s">
        <v>3140</v>
      </c>
      <c r="F8" s="412">
        <f>SUMIF(55:55,E8,56:56)-SUMIF(55:55,C8,56:56)+100</f>
        <v>100</v>
      </c>
      <c r="G8" s="413" t="s">
        <v>3140</v>
      </c>
      <c r="H8" s="410">
        <f>SUMIF(55:55,G8,56:56)-SUMIF(55:55,C8,56:56)+100</f>
        <v>100</v>
      </c>
      <c r="I8" s="413" t="s">
        <v>3140</v>
      </c>
      <c r="J8" s="410">
        <f>SUMIF(55:55,I8,56:56)-SUMIF(55:55,C8,56:56)+100</f>
        <v>100</v>
      </c>
      <c r="K8" s="610"/>
      <c r="L8" s="1130"/>
      <c r="M8" s="1131"/>
      <c r="N8" s="1131"/>
      <c r="O8" s="1131"/>
      <c r="P8" s="3224" t="s">
        <v>2551</v>
      </c>
      <c r="Q8" s="3225"/>
      <c r="R8" s="768" t="s">
        <v>17</v>
      </c>
      <c r="S8" s="769">
        <f t="shared" si="0"/>
        <v>100</v>
      </c>
      <c r="T8" s="768" t="s">
        <v>17</v>
      </c>
      <c r="U8" s="769">
        <f t="shared" si="1"/>
        <v>100</v>
      </c>
      <c r="V8" s="768" t="s">
        <v>17</v>
      </c>
      <c r="W8" s="769">
        <f t="shared" si="2"/>
        <v>100</v>
      </c>
      <c r="X8" s="770"/>
      <c r="Y8" s="3224" t="s">
        <v>2551</v>
      </c>
      <c r="Z8" s="3225"/>
      <c r="AA8" s="771">
        <f t="shared" ref="AA8:AA40" si="3">D8/F8</f>
        <v>1</v>
      </c>
      <c r="AB8" s="771">
        <f t="shared" ref="AB8:AB40" si="4">D8/H8</f>
        <v>1</v>
      </c>
      <c r="AC8" s="771">
        <f t="shared" ref="AC8:AC40" si="5">D8/J8</f>
        <v>1</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8"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771">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v>2</v>
      </c>
      <c r="L10" s="1133"/>
      <c r="M10" s="1134"/>
      <c r="N10" s="1134"/>
      <c r="O10" s="1135"/>
      <c r="P10" s="3188"/>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7"/>
      <c r="B11" s="421" t="s">
        <v>2557</v>
      </c>
      <c r="C11" s="428">
        <v>0</v>
      </c>
      <c r="D11" s="135">
        <v>100</v>
      </c>
      <c r="E11" s="428"/>
      <c r="F11" s="135">
        <f>LOOKUP(E11,62:62,63:63)-LOOKUP(C11,62:62,63:63)+100</f>
        <v>100</v>
      </c>
      <c r="G11" s="429"/>
      <c r="H11" s="135">
        <f>LOOKUP(G11,62:62,63:63)-LOOKUP(C11,62:62,63:63)+100</f>
        <v>100</v>
      </c>
      <c r="I11" s="428"/>
      <c r="J11" s="135">
        <f>LOOKUP(I11,62:62,63:63)-LOOKUP(C11,62:62,63:63)+100</f>
        <v>100</v>
      </c>
      <c r="K11" s="611">
        <v>2</v>
      </c>
      <c r="L11" s="1136"/>
      <c r="M11" s="1129"/>
      <c r="N11" s="1129"/>
      <c r="O11" s="1137"/>
      <c r="P11" s="3188"/>
      <c r="Q11" s="1785" t="str">
        <f t="shared" si="6"/>
        <v>容积率</v>
      </c>
      <c r="R11" s="768" t="s">
        <v>17</v>
      </c>
      <c r="S11" s="769">
        <f t="shared" si="0"/>
        <v>100</v>
      </c>
      <c r="T11" s="768" t="s">
        <v>17</v>
      </c>
      <c r="U11" s="769">
        <f t="shared" si="1"/>
        <v>100</v>
      </c>
      <c r="V11" s="768" t="s">
        <v>17</v>
      </c>
      <c r="W11" s="769">
        <f t="shared" si="2"/>
        <v>100</v>
      </c>
      <c r="X11" s="770"/>
      <c r="Y11" s="3011"/>
      <c r="Z11" s="55" t="str">
        <f t="shared" si="7"/>
        <v>容积率</v>
      </c>
      <c r="AA11" s="771">
        <f t="shared" si="3"/>
        <v>1</v>
      </c>
      <c r="AB11" s="771">
        <f t="shared" si="4"/>
        <v>1</v>
      </c>
      <c r="AC11" s="771">
        <f t="shared" si="5"/>
        <v>1</v>
      </c>
    </row>
    <row r="12" spans="1:29" s="117"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30"/>
      <c r="M12" s="1131"/>
      <c r="N12" s="1131"/>
      <c r="O12" s="1132"/>
      <c r="P12" s="3188"/>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8"/>
      <c r="M13" s="1129"/>
      <c r="N13" s="1129"/>
      <c r="O13" s="1137"/>
      <c r="P13" s="3188"/>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8"/>
      <c r="M14" s="1129"/>
      <c r="N14" s="1129"/>
      <c r="O14" s="1137"/>
      <c r="P14" s="3188"/>
      <c r="Q14" s="1785">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771">
        <f t="shared" si="5"/>
        <v>1</v>
      </c>
    </row>
    <row r="15" spans="1:29" ht="57">
      <c r="A15" s="439" t="s">
        <v>2558</v>
      </c>
      <c r="B15" s="69" t="s">
        <v>2702</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0" t="s">
        <v>2559</v>
      </c>
      <c r="Q15" s="1800" t="str">
        <f t="shared" si="6"/>
        <v>产业集聚程度</v>
      </c>
      <c r="R15" s="772" t="s">
        <v>17</v>
      </c>
      <c r="S15" s="773">
        <f t="shared" si="0"/>
        <v>100</v>
      </c>
      <c r="T15" s="772" t="s">
        <v>17</v>
      </c>
      <c r="U15" s="773">
        <f t="shared" si="1"/>
        <v>100</v>
      </c>
      <c r="V15" s="772" t="s">
        <v>17</v>
      </c>
      <c r="W15" s="773">
        <f t="shared" si="2"/>
        <v>100</v>
      </c>
      <c r="X15" s="1803"/>
      <c r="Y15" s="3190" t="s">
        <v>2559</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8"/>
      <c r="M16" s="1129"/>
      <c r="N16" s="1129"/>
      <c r="O16" s="1137"/>
      <c r="P16" s="3191"/>
      <c r="Q16" s="1800"/>
      <c r="R16" s="772"/>
      <c r="S16" s="773"/>
      <c r="T16" s="772"/>
      <c r="U16" s="773"/>
      <c r="V16" s="772"/>
      <c r="W16" s="773"/>
      <c r="X16" s="1803"/>
      <c r="Y16" s="3191"/>
      <c r="Z16" s="1804"/>
      <c r="AA16" s="1801">
        <v>1</v>
      </c>
      <c r="AB16" s="1801">
        <v>1</v>
      </c>
      <c r="AC16" s="1801">
        <v>1</v>
      </c>
    </row>
    <row r="17" spans="1:29" ht="85.5">
      <c r="A17" s="427"/>
      <c r="B17" s="450" t="s">
        <v>2095</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1"/>
      <c r="Q17" s="1800" t="str">
        <f>B17</f>
        <v>交通便捷度</v>
      </c>
      <c r="R17" s="772" t="s">
        <v>17</v>
      </c>
      <c r="S17" s="773">
        <f>F17</f>
        <v>100</v>
      </c>
      <c r="T17" s="772" t="s">
        <v>17</v>
      </c>
      <c r="U17" s="773">
        <f>H17</f>
        <v>100</v>
      </c>
      <c r="V17" s="772" t="s">
        <v>17</v>
      </c>
      <c r="W17" s="773">
        <f>J17</f>
        <v>100</v>
      </c>
      <c r="X17" s="1803"/>
      <c r="Y17" s="3191"/>
      <c r="Z17" s="1804" t="str">
        <f>Q17</f>
        <v>交通便捷度</v>
      </c>
      <c r="AA17" s="1801">
        <f t="shared" si="3"/>
        <v>1</v>
      </c>
      <c r="AB17" s="1801">
        <f t="shared" si="4"/>
        <v>1</v>
      </c>
      <c r="AC17" s="1801">
        <f t="shared" si="5"/>
        <v>1</v>
      </c>
    </row>
    <row r="18" spans="1:29" ht="15">
      <c r="A18" s="427"/>
      <c r="B18" s="455"/>
      <c r="C18" s="2600"/>
      <c r="D18" s="449"/>
      <c r="E18" s="2602"/>
      <c r="F18" s="452"/>
      <c r="G18" s="2601"/>
      <c r="H18" s="447"/>
      <c r="I18" s="2602"/>
      <c r="J18" s="447"/>
      <c r="K18" s="614"/>
      <c r="L18" s="1138"/>
      <c r="M18" s="1129"/>
      <c r="N18" s="1129"/>
      <c r="O18" s="1137"/>
      <c r="P18" s="3191"/>
      <c r="Q18" s="1800"/>
      <c r="R18" s="772"/>
      <c r="S18" s="773"/>
      <c r="T18" s="772"/>
      <c r="U18" s="773"/>
      <c r="V18" s="772"/>
      <c r="W18" s="773"/>
      <c r="X18" s="1803"/>
      <c r="Y18" s="3191"/>
      <c r="Z18" s="1804"/>
      <c r="AA18" s="1801">
        <v>1</v>
      </c>
      <c r="AB18" s="1801">
        <v>1</v>
      </c>
      <c r="AC18" s="1801">
        <v>1</v>
      </c>
    </row>
    <row r="19" spans="1:29" ht="42.75">
      <c r="A19" s="427"/>
      <c r="B19" s="450" t="s">
        <v>2687</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1"/>
      <c r="Q19" s="1800" t="str">
        <f>B19</f>
        <v>公共配套设施</v>
      </c>
      <c r="R19" s="772" t="s">
        <v>17</v>
      </c>
      <c r="S19" s="773">
        <f>F19</f>
        <v>100</v>
      </c>
      <c r="T19" s="772" t="s">
        <v>17</v>
      </c>
      <c r="U19" s="773">
        <f>H19</f>
        <v>100</v>
      </c>
      <c r="V19" s="772" t="s">
        <v>17</v>
      </c>
      <c r="W19" s="773">
        <f>J19</f>
        <v>100</v>
      </c>
      <c r="X19" s="1803"/>
      <c r="Y19" s="3191"/>
      <c r="Z19" s="1804" t="str">
        <f>Q19</f>
        <v>公共配套设施</v>
      </c>
      <c r="AA19" s="1801">
        <f t="shared" si="3"/>
        <v>1</v>
      </c>
      <c r="AB19" s="1801">
        <f t="shared" si="4"/>
        <v>1</v>
      </c>
      <c r="AC19" s="1801">
        <f t="shared" si="5"/>
        <v>1</v>
      </c>
    </row>
    <row r="20" spans="1:29" ht="15">
      <c r="A20" s="427"/>
      <c r="B20" s="455"/>
      <c r="C20" s="446"/>
      <c r="D20" s="447"/>
      <c r="E20" s="2597"/>
      <c r="F20" s="448"/>
      <c r="G20" s="2596"/>
      <c r="H20" s="447"/>
      <c r="I20" s="2597"/>
      <c r="J20" s="447"/>
      <c r="K20" s="614"/>
      <c r="L20" s="1138"/>
      <c r="M20" s="1129"/>
      <c r="N20" s="1129"/>
      <c r="O20" s="1137"/>
      <c r="P20" s="3191"/>
      <c r="Q20" s="1800"/>
      <c r="R20" s="772"/>
      <c r="S20" s="773"/>
      <c r="T20" s="772"/>
      <c r="U20" s="773"/>
      <c r="V20" s="772"/>
      <c r="W20" s="773"/>
      <c r="X20" s="1803"/>
      <c r="Y20" s="3191"/>
      <c r="Z20" s="1804"/>
      <c r="AA20" s="1801">
        <v>1</v>
      </c>
      <c r="AB20" s="1801">
        <v>1</v>
      </c>
      <c r="AC20" s="1801">
        <v>1</v>
      </c>
    </row>
    <row r="21" spans="1:29" ht="28.5">
      <c r="A21" s="427"/>
      <c r="B21" s="1382" t="s">
        <v>2688</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1"/>
      <c r="Q21" s="1800" t="str">
        <f>B21</f>
        <v>基础设施水平</v>
      </c>
      <c r="R21" s="772" t="s">
        <v>17</v>
      </c>
      <c r="S21" s="773">
        <f>F21</f>
        <v>100</v>
      </c>
      <c r="T21" s="772" t="s">
        <v>17</v>
      </c>
      <c r="U21" s="773">
        <f>H21</f>
        <v>100</v>
      </c>
      <c r="V21" s="772" t="s">
        <v>17</v>
      </c>
      <c r="W21" s="773">
        <f>J21</f>
        <v>100</v>
      </c>
      <c r="X21" s="1803"/>
      <c r="Y21" s="3191"/>
      <c r="Z21" s="1804" t="str">
        <f>Q21</f>
        <v>基础设施水平</v>
      </c>
      <c r="AA21" s="1801">
        <f t="shared" ref="AA21" si="8">D21/F21</f>
        <v>1</v>
      </c>
      <c r="AB21" s="1801">
        <f t="shared" ref="AB21" si="9">D21/H21</f>
        <v>1</v>
      </c>
      <c r="AC21" s="1801">
        <f t="shared" ref="AC21" si="10">D21/J21</f>
        <v>1</v>
      </c>
    </row>
    <row r="22" spans="1:29" ht="15">
      <c r="A22" s="427"/>
      <c r="B22" s="1382"/>
      <c r="C22" s="2600"/>
      <c r="D22" s="447"/>
      <c r="E22" s="446"/>
      <c r="F22" s="448"/>
      <c r="G22" s="446"/>
      <c r="H22" s="447"/>
      <c r="I22" s="446"/>
      <c r="J22" s="447"/>
      <c r="K22" s="1381"/>
      <c r="L22" s="1138"/>
      <c r="M22" s="1129"/>
      <c r="N22" s="1129"/>
      <c r="O22" s="1137"/>
      <c r="P22" s="3191"/>
      <c r="Q22" s="1800"/>
      <c r="R22" s="772"/>
      <c r="S22" s="773"/>
      <c r="T22" s="772"/>
      <c r="U22" s="773"/>
      <c r="V22" s="772"/>
      <c r="W22" s="773"/>
      <c r="X22" s="1803"/>
      <c r="Y22" s="3191"/>
      <c r="Z22" s="1804"/>
      <c r="AA22" s="1801">
        <v>1</v>
      </c>
      <c r="AB22" s="1801">
        <v>1</v>
      </c>
      <c r="AC22" s="1801">
        <v>1</v>
      </c>
    </row>
    <row r="23" spans="1:29" ht="71.25">
      <c r="A23" s="427"/>
      <c r="B23" s="450" t="s">
        <v>2689</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1"/>
      <c r="Q23" s="1800" t="str">
        <f>B23</f>
        <v>环境质量</v>
      </c>
      <c r="R23" s="772" t="s">
        <v>17</v>
      </c>
      <c r="S23" s="773">
        <f>F23</f>
        <v>100</v>
      </c>
      <c r="T23" s="772" t="s">
        <v>17</v>
      </c>
      <c r="U23" s="773">
        <f>H23</f>
        <v>100</v>
      </c>
      <c r="V23" s="772" t="s">
        <v>17</v>
      </c>
      <c r="W23" s="773">
        <f>J23</f>
        <v>100</v>
      </c>
      <c r="X23" s="1803"/>
      <c r="Y23" s="3191"/>
      <c r="Z23" s="1804" t="str">
        <f>Q23</f>
        <v>环境质量</v>
      </c>
      <c r="AA23" s="1801">
        <f t="shared" si="3"/>
        <v>1</v>
      </c>
      <c r="AB23" s="1801">
        <f t="shared" si="4"/>
        <v>1</v>
      </c>
      <c r="AC23" s="1801">
        <f t="shared" si="5"/>
        <v>1</v>
      </c>
    </row>
    <row r="24" spans="1:29" ht="15">
      <c r="A24" s="427"/>
      <c r="B24" s="1382"/>
      <c r="C24" s="446"/>
      <c r="D24" s="447"/>
      <c r="E24" s="2597"/>
      <c r="F24" s="448"/>
      <c r="G24" s="2596"/>
      <c r="H24" s="447"/>
      <c r="I24" s="2597"/>
      <c r="J24" s="447"/>
      <c r="K24" s="614"/>
      <c r="L24" s="1138"/>
      <c r="M24" s="1129"/>
      <c r="N24" s="1129"/>
      <c r="O24" s="1137"/>
      <c r="P24" s="3191"/>
      <c r="Q24" s="1800"/>
      <c r="R24" s="772"/>
      <c r="S24" s="773"/>
      <c r="T24" s="772"/>
      <c r="U24" s="773"/>
      <c r="V24" s="772"/>
      <c r="W24" s="773"/>
      <c r="X24" s="1803"/>
      <c r="Y24" s="3191"/>
      <c r="Z24" s="1804"/>
      <c r="AA24" s="1801">
        <v>1</v>
      </c>
      <c r="AB24" s="1801">
        <v>1</v>
      </c>
      <c r="AC24" s="1801">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1"/>
      <c r="Q25" s="1800">
        <f>B25</f>
        <v>111</v>
      </c>
      <c r="R25" s="772" t="s">
        <v>17</v>
      </c>
      <c r="S25" s="773">
        <f>F25</f>
        <v>100</v>
      </c>
      <c r="T25" s="772" t="s">
        <v>17</v>
      </c>
      <c r="U25" s="773">
        <f>H25</f>
        <v>100</v>
      </c>
      <c r="V25" s="772" t="s">
        <v>17</v>
      </c>
      <c r="W25" s="773">
        <f>J25</f>
        <v>100</v>
      </c>
      <c r="X25" s="1803"/>
      <c r="Y25" s="3191"/>
      <c r="Z25" s="1804">
        <f>Q25</f>
        <v>111</v>
      </c>
      <c r="AA25" s="1801">
        <f t="shared" si="3"/>
        <v>1</v>
      </c>
      <c r="AB25" s="1801">
        <f t="shared" si="4"/>
        <v>1</v>
      </c>
      <c r="AC25" s="1801">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1"/>
      <c r="Q26" s="1800">
        <f t="shared" ref="Q26:Q40" si="11">B26</f>
        <v>111</v>
      </c>
      <c r="R26" s="772" t="s">
        <v>17</v>
      </c>
      <c r="S26" s="773">
        <f>F26</f>
        <v>100</v>
      </c>
      <c r="T26" s="772" t="s">
        <v>17</v>
      </c>
      <c r="U26" s="773">
        <f>H26</f>
        <v>100</v>
      </c>
      <c r="V26" s="772" t="s">
        <v>17</v>
      </c>
      <c r="W26" s="773">
        <f>J26</f>
        <v>100</v>
      </c>
      <c r="X26" s="1803"/>
      <c r="Y26" s="3191"/>
      <c r="Z26" s="1804">
        <f>Q26</f>
        <v>111</v>
      </c>
      <c r="AA26" s="1801">
        <f t="shared" si="3"/>
        <v>1</v>
      </c>
      <c r="AB26" s="1801">
        <f t="shared" si="4"/>
        <v>1</v>
      </c>
      <c r="AC26" s="1801">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1"/>
      <c r="Q27" s="1785">
        <f t="shared" si="11"/>
        <v>111</v>
      </c>
      <c r="R27" s="768" t="s">
        <v>17</v>
      </c>
      <c r="S27" s="769">
        <f>F27</f>
        <v>100</v>
      </c>
      <c r="T27" s="768" t="s">
        <v>17</v>
      </c>
      <c r="U27" s="769">
        <f>H27</f>
        <v>100</v>
      </c>
      <c r="V27" s="768" t="s">
        <v>17</v>
      </c>
      <c r="W27" s="769">
        <f>J27</f>
        <v>100</v>
      </c>
      <c r="X27" s="770"/>
      <c r="Y27" s="3191"/>
      <c r="Z27" s="55">
        <f>Q27</f>
        <v>111</v>
      </c>
      <c r="AA27" s="1801">
        <f>D27/F27</f>
        <v>1</v>
      </c>
      <c r="AB27" s="1801">
        <f>D27/H27</f>
        <v>1</v>
      </c>
      <c r="AC27" s="1801">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1"/>
      <c r="Q28" s="1800">
        <f t="shared" si="11"/>
        <v>111</v>
      </c>
      <c r="R28" s="772" t="s">
        <v>17</v>
      </c>
      <c r="S28" s="773">
        <f t="shared" ref="S28:S40" si="12">F28</f>
        <v>100</v>
      </c>
      <c r="T28" s="772" t="s">
        <v>17</v>
      </c>
      <c r="U28" s="773">
        <f t="shared" ref="U28:U40" si="13">H28</f>
        <v>100</v>
      </c>
      <c r="V28" s="772" t="s">
        <v>17</v>
      </c>
      <c r="W28" s="773">
        <f t="shared" ref="W28:W40" si="14">J28</f>
        <v>100</v>
      </c>
      <c r="X28" s="1803"/>
      <c r="Y28" s="3191"/>
      <c r="Z28" s="1804">
        <f t="shared" ref="Z28:Z40" si="15">Q28</f>
        <v>111</v>
      </c>
      <c r="AA28" s="1801">
        <f t="shared" si="3"/>
        <v>1</v>
      </c>
      <c r="AB28" s="1801">
        <f t="shared" si="4"/>
        <v>1</v>
      </c>
      <c r="AC28" s="1801">
        <f t="shared" si="5"/>
        <v>1</v>
      </c>
    </row>
    <row r="29" spans="1:29" ht="28.5">
      <c r="A29" s="465" t="s">
        <v>2562</v>
      </c>
      <c r="B29" s="71" t="s">
        <v>2692</v>
      </c>
      <c r="C29" s="2671"/>
      <c r="D29" s="466">
        <v>100</v>
      </c>
      <c r="E29" s="2671"/>
      <c r="F29" s="460">
        <f>SUMIF(88:88,E29,89:89)-SUMIF(88:88,C29,89:89)+100</f>
        <v>100</v>
      </c>
      <c r="G29" s="2671"/>
      <c r="H29" s="434">
        <f>SUMIF(88:88,G29,89:89)-SUMIF(88:88,C29,89:89)+100</f>
        <v>100</v>
      </c>
      <c r="I29" s="2671"/>
      <c r="J29" s="466">
        <f>SUMIF(88:88,I29,89:89)-SUMIF(88:88,C29,89:89)+100</f>
        <v>100</v>
      </c>
      <c r="K29" s="611"/>
      <c r="L29" s="1138"/>
      <c r="M29" s="1129"/>
      <c r="N29" s="1129"/>
      <c r="O29" s="1137"/>
      <c r="P29" s="3246" t="s">
        <v>2564</v>
      </c>
      <c r="Q29" s="1800" t="str">
        <f t="shared" si="11"/>
        <v>建筑类型</v>
      </c>
      <c r="R29" s="772" t="s">
        <v>17</v>
      </c>
      <c r="S29" s="773">
        <f t="shared" si="12"/>
        <v>100</v>
      </c>
      <c r="T29" s="772" t="s">
        <v>17</v>
      </c>
      <c r="U29" s="773">
        <f t="shared" si="13"/>
        <v>100</v>
      </c>
      <c r="V29" s="772" t="s">
        <v>17</v>
      </c>
      <c r="W29" s="773">
        <f t="shared" si="14"/>
        <v>100</v>
      </c>
      <c r="X29" s="1803"/>
      <c r="Y29" s="3195" t="s">
        <v>2564</v>
      </c>
      <c r="Z29" s="1804" t="str">
        <f t="shared" si="15"/>
        <v>建筑类型</v>
      </c>
      <c r="AA29" s="1801">
        <f t="shared" si="3"/>
        <v>1</v>
      </c>
      <c r="AB29" s="1801">
        <f t="shared" si="4"/>
        <v>1</v>
      </c>
      <c r="AC29" s="1801">
        <f t="shared" si="5"/>
        <v>1</v>
      </c>
    </row>
    <row r="30" spans="1:29" s="470" customFormat="1" ht="15">
      <c r="A30" s="467"/>
      <c r="B30" s="421" t="s">
        <v>2565</v>
      </c>
      <c r="C30" s="468">
        <f>'数据-取费表'!K16</f>
        <v>66988.94</v>
      </c>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95"/>
      <c r="Q30" s="774" t="str">
        <f t="shared" si="11"/>
        <v>项目建筑规模</v>
      </c>
      <c r="R30" s="775" t="s">
        <v>17</v>
      </c>
      <c r="S30" s="776" t="e">
        <f t="shared" si="12"/>
        <v>#N/A</v>
      </c>
      <c r="T30" s="775" t="s">
        <v>17</v>
      </c>
      <c r="U30" s="776" t="e">
        <f t="shared" si="13"/>
        <v>#N/A</v>
      </c>
      <c r="V30" s="775" t="s">
        <v>17</v>
      </c>
      <c r="W30" s="776" t="e">
        <f t="shared" si="14"/>
        <v>#N/A</v>
      </c>
      <c r="X30" s="777"/>
      <c r="Y30" s="3195"/>
      <c r="Z30" s="778" t="str">
        <f t="shared" si="15"/>
        <v>项目建筑规模</v>
      </c>
      <c r="AA30" s="1801" t="e">
        <f t="shared" si="3"/>
        <v>#N/A</v>
      </c>
      <c r="AB30" s="1801" t="e">
        <f t="shared" si="4"/>
        <v>#N/A</v>
      </c>
      <c r="AC30" s="1801"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5"/>
      <c r="Q31" s="1800" t="str">
        <f t="shared" si="11"/>
        <v>建筑结构</v>
      </c>
      <c r="R31" s="772" t="s">
        <v>17</v>
      </c>
      <c r="S31" s="773">
        <f t="shared" si="12"/>
        <v>100</v>
      </c>
      <c r="T31" s="772" t="s">
        <v>17</v>
      </c>
      <c r="U31" s="773">
        <f t="shared" si="13"/>
        <v>100</v>
      </c>
      <c r="V31" s="772" t="s">
        <v>17</v>
      </c>
      <c r="W31" s="773">
        <f t="shared" si="14"/>
        <v>100</v>
      </c>
      <c r="X31" s="1803"/>
      <c r="Y31" s="3195"/>
      <c r="Z31" s="1804" t="str">
        <f t="shared" si="15"/>
        <v>建筑结构</v>
      </c>
      <c r="AA31" s="1801">
        <f t="shared" si="3"/>
        <v>1</v>
      </c>
      <c r="AB31" s="1801">
        <f t="shared" si="4"/>
        <v>1</v>
      </c>
      <c r="AC31" s="1801">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5"/>
      <c r="Q32" s="1800" t="str">
        <f t="shared" si="11"/>
        <v>公共部分装修</v>
      </c>
      <c r="R32" s="772" t="s">
        <v>17</v>
      </c>
      <c r="S32" s="773">
        <f t="shared" si="12"/>
        <v>100</v>
      </c>
      <c r="T32" s="772" t="s">
        <v>17</v>
      </c>
      <c r="U32" s="773">
        <f t="shared" si="13"/>
        <v>100</v>
      </c>
      <c r="V32" s="772" t="s">
        <v>17</v>
      </c>
      <c r="W32" s="773">
        <f t="shared" si="14"/>
        <v>100</v>
      </c>
      <c r="X32" s="1803"/>
      <c r="Y32" s="3195"/>
      <c r="Z32" s="1804" t="str">
        <f t="shared" si="15"/>
        <v>公共部分装修</v>
      </c>
      <c r="AA32" s="1801">
        <f t="shared" si="3"/>
        <v>1</v>
      </c>
      <c r="AB32" s="1801">
        <f t="shared" si="4"/>
        <v>1</v>
      </c>
      <c r="AC32" s="1801">
        <f t="shared" si="5"/>
        <v>1</v>
      </c>
    </row>
    <row r="33" spans="1:29" ht="15">
      <c r="A33" s="471"/>
      <c r="B33" s="421" t="s">
        <v>2661</v>
      </c>
      <c r="C33" s="3303">
        <f>'数据-取费表'!N16</f>
        <v>0.80800000000000005</v>
      </c>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5"/>
      <c r="Q33" s="1800" t="str">
        <f t="shared" si="11"/>
        <v>成新度</v>
      </c>
      <c r="R33" s="772" t="s">
        <v>17</v>
      </c>
      <c r="S33" s="773" t="e">
        <f t="shared" si="12"/>
        <v>#N/A</v>
      </c>
      <c r="T33" s="772" t="s">
        <v>17</v>
      </c>
      <c r="U33" s="773" t="e">
        <f t="shared" si="13"/>
        <v>#N/A</v>
      </c>
      <c r="V33" s="772" t="s">
        <v>17</v>
      </c>
      <c r="W33" s="773" t="e">
        <f t="shared" si="14"/>
        <v>#N/A</v>
      </c>
      <c r="X33" s="1803"/>
      <c r="Y33" s="3195"/>
      <c r="Z33" s="1804" t="str">
        <f t="shared" si="15"/>
        <v>成新度</v>
      </c>
      <c r="AA33" s="1801" t="e">
        <f t="shared" si="3"/>
        <v>#N/A</v>
      </c>
      <c r="AB33" s="1801" t="e">
        <f t="shared" si="4"/>
        <v>#N/A</v>
      </c>
      <c r="AC33" s="1801"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5"/>
      <c r="Q34" s="1785" t="str">
        <f t="shared" si="11"/>
        <v>物业管理</v>
      </c>
      <c r="R34" s="768" t="s">
        <v>17</v>
      </c>
      <c r="S34" s="769">
        <f t="shared" si="12"/>
        <v>100</v>
      </c>
      <c r="T34" s="768" t="s">
        <v>17</v>
      </c>
      <c r="U34" s="769">
        <f t="shared" si="13"/>
        <v>100</v>
      </c>
      <c r="V34" s="768" t="s">
        <v>17</v>
      </c>
      <c r="W34" s="769">
        <f t="shared" si="14"/>
        <v>100</v>
      </c>
      <c r="X34" s="770"/>
      <c r="Y34" s="3195"/>
      <c r="Z34" s="55" t="str">
        <f t="shared" si="15"/>
        <v>物业管理</v>
      </c>
      <c r="AA34" s="771">
        <f t="shared" si="3"/>
        <v>1</v>
      </c>
      <c r="AB34" s="771">
        <f t="shared" si="4"/>
        <v>1</v>
      </c>
      <c r="AC34" s="771">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5" t="s">
        <v>2564</v>
      </c>
      <c r="Q35" s="1800" t="str">
        <f t="shared" si="11"/>
        <v>市政基础设施</v>
      </c>
      <c r="R35" s="772" t="s">
        <v>17</v>
      </c>
      <c r="S35" s="773">
        <f t="shared" si="12"/>
        <v>100</v>
      </c>
      <c r="T35" s="772" t="s">
        <v>17</v>
      </c>
      <c r="U35" s="773">
        <f t="shared" si="13"/>
        <v>100</v>
      </c>
      <c r="V35" s="772" t="s">
        <v>17</v>
      </c>
      <c r="W35" s="773">
        <f t="shared" si="14"/>
        <v>100</v>
      </c>
      <c r="X35" s="1803"/>
      <c r="Y35" s="3195" t="s">
        <v>2564</v>
      </c>
      <c r="Z35" s="1804" t="str">
        <f t="shared" si="15"/>
        <v>市政基础设施</v>
      </c>
      <c r="AA35" s="1801">
        <f t="shared" si="3"/>
        <v>1</v>
      </c>
      <c r="AB35" s="1801">
        <f t="shared" si="4"/>
        <v>1</v>
      </c>
      <c r="AC35" s="1801">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5"/>
      <c r="Q36" s="1800" t="str">
        <f t="shared" si="11"/>
        <v>内部装修</v>
      </c>
      <c r="R36" s="772" t="s">
        <v>17</v>
      </c>
      <c r="S36" s="773">
        <f t="shared" si="12"/>
        <v>100</v>
      </c>
      <c r="T36" s="772" t="s">
        <v>17</v>
      </c>
      <c r="U36" s="773">
        <f t="shared" si="13"/>
        <v>100</v>
      </c>
      <c r="V36" s="772" t="s">
        <v>17</v>
      </c>
      <c r="W36" s="773">
        <f t="shared" si="14"/>
        <v>100</v>
      </c>
      <c r="X36" s="1803"/>
      <c r="Y36" s="3195"/>
      <c r="Z36" s="1804" t="str">
        <f t="shared" si="15"/>
        <v>内部装修</v>
      </c>
      <c r="AA36" s="1801">
        <f t="shared" si="3"/>
        <v>1</v>
      </c>
      <c r="AB36" s="1801">
        <f t="shared" si="4"/>
        <v>1</v>
      </c>
      <c r="AC36" s="1801">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5"/>
      <c r="Q37" s="1800" t="str">
        <f t="shared" si="11"/>
        <v>内部装修状况</v>
      </c>
      <c r="R37" s="772" t="s">
        <v>17</v>
      </c>
      <c r="S37" s="773">
        <f t="shared" si="12"/>
        <v>100</v>
      </c>
      <c r="T37" s="772" t="s">
        <v>17</v>
      </c>
      <c r="U37" s="773">
        <f t="shared" si="13"/>
        <v>100</v>
      </c>
      <c r="V37" s="772" t="s">
        <v>17</v>
      </c>
      <c r="W37" s="773">
        <f t="shared" si="14"/>
        <v>100</v>
      </c>
      <c r="X37" s="1803"/>
      <c r="Y37" s="3195"/>
      <c r="Z37" s="1804" t="str">
        <f t="shared" si="15"/>
        <v>内部装修状况</v>
      </c>
      <c r="AA37" s="1801">
        <f t="shared" si="3"/>
        <v>1</v>
      </c>
      <c r="AB37" s="1801">
        <f t="shared" si="4"/>
        <v>1</v>
      </c>
      <c r="AC37" s="1801">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5"/>
      <c r="Q38" s="774">
        <f t="shared" si="11"/>
        <v>111</v>
      </c>
      <c r="R38" s="775" t="s">
        <v>17</v>
      </c>
      <c r="S38" s="776">
        <f t="shared" si="12"/>
        <v>100</v>
      </c>
      <c r="T38" s="775" t="s">
        <v>17</v>
      </c>
      <c r="U38" s="776">
        <f t="shared" si="13"/>
        <v>100</v>
      </c>
      <c r="V38" s="775" t="s">
        <v>17</v>
      </c>
      <c r="W38" s="776">
        <f t="shared" si="14"/>
        <v>100</v>
      </c>
      <c r="X38" s="777"/>
      <c r="Y38" s="3195"/>
      <c r="Z38" s="778">
        <f t="shared" si="15"/>
        <v>111</v>
      </c>
      <c r="AA38" s="1801">
        <f t="shared" si="3"/>
        <v>1</v>
      </c>
      <c r="AB38" s="1801">
        <f t="shared" si="4"/>
        <v>1</v>
      </c>
      <c r="AC38" s="1801">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5"/>
      <c r="Q39" s="1800">
        <f t="shared" si="11"/>
        <v>111</v>
      </c>
      <c r="R39" s="772" t="s">
        <v>17</v>
      </c>
      <c r="S39" s="773">
        <f t="shared" si="12"/>
        <v>100</v>
      </c>
      <c r="T39" s="772" t="s">
        <v>17</v>
      </c>
      <c r="U39" s="773">
        <f t="shared" si="13"/>
        <v>100</v>
      </c>
      <c r="V39" s="772" t="s">
        <v>17</v>
      </c>
      <c r="W39" s="773">
        <f t="shared" si="14"/>
        <v>100</v>
      </c>
      <c r="X39" s="1803"/>
      <c r="Y39" s="3195"/>
      <c r="Z39" s="1804">
        <f t="shared" si="15"/>
        <v>111</v>
      </c>
      <c r="AA39" s="1801">
        <f t="shared" si="3"/>
        <v>1</v>
      </c>
      <c r="AB39" s="1801">
        <f t="shared" si="4"/>
        <v>1</v>
      </c>
      <c r="AC39" s="1801">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196"/>
      <c r="Q40" s="1800">
        <f t="shared" si="11"/>
        <v>111</v>
      </c>
      <c r="R40" s="772" t="s">
        <v>17</v>
      </c>
      <c r="S40" s="773">
        <f t="shared" si="12"/>
        <v>100</v>
      </c>
      <c r="T40" s="772" t="s">
        <v>17</v>
      </c>
      <c r="U40" s="773">
        <f t="shared" si="13"/>
        <v>100</v>
      </c>
      <c r="V40" s="772" t="s">
        <v>17</v>
      </c>
      <c r="W40" s="773">
        <f t="shared" si="14"/>
        <v>100</v>
      </c>
      <c r="X40" s="1803"/>
      <c r="Y40" s="3196"/>
      <c r="Z40" s="1804">
        <f t="shared" si="15"/>
        <v>111</v>
      </c>
      <c r="AA40" s="1801">
        <f t="shared" si="3"/>
        <v>1</v>
      </c>
      <c r="AB40" s="1801">
        <f t="shared" si="4"/>
        <v>1</v>
      </c>
      <c r="AC40" s="1801">
        <f t="shared" si="5"/>
        <v>1</v>
      </c>
    </row>
    <row r="41" spans="1:29" ht="15">
      <c r="A41" s="478" t="s">
        <v>2576</v>
      </c>
      <c r="B41" s="479"/>
      <c r="C41" s="1405" t="s">
        <v>1</v>
      </c>
      <c r="D41" s="1406"/>
      <c r="E41" s="1407"/>
      <c r="F41" s="1408"/>
      <c r="G41" s="1409"/>
      <c r="H41" s="1410"/>
      <c r="I41" s="1407"/>
      <c r="J41" s="1410"/>
      <c r="K41" s="781"/>
      <c r="L41" s="1141"/>
      <c r="M41" s="1142"/>
      <c r="N41" s="1129"/>
      <c r="O41" s="1142"/>
      <c r="P41" s="3188" t="str">
        <f>A41</f>
        <v>成交单价（元/平方米）</v>
      </c>
      <c r="Q41" s="3188"/>
      <c r="R41" s="3189">
        <f>E41</f>
        <v>0</v>
      </c>
      <c r="S41" s="3189"/>
      <c r="T41" s="3189">
        <f>G41</f>
        <v>0</v>
      </c>
      <c r="U41" s="3189"/>
      <c r="V41" s="3189">
        <f>I41</f>
        <v>0</v>
      </c>
      <c r="W41" s="3189"/>
      <c r="X41" s="757"/>
      <c r="Y41" s="779"/>
      <c r="Z41" s="757"/>
      <c r="AA41" s="757"/>
      <c r="AB41" s="757"/>
      <c r="AC41" s="757"/>
    </row>
    <row r="42" spans="1:29" ht="15.75" thickBot="1">
      <c r="A42" s="485" t="s">
        <v>2668</v>
      </c>
      <c r="B42" s="486"/>
      <c r="C42" s="1411" t="e">
        <f>R43</f>
        <v>#N/A</v>
      </c>
      <c r="D42" s="1412"/>
      <c r="E42" s="1413" t="e">
        <f>R42</f>
        <v>#N/A</v>
      </c>
      <c r="F42" s="1413"/>
      <c r="G42" s="1411" t="e">
        <f>T42</f>
        <v>#N/A</v>
      </c>
      <c r="H42" s="1412"/>
      <c r="I42" s="1413" t="e">
        <f>V42</f>
        <v>#N/A</v>
      </c>
      <c r="J42" s="1412"/>
      <c r="K42" s="782"/>
      <c r="L42" s="1141"/>
      <c r="M42" s="1142"/>
      <c r="N42" s="1129"/>
      <c r="O42" s="1142"/>
      <c r="P42" s="3188" t="str">
        <f>A42</f>
        <v>比较价值（元/平方米）</v>
      </c>
      <c r="Q42" s="3188"/>
      <c r="R42" s="3189" t="e">
        <f>IF(F1="售价",ROUND(PRODUCT(R41,AA7:AA40),0),ROUND(PRODUCT(R41,AA7:AA40),1))</f>
        <v>#N/A</v>
      </c>
      <c r="S42" s="3189"/>
      <c r="T42" s="3189" t="e">
        <f>IF(F1="售价",ROUND(PRODUCT(T41,AB7:AB40),0),ROUND(PRODUCT(T41,AB7:AB40),1))</f>
        <v>#N/A</v>
      </c>
      <c r="U42" s="3189"/>
      <c r="V42" s="3189" t="e">
        <f>IF(F1="售价",ROUND(PRODUCT(V41,AC7:AC40),0),ROUND(PRODUCT(V41,AC7:AC40),1))</f>
        <v>#N/A</v>
      </c>
      <c r="W42" s="3189"/>
      <c r="X42" s="757"/>
      <c r="Y42" s="757"/>
      <c r="Z42" s="757"/>
      <c r="AA42" s="757"/>
      <c r="AB42" s="757"/>
      <c r="AC42" s="757"/>
    </row>
    <row r="43" spans="1:29" ht="15.75" thickBot="1">
      <c r="A43" s="491" t="s">
        <v>2669</v>
      </c>
      <c r="B43" s="492"/>
      <c r="C43" s="1415" t="e">
        <f>R43</f>
        <v>#N/A</v>
      </c>
      <c r="D43" s="1415"/>
      <c r="E43" s="1415"/>
      <c r="F43" s="1415"/>
      <c r="G43" s="1415"/>
      <c r="H43" s="1415"/>
      <c r="I43" s="1415"/>
      <c r="J43" s="1415"/>
      <c r="K43" s="783"/>
      <c r="L43" s="1141"/>
      <c r="M43" s="1142"/>
      <c r="N43" s="1142"/>
      <c r="O43" s="1142"/>
      <c r="P43" s="3185" t="str">
        <f>A43</f>
        <v>估价对象XX用房的比较价值（楼面单价，元/平方米）</v>
      </c>
      <c r="Q43" s="3186"/>
      <c r="R43" s="3187" t="e">
        <f>IF(F1="售价",ROUND(AVERAGE(R42:V42),0),ROUND(AVERAGE(R42:V42),1))</f>
        <v>#N/A</v>
      </c>
      <c r="S43" s="3187"/>
      <c r="T43" s="3187"/>
      <c r="U43" s="3187"/>
      <c r="V43" s="3187"/>
      <c r="W43" s="318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#N/A</v>
      </c>
      <c r="F46" s="499" t="e">
        <f>IF(OR(E46&gt;=0.3,E46&lt;=-0.3),"超过30%","")</f>
        <v>#N/A</v>
      </c>
      <c r="G46" s="498" t="e">
        <f>IF(G41&lt;G42,G42/G41-1,G41/G42-1)</f>
        <v>#N/A</v>
      </c>
      <c r="H46" s="499" t="e">
        <f>IF(OR(G46&gt;=0.3,G46&lt;=-0.3),"超过30%","")</f>
        <v>#N/A</v>
      </c>
      <c r="I46" s="498" t="e">
        <f>IF(I41&lt;I42,I42/I41-1,I41/I42-1)</f>
        <v>#N/A</v>
      </c>
      <c r="J46" s="499" t="e">
        <f>IF(OR(I46&gt;=0.3,I46&lt;=-0.3),"超过30%","")</f>
        <v>#N/A</v>
      </c>
      <c r="K46" s="1103"/>
      <c r="L46" s="1104"/>
      <c r="M46" s="1142"/>
      <c r="N46" s="1142"/>
      <c r="O46" s="1142"/>
    </row>
    <row r="47" spans="1:29" ht="13.5" customHeight="1">
      <c r="A47" s="1142"/>
      <c r="B47" s="1142"/>
      <c r="C47" s="496" t="s">
        <v>2671</v>
      </c>
      <c r="D47" s="500"/>
      <c r="E47" s="498" t="e">
        <f>IF(E42&lt;G42,G42/E42-1,E42/G42-1)</f>
        <v>#N/A</v>
      </c>
      <c r="F47" s="499" t="e">
        <f>IF(OR(E47&gt;=0.2,E47&lt;=-0.2),"超过20%","")</f>
        <v>#N/A</v>
      </c>
      <c r="G47" s="498" t="e">
        <f>IF(G42&lt;I42,I42/G42-1,G42/I42-1)</f>
        <v>#N/A</v>
      </c>
      <c r="H47" s="499" t="e">
        <f>IF(OR(G47&gt;=0.2,G47&lt;=-0.2),"超过20%","")</f>
        <v>#N/A</v>
      </c>
      <c r="I47" s="498" t="e">
        <f>IF(I42&lt;E42,E42/I42-1,I42/E42-1)</f>
        <v>#N/A</v>
      </c>
      <c r="J47" s="499" t="e">
        <f>IF(OR(I47&gt;=0.2,I47&lt;=-0.2),"超过20%","")</f>
        <v>#N/A</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2673</v>
      </c>
      <c r="B51" s="757"/>
      <c r="C51" s="762"/>
      <c r="D51" s="762"/>
      <c r="E51" s="762"/>
      <c r="F51" s="763"/>
      <c r="G51" s="763"/>
      <c r="H51" s="762"/>
      <c r="I51" s="762"/>
      <c r="J51" s="762"/>
      <c r="K51" s="1158"/>
      <c r="L51" s="1159"/>
      <c r="M51" s="1157"/>
      <c r="N51" s="1157"/>
      <c r="O51" s="1157"/>
      <c r="P51" s="502"/>
      <c r="Q51" s="503"/>
    </row>
    <row r="52" spans="1:17" s="507" customFormat="1" ht="15">
      <c r="A52" s="504" t="s">
        <v>2547</v>
      </c>
      <c r="B52" s="505"/>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98</v>
      </c>
      <c r="G60" s="543">
        <f>F60-$K10</f>
        <v>96</v>
      </c>
      <c r="H60" s="543">
        <f>G60-$K10</f>
        <v>94</v>
      </c>
      <c r="I60" s="543">
        <f>H60-$K10</f>
        <v>92</v>
      </c>
      <c r="J60" s="543"/>
      <c r="K60" s="543"/>
      <c r="L60" s="543"/>
      <c r="M60" s="544"/>
      <c r="N60" s="1151"/>
      <c r="O60" s="1151"/>
      <c r="P60" s="45"/>
      <c r="Q60" s="503"/>
    </row>
    <row r="61" spans="1:17" ht="15.75" thickTop="1">
      <c r="A61" s="533"/>
      <c r="B61" s="545" t="s">
        <v>2557</v>
      </c>
      <c r="C61" s="546" t="str">
        <f>C62&amp;"（含）"&amp;"-"&amp;D62</f>
        <v>0（含）-0.5</v>
      </c>
      <c r="D61" s="546" t="str">
        <f t="shared" ref="D61:L61" si="17">D62&amp;"（含）"&amp;"-"&amp;E62</f>
        <v>0.5（含）-1</v>
      </c>
      <c r="E61" s="546" t="str">
        <f t="shared" si="17"/>
        <v>1（含）-1.5</v>
      </c>
      <c r="F61" s="546" t="str">
        <f t="shared" si="17"/>
        <v>1.5（含）-2</v>
      </c>
      <c r="G61" s="546" t="str">
        <f t="shared" si="17"/>
        <v>2（含）-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v>0</v>
      </c>
      <c r="D62" s="548">
        <v>0.5</v>
      </c>
      <c r="E62" s="548">
        <v>1</v>
      </c>
      <c r="F62" s="548">
        <v>1.5</v>
      </c>
      <c r="G62" s="548">
        <v>2</v>
      </c>
      <c r="H62" s="548"/>
      <c r="I62" s="548"/>
      <c r="J62" s="548"/>
      <c r="K62" s="549"/>
      <c r="L62" s="550"/>
      <c r="M62" s="551"/>
      <c r="N62" s="1150"/>
      <c r="O62" s="1150"/>
      <c r="P62" s="45"/>
      <c r="Q62" s="503"/>
    </row>
    <row r="63" spans="1:17" ht="15.75" thickBot="1">
      <c r="A63" s="533"/>
      <c r="B63" s="534"/>
      <c r="C63" s="543">
        <v>100</v>
      </c>
      <c r="D63" s="543">
        <f t="shared" ref="D63:M63" si="18">C63-$K11</f>
        <v>98</v>
      </c>
      <c r="E63" s="543">
        <f t="shared" si="18"/>
        <v>96</v>
      </c>
      <c r="F63" s="543">
        <f t="shared" si="18"/>
        <v>94</v>
      </c>
      <c r="G63" s="543">
        <f t="shared" si="18"/>
        <v>92</v>
      </c>
      <c r="H63" s="543">
        <f t="shared" si="18"/>
        <v>90</v>
      </c>
      <c r="I63" s="543">
        <f t="shared" si="18"/>
        <v>88</v>
      </c>
      <c r="J63" s="543">
        <f t="shared" si="18"/>
        <v>86</v>
      </c>
      <c r="K63" s="543">
        <f t="shared" si="18"/>
        <v>84</v>
      </c>
      <c r="L63" s="543">
        <f t="shared" si="18"/>
        <v>82</v>
      </c>
      <c r="M63" s="544">
        <f t="shared" si="18"/>
        <v>80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8"/>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8"/>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76"/>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2326</v>
      </c>
      <c r="B2" s="1416" t="e">
        <f ca="1">IF(C2="——",IF(B37="元/平方米",ROUND(C39*D3/10000,0),ROUND(F3*C39/10000,0)),IF(B37="元/平方米",ROUND(C39*D3/10000,0),ROUND(F3*C39/10000,0))-D2)</f>
        <v>#DIV/0!</v>
      </c>
      <c r="C2" s="2578"/>
      <c r="D2" s="1122" t="e">
        <f ca="1">SUMIF(INDIRECT("'"&amp;F2&amp;"'"&amp;"!A:A"),"承租人权益价值",INDIRECT("'"&amp;F2&amp;"'"&amp;"!c:c"))</f>
        <v>#REF!</v>
      </c>
      <c r="E2" s="2579" t="s">
        <v>2327</v>
      </c>
      <c r="F2" s="2580"/>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01" t="s">
        <v>2647</v>
      </c>
      <c r="AC4" s="3200" t="s">
        <v>2648</v>
      </c>
    </row>
    <row r="5" spans="1:29" ht="15">
      <c r="A5" s="403"/>
      <c r="B5" s="404"/>
      <c r="C5" s="3222" t="s">
        <v>2541</v>
      </c>
      <c r="D5" s="3223"/>
      <c r="E5" s="3229" t="s">
        <v>2542</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01"/>
      <c r="AC5" s="3201"/>
    </row>
    <row r="6" spans="1:29" ht="15.75" thickBot="1">
      <c r="A6" s="405"/>
      <c r="B6" s="406"/>
      <c r="C6" s="3220" t="s">
        <v>2545</v>
      </c>
      <c r="D6" s="3221"/>
      <c r="E6" s="3227" t="s">
        <v>2545</v>
      </c>
      <c r="F6" s="3228"/>
      <c r="G6" s="3220" t="s">
        <v>2545</v>
      </c>
      <c r="H6" s="3221"/>
      <c r="I6" s="3220" t="s">
        <v>2545</v>
      </c>
      <c r="J6" s="3221"/>
      <c r="K6" s="609" t="s">
        <v>2546</v>
      </c>
      <c r="L6" s="1128"/>
      <c r="M6" s="1129"/>
      <c r="N6" s="1129"/>
      <c r="O6" s="1129"/>
      <c r="P6" s="3211"/>
      <c r="Q6" s="3212"/>
      <c r="R6" s="3215"/>
      <c r="S6" s="3216"/>
      <c r="T6" s="3217"/>
      <c r="U6" s="3218"/>
      <c r="V6" s="3219"/>
      <c r="W6" s="3219"/>
      <c r="X6" s="1803"/>
      <c r="Y6" s="3217"/>
      <c r="Z6" s="3218"/>
      <c r="AA6" s="3202"/>
      <c r="AB6" s="3202"/>
      <c r="AC6" s="3202"/>
    </row>
    <row r="7" spans="1:29" s="117" customFormat="1" ht="15.75" thickBot="1">
      <c r="A7" s="407" t="s">
        <v>2547</v>
      </c>
      <c r="B7" s="408"/>
      <c r="C7" s="409">
        <f>'数据-取费表'!B2</f>
        <v>44005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4" t="s">
        <v>2548</v>
      </c>
      <c r="Q7" s="3226"/>
      <c r="R7" s="768" t="s">
        <v>17</v>
      </c>
      <c r="S7" s="769">
        <f t="shared" ref="S7:S14" si="0">F7</f>
        <v>0</v>
      </c>
      <c r="T7" s="768" t="s">
        <v>17</v>
      </c>
      <c r="U7" s="769">
        <f t="shared" ref="U7:U14" si="1">H7</f>
        <v>0</v>
      </c>
      <c r="V7" s="768" t="s">
        <v>17</v>
      </c>
      <c r="W7" s="769">
        <f t="shared" ref="W7:W14" si="2">J7</f>
        <v>0</v>
      </c>
      <c r="X7" s="770"/>
      <c r="Y7" s="3224" t="s">
        <v>2548</v>
      </c>
      <c r="Z7" s="3225"/>
      <c r="AA7" s="771" t="e">
        <f>D7/F7</f>
        <v>#DIV/0!</v>
      </c>
      <c r="AB7" s="771" t="e">
        <f>D7/H7</f>
        <v>#DIV/0!</v>
      </c>
      <c r="AC7" s="771"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4" t="s">
        <v>2551</v>
      </c>
      <c r="Q8" s="3225"/>
      <c r="R8" s="768" t="s">
        <v>17</v>
      </c>
      <c r="S8" s="769">
        <f t="shared" si="0"/>
        <v>0</v>
      </c>
      <c r="T8" s="768" t="s">
        <v>17</v>
      </c>
      <c r="U8" s="769">
        <f t="shared" si="1"/>
        <v>0</v>
      </c>
      <c r="V8" s="768" t="s">
        <v>17</v>
      </c>
      <c r="W8" s="769">
        <f t="shared" si="2"/>
        <v>0</v>
      </c>
      <c r="X8" s="770"/>
      <c r="Y8" s="3224" t="s">
        <v>2551</v>
      </c>
      <c r="Z8" s="3225"/>
      <c r="AA8" s="771" t="e">
        <f t="shared" ref="AA8:AA36" si="3">D8/F8</f>
        <v>#DIV/0!</v>
      </c>
      <c r="AB8" s="771" t="e">
        <f t="shared" ref="AB8:AB36" si="4">D8/H8</f>
        <v>#DIV/0!</v>
      </c>
      <c r="AC8" s="771"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8" t="s">
        <v>2554</v>
      </c>
      <c r="Q9" s="1785" t="str">
        <f t="shared" ref="Q9:Q14" si="6">B9</f>
        <v>用途</v>
      </c>
      <c r="R9" s="768" t="s">
        <v>17</v>
      </c>
      <c r="S9" s="769">
        <f t="shared" si="0"/>
        <v>100</v>
      </c>
      <c r="T9" s="768" t="s">
        <v>17</v>
      </c>
      <c r="U9" s="769">
        <f t="shared" si="1"/>
        <v>100</v>
      </c>
      <c r="V9" s="768" t="s">
        <v>17</v>
      </c>
      <c r="W9" s="769">
        <f t="shared" si="2"/>
        <v>100</v>
      </c>
      <c r="X9" s="770"/>
      <c r="Y9" s="3011" t="s">
        <v>2555</v>
      </c>
      <c r="Z9" s="55" t="str">
        <f t="shared" ref="Z9:Z14" si="7">Q9</f>
        <v>用途</v>
      </c>
      <c r="AA9" s="771">
        <f t="shared" si="3"/>
        <v>1</v>
      </c>
      <c r="AB9" s="771">
        <f t="shared" si="4"/>
        <v>1</v>
      </c>
      <c r="AC9" s="771">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8"/>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8"/>
      <c r="Q11" s="1785">
        <f t="shared" si="6"/>
        <v>111</v>
      </c>
      <c r="R11" s="768" t="s">
        <v>17</v>
      </c>
      <c r="S11" s="769">
        <f t="shared" si="0"/>
        <v>100</v>
      </c>
      <c r="T11" s="768" t="s">
        <v>17</v>
      </c>
      <c r="U11" s="769">
        <f t="shared" si="1"/>
        <v>100</v>
      </c>
      <c r="V11" s="768" t="s">
        <v>17</v>
      </c>
      <c r="W11" s="769">
        <f t="shared" si="2"/>
        <v>100</v>
      </c>
      <c r="X11" s="770"/>
      <c r="Y11" s="3011"/>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8"/>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8"/>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85.5">
      <c r="A14" s="400" t="s">
        <v>2558</v>
      </c>
      <c r="B14" s="628" t="s">
        <v>2708</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0" t="s">
        <v>2559</v>
      </c>
      <c r="Q14" s="1800" t="str">
        <f t="shared" si="6"/>
        <v>交通便捷度</v>
      </c>
      <c r="R14" s="772" t="s">
        <v>17</v>
      </c>
      <c r="S14" s="773">
        <f t="shared" si="0"/>
        <v>100</v>
      </c>
      <c r="T14" s="772" t="s">
        <v>17</v>
      </c>
      <c r="U14" s="773">
        <f t="shared" si="1"/>
        <v>100</v>
      </c>
      <c r="V14" s="772" t="s">
        <v>17</v>
      </c>
      <c r="W14" s="773">
        <f t="shared" si="2"/>
        <v>100</v>
      </c>
      <c r="X14" s="1803"/>
      <c r="Y14" s="3190" t="s">
        <v>2559</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8"/>
      <c r="M15" s="1129"/>
      <c r="N15" s="1129"/>
      <c r="O15" s="1129"/>
      <c r="P15" s="3191"/>
      <c r="Q15" s="1800"/>
      <c r="R15" s="772"/>
      <c r="S15" s="773"/>
      <c r="T15" s="772"/>
      <c r="U15" s="773"/>
      <c r="V15" s="772"/>
      <c r="W15" s="773"/>
      <c r="X15" s="1803"/>
      <c r="Y15" s="3191"/>
      <c r="Z15" s="1804"/>
      <c r="AA15" s="1801">
        <v>1</v>
      </c>
      <c r="AB15" s="1801">
        <v>1</v>
      </c>
      <c r="AC15" s="1801">
        <v>1</v>
      </c>
    </row>
    <row r="16" spans="1:29" ht="42.75">
      <c r="A16" s="403"/>
      <c r="B16" s="630" t="s">
        <v>2687</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1"/>
      <c r="Q16" s="1800" t="str">
        <f>B16</f>
        <v>公共配套设施</v>
      </c>
      <c r="R16" s="772" t="s">
        <v>17</v>
      </c>
      <c r="S16" s="773">
        <f>F16</f>
        <v>100</v>
      </c>
      <c r="T16" s="772" t="s">
        <v>17</v>
      </c>
      <c r="U16" s="773">
        <f>H16</f>
        <v>100</v>
      </c>
      <c r="V16" s="772" t="s">
        <v>17</v>
      </c>
      <c r="W16" s="773">
        <f>J16</f>
        <v>100</v>
      </c>
      <c r="X16" s="1803"/>
      <c r="Y16" s="3191"/>
      <c r="Z16" s="1804" t="str">
        <f>Q16</f>
        <v>公共配套设施</v>
      </c>
      <c r="AA16" s="1801">
        <f t="shared" si="3"/>
        <v>1</v>
      </c>
      <c r="AB16" s="1801">
        <f t="shared" si="4"/>
        <v>1</v>
      </c>
      <c r="AC16" s="1801">
        <f t="shared" si="5"/>
        <v>1</v>
      </c>
    </row>
    <row r="17" spans="1:29" ht="15">
      <c r="A17" s="403"/>
      <c r="B17" s="631"/>
      <c r="C17" s="2600"/>
      <c r="D17" s="447"/>
      <c r="E17" s="446"/>
      <c r="F17" s="448"/>
      <c r="G17" s="446"/>
      <c r="H17" s="447"/>
      <c r="I17" s="446"/>
      <c r="J17" s="447"/>
      <c r="K17" s="614"/>
      <c r="L17" s="1138"/>
      <c r="M17" s="1129"/>
      <c r="N17" s="1129"/>
      <c r="O17" s="1129"/>
      <c r="P17" s="3191"/>
      <c r="Q17" s="1800"/>
      <c r="R17" s="772"/>
      <c r="S17" s="773"/>
      <c r="T17" s="772"/>
      <c r="U17" s="773"/>
      <c r="V17" s="772"/>
      <c r="W17" s="773"/>
      <c r="X17" s="1803"/>
      <c r="Y17" s="3191"/>
      <c r="Z17" s="1804"/>
      <c r="AA17" s="1801">
        <v>1</v>
      </c>
      <c r="AB17" s="1801">
        <v>1</v>
      </c>
      <c r="AC17" s="1801">
        <v>1</v>
      </c>
    </row>
    <row r="18" spans="1:29" ht="28.5">
      <c r="A18" s="403"/>
      <c r="B18" s="632" t="s">
        <v>2688</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1"/>
      <c r="Q18" s="1800" t="str">
        <f>B18</f>
        <v>基础设施水平</v>
      </c>
      <c r="R18" s="772" t="s">
        <v>17</v>
      </c>
      <c r="S18" s="773">
        <f>F18</f>
        <v>100</v>
      </c>
      <c r="T18" s="772" t="s">
        <v>17</v>
      </c>
      <c r="U18" s="773">
        <f>H18</f>
        <v>100</v>
      </c>
      <c r="V18" s="772" t="s">
        <v>17</v>
      </c>
      <c r="W18" s="773">
        <f>J18</f>
        <v>100</v>
      </c>
      <c r="X18" s="1803"/>
      <c r="Y18" s="3191"/>
      <c r="Z18" s="1804" t="str">
        <f>Q18</f>
        <v>基础设施水平</v>
      </c>
      <c r="AA18" s="1801">
        <f t="shared" ref="AA18" si="8">D18/F18</f>
        <v>1</v>
      </c>
      <c r="AB18" s="1801">
        <f t="shared" ref="AB18" si="9">D18/H18</f>
        <v>1</v>
      </c>
      <c r="AC18" s="1801">
        <f t="shared" ref="AC18" si="10">D18/J18</f>
        <v>1</v>
      </c>
    </row>
    <row r="19" spans="1:29" ht="15">
      <c r="A19" s="403"/>
      <c r="B19" s="632"/>
      <c r="C19" s="2600"/>
      <c r="D19" s="449"/>
      <c r="E19" s="2600"/>
      <c r="F19" s="452"/>
      <c r="G19" s="2600"/>
      <c r="H19" s="447"/>
      <c r="I19" s="446"/>
      <c r="J19" s="447"/>
      <c r="K19" s="1381"/>
      <c r="L19" s="1138"/>
      <c r="M19" s="1129"/>
      <c r="N19" s="1129"/>
      <c r="O19" s="1129"/>
      <c r="P19" s="3191"/>
      <c r="Q19" s="1800"/>
      <c r="R19" s="772"/>
      <c r="S19" s="773"/>
      <c r="T19" s="772"/>
      <c r="U19" s="773"/>
      <c r="V19" s="772"/>
      <c r="W19" s="773"/>
      <c r="X19" s="1803"/>
      <c r="Y19" s="3191"/>
      <c r="Z19" s="1804"/>
      <c r="AA19" s="1801">
        <v>1</v>
      </c>
      <c r="AB19" s="1801">
        <v>1</v>
      </c>
      <c r="AC19" s="1801">
        <v>1</v>
      </c>
    </row>
    <row r="20" spans="1:29" ht="57">
      <c r="A20" s="403"/>
      <c r="B20" s="630" t="s">
        <v>2709</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1"/>
      <c r="Q20" s="1800" t="str">
        <f>B20</f>
        <v>自然及人文环境</v>
      </c>
      <c r="R20" s="772" t="s">
        <v>17</v>
      </c>
      <c r="S20" s="773">
        <f>F20</f>
        <v>100</v>
      </c>
      <c r="T20" s="772" t="s">
        <v>17</v>
      </c>
      <c r="U20" s="773">
        <f>H20</f>
        <v>100</v>
      </c>
      <c r="V20" s="772" t="s">
        <v>17</v>
      </c>
      <c r="W20" s="773">
        <f>J20</f>
        <v>100</v>
      </c>
      <c r="X20" s="1803"/>
      <c r="Y20" s="3191"/>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8"/>
      <c r="M21" s="1129"/>
      <c r="N21" s="1129"/>
      <c r="O21" s="1129"/>
      <c r="P21" s="3191"/>
      <c r="Q21" s="1800"/>
      <c r="R21" s="772"/>
      <c r="S21" s="773"/>
      <c r="T21" s="772"/>
      <c r="U21" s="773"/>
      <c r="V21" s="772"/>
      <c r="W21" s="773"/>
      <c r="X21" s="1803"/>
      <c r="Y21" s="3191"/>
      <c r="Z21" s="1804"/>
      <c r="AA21" s="1801">
        <v>1</v>
      </c>
      <c r="AB21" s="1801">
        <v>1</v>
      </c>
      <c r="AC21" s="1801">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1"/>
      <c r="Q22" s="1800" t="str">
        <f>B22</f>
        <v>楼层</v>
      </c>
      <c r="R22" s="772" t="s">
        <v>17</v>
      </c>
      <c r="S22" s="773">
        <f>F22</f>
        <v>100</v>
      </c>
      <c r="T22" s="772" t="s">
        <v>17</v>
      </c>
      <c r="U22" s="773">
        <f>H22</f>
        <v>100</v>
      </c>
      <c r="V22" s="772" t="s">
        <v>17</v>
      </c>
      <c r="W22" s="773">
        <f>J22</f>
        <v>100</v>
      </c>
      <c r="X22" s="1803"/>
      <c r="Y22" s="3191"/>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1"/>
      <c r="Q23" s="1800">
        <f>B23</f>
        <v>111</v>
      </c>
      <c r="R23" s="772" t="s">
        <v>17</v>
      </c>
      <c r="S23" s="773">
        <f>F23</f>
        <v>100</v>
      </c>
      <c r="T23" s="772" t="s">
        <v>17</v>
      </c>
      <c r="U23" s="773">
        <f>H23</f>
        <v>100</v>
      </c>
      <c r="V23" s="772" t="s">
        <v>17</v>
      </c>
      <c r="W23" s="773">
        <f>J23</f>
        <v>100</v>
      </c>
      <c r="X23" s="1803"/>
      <c r="Y23" s="3191"/>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1"/>
      <c r="Q24" s="1800">
        <f t="shared" ref="Q24:Q36" si="11">B24</f>
        <v>111</v>
      </c>
      <c r="R24" s="772" t="s">
        <v>17</v>
      </c>
      <c r="S24" s="773">
        <f>F24</f>
        <v>100</v>
      </c>
      <c r="T24" s="772" t="s">
        <v>17</v>
      </c>
      <c r="U24" s="773">
        <f>H24</f>
        <v>100</v>
      </c>
      <c r="V24" s="772" t="s">
        <v>17</v>
      </c>
      <c r="W24" s="773">
        <f>J24</f>
        <v>100</v>
      </c>
      <c r="X24" s="1803"/>
      <c r="Y24" s="3191"/>
      <c r="Z24" s="1804">
        <f>Q24</f>
        <v>111</v>
      </c>
      <c r="AA24" s="1801">
        <f t="shared" si="3"/>
        <v>1</v>
      </c>
      <c r="AB24" s="1801">
        <f t="shared" si="4"/>
        <v>1</v>
      </c>
      <c r="AC24" s="180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1"/>
      <c r="Q25" s="1785">
        <f t="shared" si="11"/>
        <v>111</v>
      </c>
      <c r="R25" s="768" t="s">
        <v>17</v>
      </c>
      <c r="S25" s="769">
        <f>F25</f>
        <v>100</v>
      </c>
      <c r="T25" s="768" t="s">
        <v>17</v>
      </c>
      <c r="U25" s="769">
        <f>H25</f>
        <v>100</v>
      </c>
      <c r="V25" s="768" t="s">
        <v>17</v>
      </c>
      <c r="W25" s="769">
        <f>J25</f>
        <v>100</v>
      </c>
      <c r="X25" s="770"/>
      <c r="Y25" s="3191"/>
      <c r="Z25" s="55">
        <f>Q25</f>
        <v>111</v>
      </c>
      <c r="AA25" s="1801">
        <f>D25/F25</f>
        <v>1</v>
      </c>
      <c r="AB25" s="1801">
        <f>D25/H25</f>
        <v>1</v>
      </c>
      <c r="AC25" s="1801">
        <f>D25/J25</f>
        <v>1</v>
      </c>
    </row>
    <row r="26" spans="1:29" ht="28.5">
      <c r="A26" s="651" t="s">
        <v>2562</v>
      </c>
      <c r="B26" s="70" t="s">
        <v>2711</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6" t="s">
        <v>2564</v>
      </c>
      <c r="Q26" s="1800" t="str">
        <f t="shared" si="11"/>
        <v>配套类型</v>
      </c>
      <c r="R26" s="772" t="s">
        <v>17</v>
      </c>
      <c r="S26" s="773">
        <f t="shared" ref="S26:S36" si="12">F26</f>
        <v>100</v>
      </c>
      <c r="T26" s="772" t="s">
        <v>17</v>
      </c>
      <c r="U26" s="773">
        <f t="shared" ref="U26:U36" si="13">H26</f>
        <v>100</v>
      </c>
      <c r="V26" s="772" t="s">
        <v>17</v>
      </c>
      <c r="W26" s="773">
        <f t="shared" ref="W26:W36" si="14">J26</f>
        <v>100</v>
      </c>
      <c r="X26" s="1803"/>
      <c r="Y26" s="3195" t="s">
        <v>2564</v>
      </c>
      <c r="Z26" s="1804" t="str">
        <f t="shared" ref="Z26:Z36" si="15">Q26</f>
        <v>配套类型</v>
      </c>
      <c r="AA26" s="1801">
        <f t="shared" si="3"/>
        <v>1</v>
      </c>
      <c r="AB26" s="1801">
        <f t="shared" si="4"/>
        <v>1</v>
      </c>
      <c r="AC26" s="1801">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5"/>
      <c r="Q27" s="774" t="str">
        <f t="shared" si="11"/>
        <v>项目停车位配比</v>
      </c>
      <c r="R27" s="775" t="s">
        <v>17</v>
      </c>
      <c r="S27" s="776">
        <f t="shared" si="12"/>
        <v>100</v>
      </c>
      <c r="T27" s="775" t="s">
        <v>17</v>
      </c>
      <c r="U27" s="776">
        <f t="shared" si="13"/>
        <v>100</v>
      </c>
      <c r="V27" s="775" t="s">
        <v>17</v>
      </c>
      <c r="W27" s="776">
        <f t="shared" si="14"/>
        <v>100</v>
      </c>
      <c r="X27" s="777"/>
      <c r="Y27" s="3195"/>
      <c r="Z27" s="778" t="str">
        <f t="shared" si="15"/>
        <v>项目停车位配比</v>
      </c>
      <c r="AA27" s="1801">
        <f t="shared" si="3"/>
        <v>1</v>
      </c>
      <c r="AB27" s="1801">
        <f t="shared" si="4"/>
        <v>1</v>
      </c>
      <c r="AC27" s="1801">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5"/>
      <c r="Q28" s="1800" t="str">
        <f t="shared" si="11"/>
        <v>公共部分装修</v>
      </c>
      <c r="R28" s="772" t="s">
        <v>17</v>
      </c>
      <c r="S28" s="773">
        <f t="shared" si="12"/>
        <v>100</v>
      </c>
      <c r="T28" s="772" t="s">
        <v>17</v>
      </c>
      <c r="U28" s="773">
        <f t="shared" si="13"/>
        <v>100</v>
      </c>
      <c r="V28" s="772" t="s">
        <v>17</v>
      </c>
      <c r="W28" s="773">
        <f t="shared" si="14"/>
        <v>100</v>
      </c>
      <c r="X28" s="1803"/>
      <c r="Y28" s="3195"/>
      <c r="Z28" s="1804" t="str">
        <f t="shared" si="15"/>
        <v>公共部分装修</v>
      </c>
      <c r="AA28" s="1801">
        <f t="shared" si="3"/>
        <v>1</v>
      </c>
      <c r="AB28" s="1801">
        <f t="shared" si="4"/>
        <v>1</v>
      </c>
      <c r="AC28" s="1801">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5"/>
      <c r="Q29" s="1800" t="str">
        <f t="shared" si="11"/>
        <v>成新率</v>
      </c>
      <c r="R29" s="772" t="s">
        <v>17</v>
      </c>
      <c r="S29" s="773" t="e">
        <f t="shared" si="12"/>
        <v>#N/A</v>
      </c>
      <c r="T29" s="772" t="s">
        <v>17</v>
      </c>
      <c r="U29" s="773" t="e">
        <f t="shared" si="13"/>
        <v>#N/A</v>
      </c>
      <c r="V29" s="772" t="s">
        <v>17</v>
      </c>
      <c r="W29" s="773" t="e">
        <f t="shared" si="14"/>
        <v>#N/A</v>
      </c>
      <c r="X29" s="1803"/>
      <c r="Y29" s="3195"/>
      <c r="Z29" s="1804" t="str">
        <f t="shared" si="15"/>
        <v>成新率</v>
      </c>
      <c r="AA29" s="1801" t="e">
        <f t="shared" si="3"/>
        <v>#N/A</v>
      </c>
      <c r="AB29" s="1801" t="e">
        <f t="shared" si="4"/>
        <v>#N/A</v>
      </c>
      <c r="AC29" s="1801"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5"/>
      <c r="Q30" s="1800" t="str">
        <f t="shared" si="11"/>
        <v>物业等级</v>
      </c>
      <c r="R30" s="772" t="s">
        <v>17</v>
      </c>
      <c r="S30" s="773">
        <f t="shared" si="12"/>
        <v>100</v>
      </c>
      <c r="T30" s="772" t="s">
        <v>17</v>
      </c>
      <c r="U30" s="773">
        <f t="shared" si="13"/>
        <v>100</v>
      </c>
      <c r="V30" s="772" t="s">
        <v>17</v>
      </c>
      <c r="W30" s="773">
        <f t="shared" si="14"/>
        <v>100</v>
      </c>
      <c r="X30" s="1803"/>
      <c r="Y30" s="3195"/>
      <c r="Z30" s="1804" t="str">
        <f t="shared" si="15"/>
        <v>物业等级</v>
      </c>
      <c r="AA30" s="1801">
        <f t="shared" si="3"/>
        <v>1</v>
      </c>
      <c r="AB30" s="1801">
        <f t="shared" si="4"/>
        <v>1</v>
      </c>
      <c r="AC30" s="1801">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5"/>
      <c r="Q31" s="1785" t="str">
        <f t="shared" si="11"/>
        <v>停车位面积</v>
      </c>
      <c r="R31" s="768" t="s">
        <v>17</v>
      </c>
      <c r="S31" s="769" t="e">
        <f t="shared" si="12"/>
        <v>#N/A</v>
      </c>
      <c r="T31" s="768" t="s">
        <v>17</v>
      </c>
      <c r="U31" s="769" t="e">
        <f t="shared" si="13"/>
        <v>#N/A</v>
      </c>
      <c r="V31" s="768" t="s">
        <v>17</v>
      </c>
      <c r="W31" s="769" t="e">
        <f t="shared" si="14"/>
        <v>#N/A</v>
      </c>
      <c r="X31" s="770"/>
      <c r="Y31" s="3195"/>
      <c r="Z31" s="55" t="str">
        <f t="shared" si="15"/>
        <v>停车位面积</v>
      </c>
      <c r="AA31" s="771" t="e">
        <f t="shared" si="3"/>
        <v>#N/A</v>
      </c>
      <c r="AB31" s="771" t="e">
        <f t="shared" si="4"/>
        <v>#N/A</v>
      </c>
      <c r="AC31" s="771"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5" t="s">
        <v>2564</v>
      </c>
      <c r="Q32" s="1800" t="str">
        <f t="shared" si="11"/>
        <v>车位类型</v>
      </c>
      <c r="R32" s="772" t="s">
        <v>17</v>
      </c>
      <c r="S32" s="773">
        <f t="shared" si="12"/>
        <v>100</v>
      </c>
      <c r="T32" s="772" t="s">
        <v>17</v>
      </c>
      <c r="U32" s="773">
        <f t="shared" si="13"/>
        <v>100</v>
      </c>
      <c r="V32" s="772" t="s">
        <v>17</v>
      </c>
      <c r="W32" s="773">
        <f t="shared" si="14"/>
        <v>100</v>
      </c>
      <c r="X32" s="1803"/>
      <c r="Y32" s="3195" t="s">
        <v>2564</v>
      </c>
      <c r="Z32" s="1804" t="str">
        <f t="shared" si="15"/>
        <v>车位类型</v>
      </c>
      <c r="AA32" s="1801">
        <f t="shared" si="3"/>
        <v>1</v>
      </c>
      <c r="AB32" s="1801">
        <f t="shared" si="4"/>
        <v>1</v>
      </c>
      <c r="AC32" s="1801">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5"/>
      <c r="Q33" s="1800" t="str">
        <f t="shared" si="11"/>
        <v>是否直接入户</v>
      </c>
      <c r="R33" s="772" t="s">
        <v>17</v>
      </c>
      <c r="S33" s="773">
        <f t="shared" si="12"/>
        <v>100</v>
      </c>
      <c r="T33" s="772" t="s">
        <v>17</v>
      </c>
      <c r="U33" s="773">
        <f t="shared" si="13"/>
        <v>100</v>
      </c>
      <c r="V33" s="772" t="s">
        <v>17</v>
      </c>
      <c r="W33" s="773">
        <f t="shared" si="14"/>
        <v>100</v>
      </c>
      <c r="X33" s="1803"/>
      <c r="Y33" s="3195"/>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5"/>
      <c r="Q34" s="1800">
        <f t="shared" si="11"/>
        <v>111</v>
      </c>
      <c r="R34" s="772" t="s">
        <v>17</v>
      </c>
      <c r="S34" s="773">
        <f t="shared" si="12"/>
        <v>100</v>
      </c>
      <c r="T34" s="772" t="s">
        <v>17</v>
      </c>
      <c r="U34" s="773">
        <f t="shared" si="13"/>
        <v>100</v>
      </c>
      <c r="V34" s="772" t="s">
        <v>17</v>
      </c>
      <c r="W34" s="773">
        <f t="shared" si="14"/>
        <v>100</v>
      </c>
      <c r="X34" s="1803"/>
      <c r="Y34" s="3195"/>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5"/>
      <c r="Q35" s="774">
        <f t="shared" si="11"/>
        <v>111</v>
      </c>
      <c r="R35" s="775" t="s">
        <v>17</v>
      </c>
      <c r="S35" s="776">
        <f t="shared" si="12"/>
        <v>100</v>
      </c>
      <c r="T35" s="775" t="s">
        <v>17</v>
      </c>
      <c r="U35" s="776">
        <f t="shared" si="13"/>
        <v>100</v>
      </c>
      <c r="V35" s="775" t="s">
        <v>17</v>
      </c>
      <c r="W35" s="776">
        <f t="shared" si="14"/>
        <v>100</v>
      </c>
      <c r="X35" s="777"/>
      <c r="Y35" s="3195"/>
      <c r="Z35" s="778">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5"/>
      <c r="Q36" s="1800">
        <f t="shared" si="11"/>
        <v>111</v>
      </c>
      <c r="R36" s="772" t="s">
        <v>17</v>
      </c>
      <c r="S36" s="773">
        <f t="shared" si="12"/>
        <v>100</v>
      </c>
      <c r="T36" s="772" t="s">
        <v>17</v>
      </c>
      <c r="U36" s="773">
        <f t="shared" si="13"/>
        <v>100</v>
      </c>
      <c r="V36" s="772" t="s">
        <v>17</v>
      </c>
      <c r="W36" s="773">
        <f t="shared" si="14"/>
        <v>100</v>
      </c>
      <c r="X36" s="1803"/>
      <c r="Y36" s="3195"/>
      <c r="Z36" s="1804">
        <f t="shared" si="15"/>
        <v>111</v>
      </c>
      <c r="AA36" s="1801">
        <f t="shared" si="3"/>
        <v>1</v>
      </c>
      <c r="AB36" s="1801">
        <f t="shared" si="4"/>
        <v>1</v>
      </c>
      <c r="AC36" s="1801">
        <f t="shared" si="5"/>
        <v>1</v>
      </c>
    </row>
    <row r="37" spans="1:29" ht="15">
      <c r="A37" s="478" t="s">
        <v>2719</v>
      </c>
      <c r="B37" s="2687" t="s">
        <v>2720</v>
      </c>
      <c r="C37" s="1405" t="s">
        <v>1</v>
      </c>
      <c r="D37" s="1406"/>
      <c r="E37" s="1407"/>
      <c r="F37" s="1408"/>
      <c r="G37" s="1409"/>
      <c r="H37" s="1410"/>
      <c r="I37" s="1407"/>
      <c r="J37" s="1410"/>
      <c r="K37" s="618"/>
      <c r="L37" s="1141"/>
      <c r="M37" s="1142"/>
      <c r="N37" s="1129"/>
      <c r="O37" s="1142"/>
      <c r="P37" s="3188" t="str">
        <f>A37</f>
        <v>成交单价</v>
      </c>
      <c r="Q37" s="3188"/>
      <c r="R37" s="3189">
        <f>E37</f>
        <v>0</v>
      </c>
      <c r="S37" s="3189"/>
      <c r="T37" s="3189">
        <f>G37</f>
        <v>0</v>
      </c>
      <c r="U37" s="3189"/>
      <c r="V37" s="3189">
        <f>I37</f>
        <v>0</v>
      </c>
      <c r="W37" s="3189"/>
      <c r="X37" s="757"/>
      <c r="Y37" s="779"/>
      <c r="Z37" s="757"/>
      <c r="AA37" s="757"/>
      <c r="AB37" s="757"/>
      <c r="AC37" s="757"/>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7"/>
      <c r="Y38" s="757"/>
      <c r="Z38" s="757"/>
      <c r="AA38" s="757"/>
      <c r="AB38" s="757"/>
      <c r="AC38" s="757"/>
    </row>
    <row r="39" spans="1:29" ht="15.75" thickBot="1">
      <c r="A39" s="491" t="s">
        <v>2722</v>
      </c>
      <c r="B39" s="492"/>
      <c r="C39" s="1415" t="e">
        <f>R39</f>
        <v>#DIV/0!</v>
      </c>
      <c r="D39" s="1415"/>
      <c r="E39" s="1415"/>
      <c r="F39" s="1415"/>
      <c r="G39" s="1415"/>
      <c r="H39" s="1415"/>
      <c r="I39" s="1415"/>
      <c r="J39" s="1415"/>
      <c r="K39" s="620"/>
      <c r="L39" s="1141"/>
      <c r="M39" s="1142"/>
      <c r="N39" s="1142"/>
      <c r="O39" s="1142"/>
      <c r="P39" s="3185" t="str">
        <f>A39</f>
        <v>估价对象XX用房的比较价值（楼面单价，元/平方米）</v>
      </c>
      <c r="Q39" s="3186"/>
      <c r="R39" s="3187" t="e">
        <f>IF(F1="售价",ROUND(AVERAGE(R38:V38),0),ROUND(AVERAGE(R38:V38),1))</f>
        <v>#DIV/0!</v>
      </c>
      <c r="S39" s="3187"/>
      <c r="T39" s="3187"/>
      <c r="U39" s="3187"/>
      <c r="V39" s="3187"/>
      <c r="W39" s="318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2727</v>
      </c>
      <c r="B48" s="505"/>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76"/>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IF(C2="——",ROUND(C37*D3/10000,0),ROUND(C37*D3/10000,0)-D2)</f>
        <v>#DIV/0!</v>
      </c>
      <c r="C2" s="2578"/>
      <c r="D2" s="1122" t="e">
        <f ca="1">SUMIF(INDIRECT("'"&amp;F2&amp;"'"&amp;"!A:A"),"承租人权益价值",INDIRECT("'"&amp;F2&amp;"'"&amp;"!c:c"))</f>
        <v>#REF!</v>
      </c>
      <c r="E2" s="2579" t="s">
        <v>2327</v>
      </c>
      <c r="F2" s="2580"/>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01" t="s">
        <v>2647</v>
      </c>
      <c r="AC4" s="3200" t="s">
        <v>2648</v>
      </c>
    </row>
    <row r="5" spans="1:29" ht="15">
      <c r="A5" s="403"/>
      <c r="B5" s="404"/>
      <c r="C5" s="3222" t="s">
        <v>2541</v>
      </c>
      <c r="D5" s="3223"/>
      <c r="E5" s="3229" t="s">
        <v>2542</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01"/>
      <c r="AC5" s="3201"/>
    </row>
    <row r="6" spans="1:29" ht="15.75" thickBot="1">
      <c r="A6" s="405"/>
      <c r="B6" s="406"/>
      <c r="C6" s="3220" t="s">
        <v>2545</v>
      </c>
      <c r="D6" s="3221"/>
      <c r="E6" s="3227" t="s">
        <v>2545</v>
      </c>
      <c r="F6" s="3228"/>
      <c r="G6" s="3220" t="s">
        <v>2545</v>
      </c>
      <c r="H6" s="3221"/>
      <c r="I6" s="3220" t="s">
        <v>2545</v>
      </c>
      <c r="J6" s="3221"/>
      <c r="K6" s="609" t="s">
        <v>2546</v>
      </c>
      <c r="L6" s="1128"/>
      <c r="M6" s="1129"/>
      <c r="N6" s="1129"/>
      <c r="O6" s="1129"/>
      <c r="P6" s="3211"/>
      <c r="Q6" s="3212"/>
      <c r="R6" s="3215"/>
      <c r="S6" s="3216"/>
      <c r="T6" s="3217"/>
      <c r="U6" s="3218"/>
      <c r="V6" s="3219"/>
      <c r="W6" s="3219"/>
      <c r="X6" s="1803"/>
      <c r="Y6" s="3217"/>
      <c r="Z6" s="3218"/>
      <c r="AA6" s="3202"/>
      <c r="AB6" s="3202"/>
      <c r="AC6" s="3202"/>
    </row>
    <row r="7" spans="1:29" s="117" customFormat="1" ht="15.75" thickBot="1">
      <c r="A7" s="407" t="s">
        <v>2547</v>
      </c>
      <c r="B7" s="408"/>
      <c r="C7" s="409">
        <f>'数据-取费表'!B2</f>
        <v>44005</v>
      </c>
      <c r="D7" s="410">
        <v>100</v>
      </c>
      <c r="E7" s="411"/>
      <c r="F7" s="412">
        <f>SUMIF(46:46,YEAR(E7)&amp;"-"&amp;MONTH(E7),47:47)</f>
        <v>0</v>
      </c>
      <c r="G7" s="2688"/>
      <c r="H7" s="410">
        <f>SUMIF(46:46,YEAR(G7)&amp;"-"&amp;MONTH(G7),47:47)</f>
        <v>0</v>
      </c>
      <c r="I7" s="411"/>
      <c r="J7" s="410">
        <f>SUMIF(46:46,YEAR(I7)&amp;"-"&amp;MONTH(I7),47:47)</f>
        <v>0</v>
      </c>
      <c r="K7" s="610"/>
      <c r="L7" s="1130"/>
      <c r="M7" s="1131"/>
      <c r="N7" s="1131"/>
      <c r="O7" s="1131"/>
      <c r="P7" s="3224" t="s">
        <v>2548</v>
      </c>
      <c r="Q7" s="3226"/>
      <c r="R7" s="768" t="s">
        <v>17</v>
      </c>
      <c r="S7" s="769">
        <f t="shared" ref="S7:S14" si="0">F7</f>
        <v>0</v>
      </c>
      <c r="T7" s="768" t="s">
        <v>17</v>
      </c>
      <c r="U7" s="769">
        <f t="shared" ref="U7:U14" si="1">H7</f>
        <v>0</v>
      </c>
      <c r="V7" s="768" t="s">
        <v>17</v>
      </c>
      <c r="W7" s="769">
        <f t="shared" ref="W7:W14" si="2">J7</f>
        <v>0</v>
      </c>
      <c r="X7" s="770"/>
      <c r="Y7" s="3224" t="s">
        <v>2548</v>
      </c>
      <c r="Z7" s="3225"/>
      <c r="AA7" s="771" t="e">
        <f>D7/F7</f>
        <v>#DIV/0!</v>
      </c>
      <c r="AB7" s="771" t="e">
        <f>D7/H7</f>
        <v>#DIV/0!</v>
      </c>
      <c r="AC7" s="771"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4" t="s">
        <v>2551</v>
      </c>
      <c r="Q8" s="3225"/>
      <c r="R8" s="768" t="s">
        <v>17</v>
      </c>
      <c r="S8" s="769">
        <f t="shared" si="0"/>
        <v>0</v>
      </c>
      <c r="T8" s="768" t="s">
        <v>17</v>
      </c>
      <c r="U8" s="769">
        <f t="shared" si="1"/>
        <v>0</v>
      </c>
      <c r="V8" s="768" t="s">
        <v>17</v>
      </c>
      <c r="W8" s="769">
        <f t="shared" si="2"/>
        <v>0</v>
      </c>
      <c r="X8" s="770"/>
      <c r="Y8" s="3224" t="s">
        <v>2551</v>
      </c>
      <c r="Z8" s="3225"/>
      <c r="AA8" s="771" t="e">
        <f t="shared" ref="AA8:AA34" si="3">D8/F8</f>
        <v>#DIV/0!</v>
      </c>
      <c r="AB8" s="771" t="e">
        <f t="shared" ref="AB8:AB34" si="4">D8/H8</f>
        <v>#DIV/0!</v>
      </c>
      <c r="AC8" s="771"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8" t="s">
        <v>2554</v>
      </c>
      <c r="Q9" s="1785" t="str">
        <f t="shared" ref="Q9:Q14" si="6">B9</f>
        <v>用途</v>
      </c>
      <c r="R9" s="768" t="s">
        <v>17</v>
      </c>
      <c r="S9" s="769">
        <f t="shared" si="0"/>
        <v>100</v>
      </c>
      <c r="T9" s="768" t="s">
        <v>17</v>
      </c>
      <c r="U9" s="769">
        <f t="shared" si="1"/>
        <v>100</v>
      </c>
      <c r="V9" s="768" t="s">
        <v>17</v>
      </c>
      <c r="W9" s="769">
        <f t="shared" si="2"/>
        <v>100</v>
      </c>
      <c r="X9" s="770"/>
      <c r="Y9" s="3011" t="s">
        <v>2555</v>
      </c>
      <c r="Z9" s="55" t="str">
        <f t="shared" ref="Z9:Z14" si="7">Q9</f>
        <v>用途</v>
      </c>
      <c r="AA9" s="771">
        <f t="shared" si="3"/>
        <v>1</v>
      </c>
      <c r="AB9" s="771">
        <f t="shared" si="4"/>
        <v>1</v>
      </c>
      <c r="AC9" s="771">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8"/>
      <c r="Q10" s="1785"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8"/>
      <c r="Q11" s="1785">
        <f t="shared" si="6"/>
        <v>111</v>
      </c>
      <c r="R11" s="768" t="s">
        <v>17</v>
      </c>
      <c r="S11" s="769">
        <f t="shared" si="0"/>
        <v>100</v>
      </c>
      <c r="T11" s="768" t="s">
        <v>17</v>
      </c>
      <c r="U11" s="769">
        <f t="shared" si="1"/>
        <v>100</v>
      </c>
      <c r="V11" s="768" t="s">
        <v>17</v>
      </c>
      <c r="W11" s="769">
        <f t="shared" si="2"/>
        <v>100</v>
      </c>
      <c r="X11" s="770"/>
      <c r="Y11" s="3011"/>
      <c r="Z11" s="55">
        <f t="shared" si="7"/>
        <v>111</v>
      </c>
      <c r="AA11" s="771">
        <f t="shared" si="3"/>
        <v>1</v>
      </c>
      <c r="AB11" s="771">
        <f t="shared" si="4"/>
        <v>1</v>
      </c>
      <c r="AC11" s="771">
        <f t="shared" si="5"/>
        <v>1</v>
      </c>
    </row>
    <row r="12" spans="1:29" s="117"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8"/>
      <c r="Q12" s="1785">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8"/>
      <c r="M13" s="1129"/>
      <c r="N13" s="1129"/>
      <c r="O13" s="1137"/>
      <c r="P13" s="3188"/>
      <c r="Q13" s="1785">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85.5">
      <c r="A14" s="439" t="s">
        <v>2558</v>
      </c>
      <c r="B14" s="69" t="s">
        <v>2708</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0" t="s">
        <v>2559</v>
      </c>
      <c r="Q14" s="1800" t="str">
        <f t="shared" si="6"/>
        <v>交通便捷度</v>
      </c>
      <c r="R14" s="772" t="s">
        <v>17</v>
      </c>
      <c r="S14" s="773">
        <f t="shared" si="0"/>
        <v>100</v>
      </c>
      <c r="T14" s="772" t="s">
        <v>17</v>
      </c>
      <c r="U14" s="773">
        <f t="shared" si="1"/>
        <v>100</v>
      </c>
      <c r="V14" s="772" t="s">
        <v>17</v>
      </c>
      <c r="W14" s="773">
        <f t="shared" si="2"/>
        <v>100</v>
      </c>
      <c r="X14" s="1803"/>
      <c r="Y14" s="3190" t="s">
        <v>2559</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8"/>
      <c r="M15" s="1129"/>
      <c r="N15" s="1129"/>
      <c r="O15" s="1137"/>
      <c r="P15" s="3191"/>
      <c r="Q15" s="1800"/>
      <c r="R15" s="772"/>
      <c r="S15" s="773"/>
      <c r="T15" s="772"/>
      <c r="U15" s="773"/>
      <c r="V15" s="772"/>
      <c r="W15" s="773"/>
      <c r="X15" s="1803"/>
      <c r="Y15" s="3191"/>
      <c r="Z15" s="1804"/>
      <c r="AA15" s="1801">
        <v>1</v>
      </c>
      <c r="AB15" s="1801">
        <v>1</v>
      </c>
      <c r="AC15" s="1801">
        <v>1</v>
      </c>
    </row>
    <row r="16" spans="1:29" ht="42.75">
      <c r="A16" s="427"/>
      <c r="B16" s="450" t="s">
        <v>2687</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1"/>
      <c r="Q16" s="1800" t="str">
        <f>B16</f>
        <v>公共配套设施</v>
      </c>
      <c r="R16" s="772" t="s">
        <v>17</v>
      </c>
      <c r="S16" s="773">
        <f>F16</f>
        <v>100</v>
      </c>
      <c r="T16" s="772" t="s">
        <v>17</v>
      </c>
      <c r="U16" s="773">
        <f>H16</f>
        <v>100</v>
      </c>
      <c r="V16" s="772" t="s">
        <v>17</v>
      </c>
      <c r="W16" s="773">
        <f>J16</f>
        <v>100</v>
      </c>
      <c r="X16" s="1803"/>
      <c r="Y16" s="3191"/>
      <c r="Z16" s="1804" t="str">
        <f>Q16</f>
        <v>公共配套设施</v>
      </c>
      <c r="AA16" s="1801">
        <f t="shared" si="3"/>
        <v>1</v>
      </c>
      <c r="AB16" s="1801">
        <f t="shared" si="4"/>
        <v>1</v>
      </c>
      <c r="AC16" s="1801">
        <f t="shared" si="5"/>
        <v>1</v>
      </c>
    </row>
    <row r="17" spans="1:29" ht="15">
      <c r="A17" s="427"/>
      <c r="B17" s="455"/>
      <c r="C17" s="2600"/>
      <c r="D17" s="447"/>
      <c r="E17" s="446"/>
      <c r="F17" s="448"/>
      <c r="G17" s="446"/>
      <c r="H17" s="447"/>
      <c r="I17" s="446"/>
      <c r="J17" s="447"/>
      <c r="K17" s="614"/>
      <c r="L17" s="1138"/>
      <c r="M17" s="1129"/>
      <c r="N17" s="1129"/>
      <c r="O17" s="1137"/>
      <c r="P17" s="3191"/>
      <c r="Q17" s="1800"/>
      <c r="R17" s="772"/>
      <c r="S17" s="773"/>
      <c r="T17" s="772"/>
      <c r="U17" s="773"/>
      <c r="V17" s="772"/>
      <c r="W17" s="773"/>
      <c r="X17" s="1803"/>
      <c r="Y17" s="3191"/>
      <c r="Z17" s="1804"/>
      <c r="AA17" s="1801">
        <v>1</v>
      </c>
      <c r="AB17" s="1801">
        <v>1</v>
      </c>
      <c r="AC17" s="1801">
        <v>1</v>
      </c>
    </row>
    <row r="18" spans="1:29" ht="28.5">
      <c r="A18" s="427"/>
      <c r="B18" s="1382" t="s">
        <v>2688</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1"/>
      <c r="Q18" s="1800" t="str">
        <f>B18</f>
        <v>基础设施水平</v>
      </c>
      <c r="R18" s="772" t="s">
        <v>17</v>
      </c>
      <c r="S18" s="773">
        <f>F18</f>
        <v>100</v>
      </c>
      <c r="T18" s="772" t="s">
        <v>17</v>
      </c>
      <c r="U18" s="773">
        <f>H18</f>
        <v>100</v>
      </c>
      <c r="V18" s="772" t="s">
        <v>17</v>
      </c>
      <c r="W18" s="773">
        <f>J18</f>
        <v>100</v>
      </c>
      <c r="X18" s="1803"/>
      <c r="Y18" s="3191"/>
      <c r="Z18" s="1804" t="str">
        <f>Q18</f>
        <v>基础设施水平</v>
      </c>
      <c r="AA18" s="1801">
        <f t="shared" ref="AA18" si="8">D18/F18</f>
        <v>1</v>
      </c>
      <c r="AB18" s="1801">
        <f t="shared" ref="AB18" si="9">D18/H18</f>
        <v>1</v>
      </c>
      <c r="AC18" s="1801">
        <f t="shared" ref="AC18" si="10">D18/J18</f>
        <v>1</v>
      </c>
    </row>
    <row r="19" spans="1:29" ht="15">
      <c r="A19" s="427"/>
      <c r="B19" s="1382"/>
      <c r="C19" s="2600"/>
      <c r="D19" s="449"/>
      <c r="E19" s="2600"/>
      <c r="F19" s="452"/>
      <c r="G19" s="2600"/>
      <c r="H19" s="447"/>
      <c r="I19" s="446"/>
      <c r="J19" s="447"/>
      <c r="K19" s="1381"/>
      <c r="L19" s="1138"/>
      <c r="M19" s="1129"/>
      <c r="N19" s="1129"/>
      <c r="O19" s="1137"/>
      <c r="P19" s="3191"/>
      <c r="Q19" s="1800"/>
      <c r="R19" s="772"/>
      <c r="S19" s="773"/>
      <c r="T19" s="772"/>
      <c r="U19" s="773"/>
      <c r="V19" s="772"/>
      <c r="W19" s="773"/>
      <c r="X19" s="1803"/>
      <c r="Y19" s="3191"/>
      <c r="Z19" s="1804"/>
      <c r="AA19" s="1801">
        <v>1</v>
      </c>
      <c r="AB19" s="1801">
        <v>1</v>
      </c>
      <c r="AC19" s="1801">
        <v>1</v>
      </c>
    </row>
    <row r="20" spans="1:29" ht="57">
      <c r="A20" s="427"/>
      <c r="B20" s="450" t="s">
        <v>2709</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1"/>
      <c r="Q20" s="1800" t="str">
        <f>B20</f>
        <v>自然及人文环境</v>
      </c>
      <c r="R20" s="772" t="s">
        <v>17</v>
      </c>
      <c r="S20" s="773">
        <f>F20</f>
        <v>100</v>
      </c>
      <c r="T20" s="772" t="s">
        <v>17</v>
      </c>
      <c r="U20" s="773">
        <f>H20</f>
        <v>100</v>
      </c>
      <c r="V20" s="772" t="s">
        <v>17</v>
      </c>
      <c r="W20" s="773">
        <f>J20</f>
        <v>100</v>
      </c>
      <c r="X20" s="1803"/>
      <c r="Y20" s="3191"/>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8"/>
      <c r="M21" s="1129"/>
      <c r="N21" s="1129"/>
      <c r="O21" s="1137"/>
      <c r="P21" s="3191"/>
      <c r="Q21" s="1800"/>
      <c r="R21" s="772"/>
      <c r="S21" s="773"/>
      <c r="T21" s="772"/>
      <c r="U21" s="773"/>
      <c r="V21" s="772"/>
      <c r="W21" s="773"/>
      <c r="X21" s="1803"/>
      <c r="Y21" s="3191"/>
      <c r="Z21" s="1804"/>
      <c r="AA21" s="1801">
        <v>1</v>
      </c>
      <c r="AB21" s="1801">
        <v>1</v>
      </c>
      <c r="AC21" s="1801">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1"/>
      <c r="Q22" s="1800" t="str">
        <f>B22</f>
        <v>楼层</v>
      </c>
      <c r="R22" s="772" t="s">
        <v>17</v>
      </c>
      <c r="S22" s="773">
        <f>F22</f>
        <v>100</v>
      </c>
      <c r="T22" s="772" t="s">
        <v>17</v>
      </c>
      <c r="U22" s="773">
        <f>H22</f>
        <v>100</v>
      </c>
      <c r="V22" s="772" t="s">
        <v>17</v>
      </c>
      <c r="W22" s="773">
        <f>J22</f>
        <v>100</v>
      </c>
      <c r="X22" s="1803"/>
      <c r="Y22" s="3191"/>
      <c r="Z22" s="1804" t="str">
        <f>Q22</f>
        <v>楼层</v>
      </c>
      <c r="AA22" s="1801">
        <f t="shared" si="3"/>
        <v>1</v>
      </c>
      <c r="AB22" s="1801">
        <f t="shared" si="4"/>
        <v>1</v>
      </c>
      <c r="AC22" s="1801">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1"/>
      <c r="Q23" s="1800">
        <f>B23</f>
        <v>111</v>
      </c>
      <c r="R23" s="772" t="s">
        <v>17</v>
      </c>
      <c r="S23" s="773">
        <f>F23</f>
        <v>100</v>
      </c>
      <c r="T23" s="772" t="s">
        <v>17</v>
      </c>
      <c r="U23" s="773">
        <f>H23</f>
        <v>100</v>
      </c>
      <c r="V23" s="772" t="s">
        <v>17</v>
      </c>
      <c r="W23" s="773">
        <f>J23</f>
        <v>100</v>
      </c>
      <c r="X23" s="1803"/>
      <c r="Y23" s="3191"/>
      <c r="Z23" s="1804">
        <f>Q23</f>
        <v>111</v>
      </c>
      <c r="AA23" s="1801">
        <f t="shared" si="3"/>
        <v>1</v>
      </c>
      <c r="AB23" s="1801">
        <f t="shared" si="4"/>
        <v>1</v>
      </c>
      <c r="AC23" s="1801">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1"/>
      <c r="Q24" s="1800">
        <f t="shared" ref="Q24:Q34" si="11">B24</f>
        <v>111</v>
      </c>
      <c r="R24" s="772" t="s">
        <v>17</v>
      </c>
      <c r="S24" s="773">
        <f>F24</f>
        <v>100</v>
      </c>
      <c r="T24" s="772" t="s">
        <v>17</v>
      </c>
      <c r="U24" s="773">
        <f>H24</f>
        <v>100</v>
      </c>
      <c r="V24" s="772" t="s">
        <v>17</v>
      </c>
      <c r="W24" s="773">
        <f>J24</f>
        <v>100</v>
      </c>
      <c r="X24" s="1803"/>
      <c r="Y24" s="3191"/>
      <c r="Z24" s="1804">
        <f>Q24</f>
        <v>111</v>
      </c>
      <c r="AA24" s="1801">
        <f t="shared" si="3"/>
        <v>1</v>
      </c>
      <c r="AB24" s="1801">
        <f t="shared" si="4"/>
        <v>1</v>
      </c>
      <c r="AC24" s="1801">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0"/>
      <c r="M25" s="1131"/>
      <c r="N25" s="1131"/>
      <c r="O25" s="1132"/>
      <c r="P25" s="3191"/>
      <c r="Q25" s="1785">
        <f t="shared" si="11"/>
        <v>111</v>
      </c>
      <c r="R25" s="768" t="s">
        <v>17</v>
      </c>
      <c r="S25" s="769">
        <f>F25</f>
        <v>100</v>
      </c>
      <c r="T25" s="768" t="s">
        <v>17</v>
      </c>
      <c r="U25" s="769">
        <f>H25</f>
        <v>100</v>
      </c>
      <c r="V25" s="768" t="s">
        <v>17</v>
      </c>
      <c r="W25" s="769">
        <f>J25</f>
        <v>100</v>
      </c>
      <c r="X25" s="770"/>
      <c r="Y25" s="3191"/>
      <c r="Z25" s="55">
        <f>Q25</f>
        <v>111</v>
      </c>
      <c r="AA25" s="1801">
        <f>D25/F25</f>
        <v>1</v>
      </c>
      <c r="AB25" s="1801">
        <f>D25/H25</f>
        <v>1</v>
      </c>
      <c r="AC25" s="1801">
        <f>D25/J25</f>
        <v>1</v>
      </c>
    </row>
    <row r="26" spans="1:29" ht="28.5">
      <c r="A26" s="465" t="s">
        <v>2562</v>
      </c>
      <c r="B26" s="71" t="s">
        <v>2713</v>
      </c>
      <c r="C26" s="2671"/>
      <c r="D26" s="466">
        <v>100</v>
      </c>
      <c r="E26" s="2671"/>
      <c r="F26" s="666">
        <f>SUMIF(77:77,E26,78:78)-SUMIF(77:77,C26,78:78)+100</f>
        <v>100</v>
      </c>
      <c r="G26" s="2671"/>
      <c r="H26" s="466">
        <f>SUMIF(77:77,G26,78:78)-SUMIF(77:77,C26,78:78)+100</f>
        <v>100</v>
      </c>
      <c r="I26" s="2671"/>
      <c r="J26" s="466">
        <f>SUMIF(77:77,I26,78:78)-SUMIF(77:77,C26,78:78)+100</f>
        <v>100</v>
      </c>
      <c r="K26" s="611"/>
      <c r="L26" s="1138"/>
      <c r="M26" s="1129"/>
      <c r="N26" s="1129"/>
      <c r="O26" s="1137"/>
      <c r="P26" s="3246" t="s">
        <v>2564</v>
      </c>
      <c r="Q26" s="1800" t="str">
        <f t="shared" si="11"/>
        <v>公共部分装修</v>
      </c>
      <c r="R26" s="772" t="s">
        <v>17</v>
      </c>
      <c r="S26" s="773">
        <f t="shared" ref="S26:S34" si="12">F26</f>
        <v>100</v>
      </c>
      <c r="T26" s="772" t="s">
        <v>17</v>
      </c>
      <c r="U26" s="773">
        <f t="shared" ref="U26:U34" si="13">H26</f>
        <v>100</v>
      </c>
      <c r="V26" s="772" t="s">
        <v>17</v>
      </c>
      <c r="W26" s="773">
        <f t="shared" ref="W26:W34" si="14">J26</f>
        <v>100</v>
      </c>
      <c r="X26" s="1803"/>
      <c r="Y26" s="3195" t="s">
        <v>2564</v>
      </c>
      <c r="Z26" s="1804" t="str">
        <f t="shared" ref="Z26:Z34" si="15">Q26</f>
        <v>公共部分装修</v>
      </c>
      <c r="AA26" s="1801">
        <f t="shared" si="3"/>
        <v>1</v>
      </c>
      <c r="AB26" s="1801">
        <f t="shared" si="4"/>
        <v>1</v>
      </c>
      <c r="AC26" s="1801">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5"/>
      <c r="Q27" s="774" t="str">
        <f t="shared" si="11"/>
        <v>成新率</v>
      </c>
      <c r="R27" s="775" t="s">
        <v>17</v>
      </c>
      <c r="S27" s="776" t="e">
        <f t="shared" si="12"/>
        <v>#N/A</v>
      </c>
      <c r="T27" s="775" t="s">
        <v>17</v>
      </c>
      <c r="U27" s="776" t="e">
        <f t="shared" si="13"/>
        <v>#N/A</v>
      </c>
      <c r="V27" s="775" t="s">
        <v>17</v>
      </c>
      <c r="W27" s="776" t="e">
        <f t="shared" si="14"/>
        <v>#N/A</v>
      </c>
      <c r="X27" s="777"/>
      <c r="Y27" s="3195"/>
      <c r="Z27" s="778" t="str">
        <f t="shared" si="15"/>
        <v>成新率</v>
      </c>
      <c r="AA27" s="1801" t="e">
        <f t="shared" si="3"/>
        <v>#N/A</v>
      </c>
      <c r="AB27" s="1801" t="e">
        <f t="shared" si="4"/>
        <v>#N/A</v>
      </c>
      <c r="AC27" s="1801"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5"/>
      <c r="Q28" s="1800" t="str">
        <f t="shared" si="11"/>
        <v>物业等级</v>
      </c>
      <c r="R28" s="772" t="s">
        <v>17</v>
      </c>
      <c r="S28" s="773">
        <f t="shared" si="12"/>
        <v>100</v>
      </c>
      <c r="T28" s="772" t="s">
        <v>17</v>
      </c>
      <c r="U28" s="773">
        <f t="shared" si="13"/>
        <v>100</v>
      </c>
      <c r="V28" s="772" t="s">
        <v>17</v>
      </c>
      <c r="W28" s="773">
        <f t="shared" si="14"/>
        <v>100</v>
      </c>
      <c r="X28" s="1803"/>
      <c r="Y28" s="3195"/>
      <c r="Z28" s="1804" t="str">
        <f t="shared" si="15"/>
        <v>物业等级</v>
      </c>
      <c r="AA28" s="1801">
        <f t="shared" si="3"/>
        <v>1</v>
      </c>
      <c r="AB28" s="1801">
        <f t="shared" si="4"/>
        <v>1</v>
      </c>
      <c r="AC28" s="1801">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5"/>
      <c r="Q29" s="1800" t="str">
        <f t="shared" si="11"/>
        <v>有无电梯</v>
      </c>
      <c r="R29" s="772" t="s">
        <v>17</v>
      </c>
      <c r="S29" s="773">
        <f t="shared" si="12"/>
        <v>100</v>
      </c>
      <c r="T29" s="772" t="s">
        <v>17</v>
      </c>
      <c r="U29" s="773">
        <f t="shared" si="13"/>
        <v>100</v>
      </c>
      <c r="V29" s="772" t="s">
        <v>17</v>
      </c>
      <c r="W29" s="773">
        <f t="shared" si="14"/>
        <v>100</v>
      </c>
      <c r="X29" s="1803"/>
      <c r="Y29" s="3195"/>
      <c r="Z29" s="1804" t="str">
        <f t="shared" si="15"/>
        <v>有无电梯</v>
      </c>
      <c r="AA29" s="1801">
        <f t="shared" si="3"/>
        <v>1</v>
      </c>
      <c r="AB29" s="1801">
        <f t="shared" si="4"/>
        <v>1</v>
      </c>
      <c r="AC29" s="1801">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5"/>
      <c r="Q30" s="1800" t="str">
        <f t="shared" si="11"/>
        <v>建筑面积</v>
      </c>
      <c r="R30" s="772" t="s">
        <v>17</v>
      </c>
      <c r="S30" s="773" t="e">
        <f t="shared" si="12"/>
        <v>#N/A</v>
      </c>
      <c r="T30" s="772" t="s">
        <v>17</v>
      </c>
      <c r="U30" s="773" t="e">
        <f t="shared" si="13"/>
        <v>#N/A</v>
      </c>
      <c r="V30" s="772" t="s">
        <v>17</v>
      </c>
      <c r="W30" s="773" t="e">
        <f t="shared" si="14"/>
        <v>#N/A</v>
      </c>
      <c r="X30" s="1803"/>
      <c r="Y30" s="3195"/>
      <c r="Z30" s="1804" t="str">
        <f t="shared" si="15"/>
        <v>建筑面积</v>
      </c>
      <c r="AA30" s="1801" t="e">
        <f t="shared" si="3"/>
        <v>#N/A</v>
      </c>
      <c r="AB30" s="1801" t="e">
        <f t="shared" si="4"/>
        <v>#N/A</v>
      </c>
      <c r="AC30" s="1801"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5"/>
      <c r="Q31" s="1785" t="str">
        <f t="shared" si="11"/>
        <v>是否封闭</v>
      </c>
      <c r="R31" s="768" t="s">
        <v>17</v>
      </c>
      <c r="S31" s="769">
        <f t="shared" si="12"/>
        <v>100</v>
      </c>
      <c r="T31" s="768" t="s">
        <v>17</v>
      </c>
      <c r="U31" s="769">
        <f t="shared" si="13"/>
        <v>100</v>
      </c>
      <c r="V31" s="768" t="s">
        <v>17</v>
      </c>
      <c r="W31" s="769">
        <f t="shared" si="14"/>
        <v>100</v>
      </c>
      <c r="X31" s="770"/>
      <c r="Y31" s="3195"/>
      <c r="Z31" s="55" t="str">
        <f t="shared" si="15"/>
        <v>是否封闭</v>
      </c>
      <c r="AA31" s="771">
        <f t="shared" si="3"/>
        <v>1</v>
      </c>
      <c r="AB31" s="771">
        <f t="shared" si="4"/>
        <v>1</v>
      </c>
      <c r="AC31" s="771">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5" t="s">
        <v>2564</v>
      </c>
      <c r="Q32" s="1800">
        <f t="shared" si="11"/>
        <v>111</v>
      </c>
      <c r="R32" s="772" t="s">
        <v>17</v>
      </c>
      <c r="S32" s="773">
        <f t="shared" si="12"/>
        <v>100</v>
      </c>
      <c r="T32" s="772" t="s">
        <v>17</v>
      </c>
      <c r="U32" s="773">
        <f t="shared" si="13"/>
        <v>100</v>
      </c>
      <c r="V32" s="772" t="s">
        <v>17</v>
      </c>
      <c r="W32" s="773">
        <f t="shared" si="14"/>
        <v>100</v>
      </c>
      <c r="X32" s="1803"/>
      <c r="Y32" s="3195" t="s">
        <v>2564</v>
      </c>
      <c r="Z32" s="1804">
        <f t="shared" si="15"/>
        <v>111</v>
      </c>
      <c r="AA32" s="1801">
        <f t="shared" si="3"/>
        <v>1</v>
      </c>
      <c r="AB32" s="1801">
        <f t="shared" si="4"/>
        <v>1</v>
      </c>
      <c r="AC32" s="1801">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5"/>
      <c r="Q33" s="1800">
        <f t="shared" si="11"/>
        <v>111</v>
      </c>
      <c r="R33" s="772" t="s">
        <v>17</v>
      </c>
      <c r="S33" s="773">
        <f t="shared" si="12"/>
        <v>100</v>
      </c>
      <c r="T33" s="772" t="s">
        <v>17</v>
      </c>
      <c r="U33" s="773">
        <f t="shared" si="13"/>
        <v>100</v>
      </c>
      <c r="V33" s="772" t="s">
        <v>17</v>
      </c>
      <c r="W33" s="773">
        <f t="shared" si="14"/>
        <v>100</v>
      </c>
      <c r="X33" s="1803"/>
      <c r="Y33" s="3195"/>
      <c r="Z33" s="1804">
        <f t="shared" si="15"/>
        <v>111</v>
      </c>
      <c r="AA33" s="1801">
        <f t="shared" si="3"/>
        <v>1</v>
      </c>
      <c r="AB33" s="1801">
        <f t="shared" si="4"/>
        <v>1</v>
      </c>
      <c r="AC33" s="1801">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8"/>
      <c r="M34" s="1129"/>
      <c r="N34" s="1129"/>
      <c r="O34" s="1137"/>
      <c r="P34" s="3195"/>
      <c r="Q34" s="1800">
        <f t="shared" si="11"/>
        <v>111</v>
      </c>
      <c r="R34" s="772" t="s">
        <v>17</v>
      </c>
      <c r="S34" s="773">
        <f t="shared" si="12"/>
        <v>100</v>
      </c>
      <c r="T34" s="772" t="s">
        <v>17</v>
      </c>
      <c r="U34" s="773">
        <f t="shared" si="13"/>
        <v>100</v>
      </c>
      <c r="V34" s="772" t="s">
        <v>17</v>
      </c>
      <c r="W34" s="773">
        <f t="shared" si="14"/>
        <v>100</v>
      </c>
      <c r="X34" s="1803"/>
      <c r="Y34" s="3195"/>
      <c r="Z34" s="1804">
        <f t="shared" si="15"/>
        <v>111</v>
      </c>
      <c r="AA34" s="1801">
        <f t="shared" si="3"/>
        <v>1</v>
      </c>
      <c r="AB34" s="1801">
        <f t="shared" si="4"/>
        <v>1</v>
      </c>
      <c r="AC34" s="1801">
        <f t="shared" si="5"/>
        <v>1</v>
      </c>
    </row>
    <row r="35" spans="1:29" ht="15">
      <c r="A35" s="478" t="s">
        <v>2576</v>
      </c>
      <c r="B35" s="479"/>
      <c r="C35" s="1405" t="s">
        <v>1</v>
      </c>
      <c r="D35" s="1406"/>
      <c r="E35" s="1407"/>
      <c r="F35" s="1408"/>
      <c r="G35" s="1409"/>
      <c r="H35" s="1410"/>
      <c r="I35" s="1407"/>
      <c r="J35" s="1410"/>
      <c r="K35" s="781"/>
      <c r="L35" s="1141"/>
      <c r="M35" s="1142"/>
      <c r="N35" s="1129"/>
      <c r="O35" s="1142"/>
      <c r="P35" s="3188" t="str">
        <f>A35</f>
        <v>成交单价（元/平方米）</v>
      </c>
      <c r="Q35" s="3188"/>
      <c r="R35" s="3189">
        <f>E35</f>
        <v>0</v>
      </c>
      <c r="S35" s="3189"/>
      <c r="T35" s="3189">
        <f>G35</f>
        <v>0</v>
      </c>
      <c r="U35" s="3189"/>
      <c r="V35" s="3189">
        <f>I35</f>
        <v>0</v>
      </c>
      <c r="W35" s="3189"/>
      <c r="X35" s="757"/>
      <c r="Y35" s="779"/>
      <c r="Z35" s="757"/>
      <c r="AA35" s="757"/>
      <c r="AB35" s="757"/>
      <c r="AC35" s="757"/>
    </row>
    <row r="36" spans="1:29" ht="15.75" thickBot="1">
      <c r="A36" s="485" t="s">
        <v>2668</v>
      </c>
      <c r="B36" s="486"/>
      <c r="C36" s="1411" t="e">
        <f>R37</f>
        <v>#DIV/0!</v>
      </c>
      <c r="D36" s="1412"/>
      <c r="E36" s="1413" t="e">
        <f>R36</f>
        <v>#DIV/0!</v>
      </c>
      <c r="F36" s="1413"/>
      <c r="G36" s="1411" t="e">
        <f>T36</f>
        <v>#DIV/0!</v>
      </c>
      <c r="H36" s="1412"/>
      <c r="I36" s="1413" t="e">
        <f>V36</f>
        <v>#DIV/0!</v>
      </c>
      <c r="J36" s="1412"/>
      <c r="K36" s="782"/>
      <c r="L36" s="1141"/>
      <c r="M36" s="1142"/>
      <c r="N36" s="1129"/>
      <c r="O36" s="1142"/>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7"/>
      <c r="Y36" s="757"/>
      <c r="Z36" s="757"/>
      <c r="AA36" s="757"/>
      <c r="AB36" s="757"/>
      <c r="AC36" s="757"/>
    </row>
    <row r="37" spans="1:29" ht="15.75" thickBot="1">
      <c r="A37" s="491" t="s">
        <v>2669</v>
      </c>
      <c r="B37" s="492"/>
      <c r="C37" s="1415" t="e">
        <f>R37</f>
        <v>#DIV/0!</v>
      </c>
      <c r="D37" s="1415"/>
      <c r="E37" s="1415"/>
      <c r="F37" s="1415"/>
      <c r="G37" s="1415"/>
      <c r="H37" s="1415"/>
      <c r="I37" s="1415"/>
      <c r="J37" s="1415"/>
      <c r="K37" s="783"/>
      <c r="L37" s="1141"/>
      <c r="M37" s="1142"/>
      <c r="N37" s="1142"/>
      <c r="O37" s="1142"/>
      <c r="P37" s="3185" t="str">
        <f>A37</f>
        <v>估价对象XX用房的比较价值（楼面单价，元/平方米）</v>
      </c>
      <c r="Q37" s="3186"/>
      <c r="R37" s="3187" t="e">
        <f>IF(F1="售价",ROUND(AVERAGE(R36:V36),0),ROUND(AVERAGE(R36:V36),1))</f>
        <v>#DIV/0!</v>
      </c>
      <c r="S37" s="3187"/>
      <c r="T37" s="3187"/>
      <c r="U37" s="3187"/>
      <c r="V37" s="3187"/>
      <c r="W37" s="318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2673</v>
      </c>
      <c r="B45" s="757"/>
      <c r="C45" s="762"/>
      <c r="D45" s="762"/>
      <c r="E45" s="762"/>
      <c r="F45" s="763"/>
      <c r="G45" s="763"/>
      <c r="H45" s="762"/>
      <c r="I45" s="762"/>
      <c r="J45" s="762"/>
      <c r="K45" s="764"/>
      <c r="L45" s="765"/>
      <c r="M45" s="762"/>
      <c r="N45" s="762"/>
      <c r="O45" s="762"/>
      <c r="P45" s="502"/>
      <c r="Q45" s="503"/>
    </row>
    <row r="46" spans="1:29" s="507" customFormat="1" ht="15">
      <c r="A46" s="504" t="s">
        <v>2547</v>
      </c>
      <c r="B46" s="505"/>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2728</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2326</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2644</v>
      </c>
      <c r="B4" s="401"/>
      <c r="C4" s="3203" t="s">
        <v>2645</v>
      </c>
      <c r="D4" s="3204"/>
      <c r="E4" s="3205" t="s">
        <v>2646</v>
      </c>
      <c r="F4" s="3206"/>
      <c r="G4" s="3203" t="s">
        <v>2647</v>
      </c>
      <c r="H4" s="3204"/>
      <c r="I4" s="3203" t="s">
        <v>2648</v>
      </c>
      <c r="J4" s="3204"/>
      <c r="K4" s="609" t="s">
        <v>2649</v>
      </c>
      <c r="L4" s="1128"/>
      <c r="M4" s="1129"/>
      <c r="N4" s="1129"/>
      <c r="O4" s="1129"/>
      <c r="P4" s="3207" t="s">
        <v>2650</v>
      </c>
      <c r="Q4" s="3208"/>
      <c r="R4" s="3213" t="s">
        <v>2646</v>
      </c>
      <c r="S4" s="3214"/>
      <c r="T4" s="3213" t="s">
        <v>2647</v>
      </c>
      <c r="U4" s="3214"/>
      <c r="V4" s="3219" t="s">
        <v>2648</v>
      </c>
      <c r="W4" s="3219"/>
      <c r="X4" s="1803"/>
      <c r="Y4" s="3213" t="s">
        <v>2650</v>
      </c>
      <c r="Z4" s="3214"/>
      <c r="AA4" s="3200" t="s">
        <v>2646</v>
      </c>
      <c r="AB4" s="3201" t="s">
        <v>2647</v>
      </c>
      <c r="AC4" s="3200" t="s">
        <v>2648</v>
      </c>
    </row>
    <row r="5" spans="1:30" ht="15">
      <c r="A5" s="403"/>
      <c r="B5" s="404"/>
      <c r="C5" s="3222" t="s">
        <v>2541</v>
      </c>
      <c r="D5" s="3223"/>
      <c r="E5" s="3229" t="s">
        <v>2542</v>
      </c>
      <c r="F5" s="3230"/>
      <c r="G5" s="3222" t="s">
        <v>2543</v>
      </c>
      <c r="H5" s="3223"/>
      <c r="I5" s="3222" t="s">
        <v>2544</v>
      </c>
      <c r="J5" s="3223"/>
      <c r="K5" s="609"/>
      <c r="L5" s="1128"/>
      <c r="M5" s="1129"/>
      <c r="N5" s="1129"/>
      <c r="O5" s="1129"/>
      <c r="P5" s="3209"/>
      <c r="Q5" s="3210"/>
      <c r="R5" s="3215"/>
      <c r="S5" s="3216"/>
      <c r="T5" s="3215"/>
      <c r="U5" s="3216"/>
      <c r="V5" s="3219"/>
      <c r="W5" s="3219"/>
      <c r="X5" s="1803"/>
      <c r="Y5" s="3215"/>
      <c r="Z5" s="3216"/>
      <c r="AA5" s="3201"/>
      <c r="AB5" s="3201"/>
      <c r="AC5" s="3201"/>
    </row>
    <row r="6" spans="1:30" ht="15.75" thickBot="1">
      <c r="A6" s="405"/>
      <c r="B6" s="406"/>
      <c r="C6" s="3220" t="s">
        <v>2545</v>
      </c>
      <c r="D6" s="3221"/>
      <c r="E6" s="3227" t="s">
        <v>2545</v>
      </c>
      <c r="F6" s="3228"/>
      <c r="G6" s="3220" t="s">
        <v>2545</v>
      </c>
      <c r="H6" s="3221"/>
      <c r="I6" s="3220" t="s">
        <v>2545</v>
      </c>
      <c r="J6" s="3221"/>
      <c r="K6" s="609" t="s">
        <v>2546</v>
      </c>
      <c r="L6" s="1128"/>
      <c r="M6" s="1129"/>
      <c r="N6" s="1129"/>
      <c r="O6" s="1129"/>
      <c r="P6" s="3211"/>
      <c r="Q6" s="3212"/>
      <c r="R6" s="3215"/>
      <c r="S6" s="3216"/>
      <c r="T6" s="3217"/>
      <c r="U6" s="3218"/>
      <c r="V6" s="3219"/>
      <c r="W6" s="3219"/>
      <c r="X6" s="1803"/>
      <c r="Y6" s="3217"/>
      <c r="Z6" s="3218"/>
      <c r="AA6" s="3202"/>
      <c r="AB6" s="3202"/>
      <c r="AC6" s="3202"/>
    </row>
    <row r="7" spans="1:30" s="117" customFormat="1" ht="15.75" thickBot="1">
      <c r="A7" s="407" t="s">
        <v>2547</v>
      </c>
      <c r="B7" s="408"/>
      <c r="C7" s="409">
        <f>'数据-取费表'!B2</f>
        <v>44005</v>
      </c>
      <c r="D7" s="410">
        <v>100</v>
      </c>
      <c r="E7" s="411">
        <v>42309</v>
      </c>
      <c r="F7" s="412">
        <f>SUMIF(70:70,YEAR(E7)&amp;"-"&amp;INT((MONTH(E7)+2)/3),71:71)</f>
        <v>0</v>
      </c>
      <c r="G7" s="2688">
        <v>42309</v>
      </c>
      <c r="H7" s="410">
        <f>SUMIF(70:70,YEAR(G7)&amp;"-"&amp;INT((MONTH(G7)+2)/3),71:71)</f>
        <v>0</v>
      </c>
      <c r="I7" s="2688">
        <v>42036</v>
      </c>
      <c r="J7" s="410">
        <f>SUMIF(70:70,YEAR(I7)&amp;"-"&amp;INT((MONTH(I7)+2)/3),71:71)</f>
        <v>0</v>
      </c>
      <c r="K7" s="610"/>
      <c r="L7" s="1130"/>
      <c r="M7" s="1131"/>
      <c r="N7" s="1131"/>
      <c r="O7" s="1131"/>
      <c r="P7" s="3224" t="s">
        <v>2548</v>
      </c>
      <c r="Q7" s="3226"/>
      <c r="R7" s="768" t="s">
        <v>17</v>
      </c>
      <c r="S7" s="769">
        <f t="shared" ref="S7:S15" si="0">F7</f>
        <v>0</v>
      </c>
      <c r="T7" s="768" t="s">
        <v>17</v>
      </c>
      <c r="U7" s="769">
        <f t="shared" ref="U7:U15" si="1">H7</f>
        <v>0</v>
      </c>
      <c r="V7" s="768" t="s">
        <v>17</v>
      </c>
      <c r="W7" s="769">
        <f t="shared" ref="W7:W15" si="2">J7</f>
        <v>0</v>
      </c>
      <c r="X7" s="770"/>
      <c r="Y7" s="3224" t="s">
        <v>2548</v>
      </c>
      <c r="Z7" s="3225"/>
      <c r="AA7" s="771" t="e">
        <f>D7/F7</f>
        <v>#DIV/0!</v>
      </c>
      <c r="AB7" s="771" t="e">
        <f>D7/H7</f>
        <v>#DIV/0!</v>
      </c>
      <c r="AC7" s="771"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24" t="s">
        <v>2551</v>
      </c>
      <c r="Q8" s="3225"/>
      <c r="R8" s="768" t="s">
        <v>17</v>
      </c>
      <c r="S8" s="769">
        <f t="shared" si="0"/>
        <v>0</v>
      </c>
      <c r="T8" s="768" t="s">
        <v>17</v>
      </c>
      <c r="U8" s="769">
        <f t="shared" si="1"/>
        <v>0</v>
      </c>
      <c r="V8" s="768" t="s">
        <v>17</v>
      </c>
      <c r="W8" s="769">
        <f t="shared" si="2"/>
        <v>0</v>
      </c>
      <c r="X8" s="770"/>
      <c r="Y8" s="3224" t="s">
        <v>2551</v>
      </c>
      <c r="Z8" s="3225"/>
      <c r="AA8" s="771" t="e">
        <f t="shared" ref="AA8:AA45" si="3">D8/F8</f>
        <v>#DIV/0!</v>
      </c>
      <c r="AB8" s="771" t="e">
        <f t="shared" ref="AB8:AB45" si="4">D8/H8</f>
        <v>#DIV/0!</v>
      </c>
      <c r="AC8" s="771" t="e">
        <f t="shared" ref="AC8:AC45" si="5">D8/J8</f>
        <v>#DIV/0!</v>
      </c>
    </row>
    <row r="9" spans="1:30" s="117" customFormat="1">
      <c r="A9" s="414" t="s">
        <v>2552</v>
      </c>
      <c r="B9" s="71" t="s">
        <v>2553</v>
      </c>
      <c r="C9" s="2691"/>
      <c r="D9" s="134">
        <v>100</v>
      </c>
      <c r="E9" s="2691"/>
      <c r="F9" s="134">
        <f>SUMIF(75:75,E9,76:76)-SUMIF(75:75,C9,76:76)+100</f>
        <v>100</v>
      </c>
      <c r="G9" s="2691"/>
      <c r="H9" s="134">
        <f>SUMIF(75:75,G9,76:76)-SUMIF(75:75,C9,76:76)+100</f>
        <v>100</v>
      </c>
      <c r="I9" s="2691"/>
      <c r="J9" s="134">
        <f>SUMIF(75:75,I9,76:76)-SUMIF(75:75,C9,76:76)+100</f>
        <v>100</v>
      </c>
      <c r="K9" s="610"/>
      <c r="L9" s="1130"/>
      <c r="M9" s="1131"/>
      <c r="N9" s="1131"/>
      <c r="O9" s="1132"/>
      <c r="P9" s="3188" t="s">
        <v>2554</v>
      </c>
      <c r="Q9" s="1785" t="str">
        <f t="shared" ref="Q9:Q15" si="6">B9</f>
        <v>用途</v>
      </c>
      <c r="R9" s="768" t="s">
        <v>17</v>
      </c>
      <c r="S9" s="769">
        <f t="shared" si="0"/>
        <v>100</v>
      </c>
      <c r="T9" s="768" t="s">
        <v>17</v>
      </c>
      <c r="U9" s="769">
        <f t="shared" si="1"/>
        <v>100</v>
      </c>
      <c r="V9" s="768" t="s">
        <v>17</v>
      </c>
      <c r="W9" s="769">
        <f t="shared" si="2"/>
        <v>100</v>
      </c>
      <c r="X9" s="770"/>
      <c r="Y9" s="3011" t="s">
        <v>2555</v>
      </c>
      <c r="Z9" s="55" t="str">
        <f t="shared" ref="Z9:Z15" si="7">Q9</f>
        <v>用途</v>
      </c>
      <c r="AA9" s="771">
        <f t="shared" si="3"/>
        <v>1</v>
      </c>
      <c r="AB9" s="771">
        <f t="shared" si="4"/>
        <v>1</v>
      </c>
      <c r="AC9" s="771">
        <f t="shared" si="5"/>
        <v>1</v>
      </c>
    </row>
    <row r="10" spans="1:30" s="426" customFormat="1" ht="27">
      <c r="A10" s="420"/>
      <c r="B10" s="421" t="s">
        <v>2556</v>
      </c>
      <c r="C10" s="431"/>
      <c r="D10" s="135">
        <v>100</v>
      </c>
      <c r="E10" s="464"/>
      <c r="F10" s="135">
        <f ca="1">ROUND(100/'数据-取费表'!G16,0)</f>
        <v>115</v>
      </c>
      <c r="G10" s="462"/>
      <c r="H10" s="135">
        <f ca="1">ROUND(100/'数据-取费表'!G16,0)</f>
        <v>115</v>
      </c>
      <c r="I10" s="462"/>
      <c r="J10" s="135">
        <f ca="1">ROUND(100/'数据-取费表'!G16,0)</f>
        <v>115</v>
      </c>
      <c r="K10" s="671"/>
      <c r="L10" s="1133"/>
      <c r="M10" s="1134"/>
      <c r="N10" s="1134"/>
      <c r="O10" s="1135"/>
      <c r="P10" s="3188"/>
      <c r="Q10" s="1785" t="str">
        <f t="shared" si="6"/>
        <v>土地使用年限（年）</v>
      </c>
      <c r="R10" s="768" t="s">
        <v>17</v>
      </c>
      <c r="S10" s="769">
        <f t="shared" ca="1" si="0"/>
        <v>115</v>
      </c>
      <c r="T10" s="768" t="s">
        <v>17</v>
      </c>
      <c r="U10" s="769">
        <f t="shared" ca="1" si="1"/>
        <v>115</v>
      </c>
      <c r="V10" s="768" t="s">
        <v>17</v>
      </c>
      <c r="W10" s="769">
        <f t="shared" ca="1" si="2"/>
        <v>115</v>
      </c>
      <c r="X10" s="770"/>
      <c r="Y10" s="3011"/>
      <c r="Z10" s="55" t="str">
        <f t="shared" si="7"/>
        <v>土地使用年限（年）</v>
      </c>
      <c r="AA10" s="771">
        <f t="shared" ca="1" si="3"/>
        <v>0.86956521739130432</v>
      </c>
      <c r="AB10" s="771">
        <f t="shared" ca="1" si="4"/>
        <v>0.86956521739130432</v>
      </c>
      <c r="AC10" s="771">
        <f t="shared" ca="1" si="5"/>
        <v>0.86956521739130432</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188"/>
      <c r="Q11" s="1785"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30" s="117" customFormat="1" ht="15">
      <c r="A12" s="430"/>
      <c r="B12" s="2592" t="s">
        <v>2746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88"/>
      <c r="Q12" s="1785" t="str">
        <f t="shared" si="6"/>
        <v>配建</v>
      </c>
      <c r="R12" s="768" t="s">
        <v>17</v>
      </c>
      <c r="S12" s="769">
        <f t="shared" si="0"/>
        <v>100</v>
      </c>
      <c r="T12" s="768" t="s">
        <v>17</v>
      </c>
      <c r="U12" s="769">
        <f t="shared" si="1"/>
        <v>100</v>
      </c>
      <c r="V12" s="768" t="s">
        <v>17</v>
      </c>
      <c r="W12" s="769">
        <f t="shared" si="2"/>
        <v>100</v>
      </c>
      <c r="X12" s="770"/>
      <c r="Y12" s="3011"/>
      <c r="Z12" s="55" t="str">
        <f t="shared" si="7"/>
        <v>配建</v>
      </c>
      <c r="AA12" s="771">
        <f>D12/F12</f>
        <v>1</v>
      </c>
      <c r="AB12" s="771">
        <f>D12/H12</f>
        <v>1</v>
      </c>
      <c r="AC12" s="771">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8"/>
      <c r="Q13" s="1785">
        <f t="shared" si="6"/>
        <v>111</v>
      </c>
      <c r="R13" s="768" t="s">
        <v>17</v>
      </c>
      <c r="S13" s="769">
        <f t="shared" si="0"/>
        <v>100</v>
      </c>
      <c r="T13" s="768" t="s">
        <v>17</v>
      </c>
      <c r="U13" s="769">
        <f t="shared" si="1"/>
        <v>100</v>
      </c>
      <c r="V13" s="768" t="s">
        <v>17</v>
      </c>
      <c r="W13" s="769">
        <f t="shared" si="2"/>
        <v>100</v>
      </c>
      <c r="X13" s="770"/>
      <c r="Y13" s="3011"/>
      <c r="Z13" s="55">
        <f t="shared" si="7"/>
        <v>111</v>
      </c>
      <c r="AA13" s="771">
        <f>D13/F13</f>
        <v>1</v>
      </c>
      <c r="AB13" s="771">
        <f>D13/H13</f>
        <v>1</v>
      </c>
      <c r="AC13" s="771">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8"/>
      <c r="Q14" s="1785">
        <f t="shared" si="6"/>
        <v>111</v>
      </c>
      <c r="R14" s="768" t="s">
        <v>17</v>
      </c>
      <c r="S14" s="769">
        <f t="shared" si="0"/>
        <v>100</v>
      </c>
      <c r="T14" s="768" t="s">
        <v>17</v>
      </c>
      <c r="U14" s="769">
        <f t="shared" si="1"/>
        <v>100</v>
      </c>
      <c r="V14" s="768" t="s">
        <v>17</v>
      </c>
      <c r="W14" s="769">
        <f t="shared" si="2"/>
        <v>100</v>
      </c>
      <c r="X14" s="770"/>
      <c r="Y14" s="3011"/>
      <c r="Z14" s="55">
        <f t="shared" si="7"/>
        <v>111</v>
      </c>
      <c r="AA14" s="771">
        <f>D14/F14</f>
        <v>1</v>
      </c>
      <c r="AB14" s="771">
        <f>D14/H14</f>
        <v>1</v>
      </c>
      <c r="AC14" s="771">
        <f>D14/J14</f>
        <v>1</v>
      </c>
    </row>
    <row r="15" spans="1:30" ht="99.75">
      <c r="A15" s="439" t="s">
        <v>2558</v>
      </c>
      <c r="B15" s="69" t="s">
        <v>2083</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90" t="s">
        <v>2559</v>
      </c>
      <c r="Q15" s="1800" t="str">
        <f t="shared" si="6"/>
        <v>居住社区成熟度</v>
      </c>
      <c r="R15" s="772" t="s">
        <v>17</v>
      </c>
      <c r="S15" s="773">
        <f t="shared" si="0"/>
        <v>100</v>
      </c>
      <c r="T15" s="772" t="s">
        <v>17</v>
      </c>
      <c r="U15" s="773">
        <f t="shared" si="1"/>
        <v>100</v>
      </c>
      <c r="V15" s="772" t="s">
        <v>17</v>
      </c>
      <c r="W15" s="773">
        <f t="shared" si="2"/>
        <v>100</v>
      </c>
      <c r="X15" s="1803"/>
      <c r="Y15" s="3190" t="s">
        <v>2559</v>
      </c>
      <c r="Z15" s="1804" t="str">
        <f t="shared" si="7"/>
        <v>居住社区成熟度</v>
      </c>
      <c r="AA15" s="1801">
        <f t="shared" si="3"/>
        <v>1</v>
      </c>
      <c r="AB15" s="1801">
        <f t="shared" si="4"/>
        <v>1</v>
      </c>
      <c r="AC15" s="1801">
        <f t="shared" si="5"/>
        <v>1</v>
      </c>
    </row>
    <row r="16" spans="1:30" ht="15">
      <c r="A16" s="427"/>
      <c r="B16" s="445"/>
      <c r="C16" s="446"/>
      <c r="D16" s="447"/>
      <c r="E16" s="2597"/>
      <c r="F16" s="447"/>
      <c r="G16" s="2597"/>
      <c r="H16" s="449"/>
      <c r="I16" s="2596"/>
      <c r="J16" s="447"/>
      <c r="K16" s="671"/>
      <c r="L16" s="1138"/>
      <c r="M16" s="1129"/>
      <c r="N16" s="1129"/>
      <c r="O16" s="1137"/>
      <c r="P16" s="3191"/>
      <c r="Q16" s="1800"/>
      <c r="R16" s="772"/>
      <c r="S16" s="773"/>
      <c r="T16" s="772"/>
      <c r="U16" s="773"/>
      <c r="V16" s="772"/>
      <c r="W16" s="773"/>
      <c r="X16" s="1803"/>
      <c r="Y16" s="3191"/>
      <c r="Z16" s="1804"/>
      <c r="AA16" s="1801">
        <v>1</v>
      </c>
      <c r="AB16" s="1801">
        <v>1</v>
      </c>
      <c r="AC16" s="1801">
        <v>1</v>
      </c>
    </row>
    <row r="17" spans="1:29" ht="71.25">
      <c r="A17" s="427"/>
      <c r="B17" s="450" t="s">
        <v>2652</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191"/>
      <c r="Q17" s="1800" t="str">
        <f>B17</f>
        <v>商业繁华度</v>
      </c>
      <c r="R17" s="772" t="s">
        <v>17</v>
      </c>
      <c r="S17" s="773">
        <f>F17</f>
        <v>100</v>
      </c>
      <c r="T17" s="772" t="s">
        <v>17</v>
      </c>
      <c r="U17" s="773">
        <f>H17</f>
        <v>100</v>
      </c>
      <c r="V17" s="772" t="s">
        <v>17</v>
      </c>
      <c r="W17" s="773">
        <f>J17</f>
        <v>100</v>
      </c>
      <c r="X17" s="1803"/>
      <c r="Y17" s="3191"/>
      <c r="Z17" s="1804" t="str">
        <f>Q17</f>
        <v>商业繁华度</v>
      </c>
      <c r="AA17" s="1801">
        <f t="shared" si="3"/>
        <v>1</v>
      </c>
      <c r="AB17" s="1801">
        <f t="shared" si="4"/>
        <v>1</v>
      </c>
      <c r="AC17" s="1801">
        <f t="shared" si="5"/>
        <v>1</v>
      </c>
    </row>
    <row r="18" spans="1:29" ht="15">
      <c r="A18" s="427"/>
      <c r="B18" s="455"/>
      <c r="C18" s="2600"/>
      <c r="D18" s="449"/>
      <c r="E18" s="2602"/>
      <c r="F18" s="449"/>
      <c r="G18" s="2602"/>
      <c r="H18" s="447"/>
      <c r="I18" s="2601"/>
      <c r="J18" s="447"/>
      <c r="K18" s="671"/>
      <c r="L18" s="1138"/>
      <c r="M18" s="1129"/>
      <c r="N18" s="1129"/>
      <c r="O18" s="1137"/>
      <c r="P18" s="3191"/>
      <c r="Q18" s="1800"/>
      <c r="R18" s="772"/>
      <c r="S18" s="773"/>
      <c r="T18" s="772"/>
      <c r="U18" s="773"/>
      <c r="V18" s="772"/>
      <c r="W18" s="773"/>
      <c r="X18" s="1803"/>
      <c r="Y18" s="3191"/>
      <c r="Z18" s="1804"/>
      <c r="AA18" s="1801">
        <v>1</v>
      </c>
      <c r="AB18" s="1801">
        <v>1</v>
      </c>
      <c r="AC18" s="1801">
        <v>1</v>
      </c>
    </row>
    <row r="19" spans="1:29" ht="71.25">
      <c r="A19" s="427"/>
      <c r="B19" s="450" t="s">
        <v>2686</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1"/>
      <c r="Q19" s="1800" t="str">
        <f>B19</f>
        <v>办公集聚程度</v>
      </c>
      <c r="R19" s="772" t="s">
        <v>17</v>
      </c>
      <c r="S19" s="773">
        <f>F19</f>
        <v>100</v>
      </c>
      <c r="T19" s="772" t="s">
        <v>17</v>
      </c>
      <c r="U19" s="773">
        <f>H19</f>
        <v>100</v>
      </c>
      <c r="V19" s="772" t="s">
        <v>17</v>
      </c>
      <c r="W19" s="773">
        <f>J19</f>
        <v>100</v>
      </c>
      <c r="X19" s="1803"/>
      <c r="Y19" s="3191"/>
      <c r="Z19" s="1804" t="str">
        <f>Q19</f>
        <v>办公集聚程度</v>
      </c>
      <c r="AA19" s="1801">
        <f t="shared" si="3"/>
        <v>1</v>
      </c>
      <c r="AB19" s="1801">
        <f t="shared" si="4"/>
        <v>1</v>
      </c>
      <c r="AC19" s="1801">
        <f t="shared" si="5"/>
        <v>1</v>
      </c>
    </row>
    <row r="20" spans="1:29" ht="15">
      <c r="A20" s="427"/>
      <c r="B20" s="455"/>
      <c r="C20" s="446"/>
      <c r="D20" s="447"/>
      <c r="E20" s="2597"/>
      <c r="F20" s="447"/>
      <c r="G20" s="2597"/>
      <c r="H20" s="447"/>
      <c r="I20" s="2596"/>
      <c r="J20" s="447"/>
      <c r="K20" s="671"/>
      <c r="L20" s="1138"/>
      <c r="M20" s="1129"/>
      <c r="N20" s="1129"/>
      <c r="O20" s="1137"/>
      <c r="P20" s="3191"/>
      <c r="Q20" s="1800"/>
      <c r="R20" s="772"/>
      <c r="S20" s="773"/>
      <c r="T20" s="772"/>
      <c r="U20" s="773"/>
      <c r="V20" s="772"/>
      <c r="W20" s="773"/>
      <c r="X20" s="1803"/>
      <c r="Y20" s="3191"/>
      <c r="Z20" s="1804"/>
      <c r="AA20" s="1801">
        <v>1</v>
      </c>
      <c r="AB20" s="1801">
        <v>1</v>
      </c>
      <c r="AC20" s="1801">
        <v>1</v>
      </c>
    </row>
    <row r="21" spans="1:29" ht="85.5">
      <c r="A21" s="427"/>
      <c r="B21" s="450" t="s">
        <v>2708</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191"/>
      <c r="Q21" s="1800" t="str">
        <f>B21</f>
        <v>交通便捷度</v>
      </c>
      <c r="R21" s="772" t="s">
        <v>17</v>
      </c>
      <c r="S21" s="773">
        <f>F21</f>
        <v>100</v>
      </c>
      <c r="T21" s="772" t="s">
        <v>17</v>
      </c>
      <c r="U21" s="773">
        <f>H21</f>
        <v>100</v>
      </c>
      <c r="V21" s="772" t="s">
        <v>17</v>
      </c>
      <c r="W21" s="773">
        <f>J21</f>
        <v>100</v>
      </c>
      <c r="X21" s="1803"/>
      <c r="Y21" s="3191"/>
      <c r="Z21" s="1804" t="str">
        <f>Q21</f>
        <v>交通便捷度</v>
      </c>
      <c r="AA21" s="1801">
        <f t="shared" si="3"/>
        <v>1</v>
      </c>
      <c r="AB21" s="1801">
        <f t="shared" si="4"/>
        <v>1</v>
      </c>
      <c r="AC21" s="1801">
        <f t="shared" si="5"/>
        <v>1</v>
      </c>
    </row>
    <row r="22" spans="1:29" ht="15">
      <c r="A22" s="427"/>
      <c r="B22" s="1382"/>
      <c r="C22" s="446"/>
      <c r="D22" s="449"/>
      <c r="E22" s="2597"/>
      <c r="F22" s="447"/>
      <c r="G22" s="2597"/>
      <c r="H22" s="447"/>
      <c r="I22" s="2596"/>
      <c r="J22" s="447"/>
      <c r="K22" s="671"/>
      <c r="L22" s="1138"/>
      <c r="M22" s="1129"/>
      <c r="N22" s="1129"/>
      <c r="O22" s="1137"/>
      <c r="P22" s="3191"/>
      <c r="Q22" s="1800"/>
      <c r="R22" s="772"/>
      <c r="S22" s="773"/>
      <c r="T22" s="772"/>
      <c r="U22" s="773"/>
      <c r="V22" s="772"/>
      <c r="W22" s="773"/>
      <c r="X22" s="1803"/>
      <c r="Y22" s="3191"/>
      <c r="Z22" s="1804"/>
      <c r="AA22" s="1801">
        <v>1</v>
      </c>
      <c r="AB22" s="1801">
        <v>1</v>
      </c>
      <c r="AC22" s="1801">
        <v>1</v>
      </c>
    </row>
    <row r="23" spans="1:29" ht="15">
      <c r="A23" s="403"/>
      <c r="B23" s="450" t="s">
        <v>2747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191"/>
      <c r="Q23" s="1800" t="str">
        <f t="shared" ref="Q23:Q37" si="8">B23</f>
        <v>区域土地利用方向</v>
      </c>
      <c r="R23" s="772" t="s">
        <v>17</v>
      </c>
      <c r="S23" s="773">
        <f>F23</f>
        <v>100</v>
      </c>
      <c r="T23" s="772" t="s">
        <v>17</v>
      </c>
      <c r="U23" s="773">
        <f>H23</f>
        <v>100</v>
      </c>
      <c r="V23" s="772" t="s">
        <v>17</v>
      </c>
      <c r="W23" s="773">
        <f>J23</f>
        <v>100</v>
      </c>
      <c r="X23" s="1803"/>
      <c r="Y23" s="3191"/>
      <c r="Z23" s="1804" t="str">
        <f>Q23</f>
        <v>区域土地利用方向</v>
      </c>
      <c r="AA23" s="1801">
        <f t="shared" si="3"/>
        <v>1</v>
      </c>
      <c r="AB23" s="1801">
        <f t="shared" si="4"/>
        <v>1</v>
      </c>
      <c r="AC23" s="1801">
        <f t="shared" si="5"/>
        <v>1</v>
      </c>
    </row>
    <row r="24" spans="1:29" ht="15">
      <c r="A24" s="403"/>
      <c r="B24" s="455"/>
      <c r="C24" s="615"/>
      <c r="D24" s="447"/>
      <c r="E24" s="2597"/>
      <c r="F24" s="447"/>
      <c r="G24" s="2596"/>
      <c r="H24" s="447"/>
      <c r="I24" s="2596"/>
      <c r="J24" s="447"/>
      <c r="K24" s="810"/>
      <c r="L24" s="1138"/>
      <c r="M24" s="1129"/>
      <c r="N24" s="1129"/>
      <c r="O24" s="1137"/>
      <c r="P24" s="3191"/>
      <c r="Q24" s="1800"/>
      <c r="R24" s="772"/>
      <c r="S24" s="773"/>
      <c r="T24" s="772"/>
      <c r="U24" s="773"/>
      <c r="V24" s="772"/>
      <c r="W24" s="773"/>
      <c r="X24" s="1803"/>
      <c r="Y24" s="3191"/>
      <c r="Z24" s="1804"/>
      <c r="AA24" s="1801"/>
      <c r="AB24" s="1801"/>
      <c r="AC24" s="1801"/>
    </row>
    <row r="25" spans="1:29" ht="57">
      <c r="A25" s="403"/>
      <c r="B25" s="1382" t="s">
        <v>2748</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191"/>
      <c r="Q25" s="1800" t="str">
        <f t="shared" si="8"/>
        <v>自然及人文环境状况</v>
      </c>
      <c r="R25" s="772" t="s">
        <v>17</v>
      </c>
      <c r="S25" s="773">
        <f>F25</f>
        <v>100</v>
      </c>
      <c r="T25" s="772" t="s">
        <v>17</v>
      </c>
      <c r="U25" s="773">
        <f>H25</f>
        <v>100</v>
      </c>
      <c r="V25" s="772" t="s">
        <v>17</v>
      </c>
      <c r="W25" s="773">
        <f>J25</f>
        <v>100</v>
      </c>
      <c r="X25" s="1803"/>
      <c r="Y25" s="3191"/>
      <c r="Z25" s="1804" t="str">
        <f>Q25</f>
        <v>自然及人文环境状况</v>
      </c>
      <c r="AA25" s="1801">
        <f t="shared" si="3"/>
        <v>1</v>
      </c>
      <c r="AB25" s="1801">
        <f t="shared" si="4"/>
        <v>1</v>
      </c>
      <c r="AC25" s="1801">
        <f t="shared" si="5"/>
        <v>1</v>
      </c>
    </row>
    <row r="26" spans="1:29" ht="15">
      <c r="A26" s="403"/>
      <c r="B26" s="455"/>
      <c r="C26" s="446"/>
      <c r="D26" s="447"/>
      <c r="E26" s="2603"/>
      <c r="F26" s="447"/>
      <c r="G26" s="2603"/>
      <c r="H26" s="447"/>
      <c r="I26" s="446"/>
      <c r="J26" s="447"/>
      <c r="K26" s="671"/>
      <c r="L26" s="1138"/>
      <c r="M26" s="1129"/>
      <c r="N26" s="1129"/>
      <c r="O26" s="1137"/>
      <c r="P26" s="3191"/>
      <c r="Q26" s="1800"/>
      <c r="R26" s="772"/>
      <c r="S26" s="773"/>
      <c r="T26" s="772"/>
      <c r="U26" s="773"/>
      <c r="V26" s="772"/>
      <c r="W26" s="773"/>
      <c r="X26" s="1803"/>
      <c r="Y26" s="3191"/>
      <c r="Z26" s="1804"/>
      <c r="AA26" s="1801">
        <v>1</v>
      </c>
      <c r="AB26" s="1801">
        <v>1</v>
      </c>
      <c r="AC26" s="1801">
        <v>1</v>
      </c>
    </row>
    <row r="27" spans="1:29" s="117" customFormat="1" ht="42.75">
      <c r="A27" s="648"/>
      <c r="B27" s="1382" t="s">
        <v>2653</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191"/>
      <c r="Q27" s="1785" t="str">
        <f t="shared" si="8"/>
        <v>公共配套设施</v>
      </c>
      <c r="R27" s="768" t="s">
        <v>17</v>
      </c>
      <c r="S27" s="769">
        <f>F27</f>
        <v>100</v>
      </c>
      <c r="T27" s="768" t="s">
        <v>17</v>
      </c>
      <c r="U27" s="769">
        <f>H27</f>
        <v>100</v>
      </c>
      <c r="V27" s="768" t="s">
        <v>17</v>
      </c>
      <c r="W27" s="769">
        <f>J27</f>
        <v>100</v>
      </c>
      <c r="X27" s="770"/>
      <c r="Y27" s="3191"/>
      <c r="Z27" s="55" t="str">
        <f>Q27</f>
        <v>公共配套设施</v>
      </c>
      <c r="AA27" s="1801">
        <f>D27/F27</f>
        <v>1</v>
      </c>
      <c r="AB27" s="1801">
        <f>D27/H27</f>
        <v>1</v>
      </c>
      <c r="AC27" s="1801">
        <f>D27/J27</f>
        <v>1</v>
      </c>
    </row>
    <row r="28" spans="1:29" s="117" customFormat="1" ht="15">
      <c r="A28" s="648"/>
      <c r="B28" s="455"/>
      <c r="C28" s="2692"/>
      <c r="D28" s="447"/>
      <c r="E28" s="2603"/>
      <c r="F28" s="447"/>
      <c r="G28" s="2603"/>
      <c r="H28" s="447"/>
      <c r="I28" s="446"/>
      <c r="J28" s="447"/>
      <c r="K28" s="671"/>
      <c r="L28" s="1130"/>
      <c r="M28" s="1131"/>
      <c r="N28" s="1131"/>
      <c r="O28" s="1132"/>
      <c r="P28" s="3191"/>
      <c r="Q28" s="1785"/>
      <c r="R28" s="768"/>
      <c r="S28" s="769"/>
      <c r="T28" s="768"/>
      <c r="U28" s="769"/>
      <c r="V28" s="768"/>
      <c r="W28" s="769"/>
      <c r="X28" s="770"/>
      <c r="Y28" s="3191"/>
      <c r="Z28" s="55"/>
      <c r="AA28" s="1801">
        <v>1</v>
      </c>
      <c r="AB28" s="1801">
        <v>1</v>
      </c>
      <c r="AC28" s="1801">
        <v>1</v>
      </c>
    </row>
    <row r="29" spans="1:29" s="117" customFormat="1" ht="28.5">
      <c r="A29" s="648"/>
      <c r="B29" s="1382" t="s">
        <v>2654</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191"/>
      <c r="Q29" s="1785" t="str">
        <f t="shared" ref="Q29" si="9">B29</f>
        <v>基础设施水平</v>
      </c>
      <c r="R29" s="768" t="s">
        <v>17</v>
      </c>
      <c r="S29" s="769">
        <f>F29</f>
        <v>100</v>
      </c>
      <c r="T29" s="768" t="s">
        <v>17</v>
      </c>
      <c r="U29" s="769">
        <f>H29</f>
        <v>100</v>
      </c>
      <c r="V29" s="768" t="s">
        <v>17</v>
      </c>
      <c r="W29" s="769">
        <f>J29</f>
        <v>100</v>
      </c>
      <c r="X29" s="770"/>
      <c r="Y29" s="3191"/>
      <c r="Z29" s="55" t="str">
        <f>Q29</f>
        <v>基础设施水平</v>
      </c>
      <c r="AA29" s="1801">
        <f>D29/F29</f>
        <v>1</v>
      </c>
      <c r="AB29" s="1801">
        <f>D29/H29</f>
        <v>1</v>
      </c>
      <c r="AC29" s="1801">
        <f>D29/J29</f>
        <v>1</v>
      </c>
    </row>
    <row r="30" spans="1:29" s="117" customFormat="1" ht="15">
      <c r="A30" s="648"/>
      <c r="B30" s="455"/>
      <c r="C30" s="2692"/>
      <c r="D30" s="447"/>
      <c r="E30" s="2693"/>
      <c r="F30" s="447"/>
      <c r="G30" s="2693"/>
      <c r="H30" s="447"/>
      <c r="I30" s="2693"/>
      <c r="J30" s="447"/>
      <c r="K30" s="671"/>
      <c r="L30" s="1130"/>
      <c r="M30" s="1131"/>
      <c r="N30" s="1131"/>
      <c r="O30" s="1132"/>
      <c r="P30" s="3191"/>
      <c r="Q30" s="1785"/>
      <c r="R30" s="768"/>
      <c r="S30" s="769"/>
      <c r="T30" s="768"/>
      <c r="U30" s="769"/>
      <c r="V30" s="768"/>
      <c r="W30" s="769"/>
      <c r="X30" s="770"/>
      <c r="Y30" s="3191"/>
      <c r="Z30" s="55"/>
      <c r="AA30" s="1801">
        <v>1</v>
      </c>
      <c r="AB30" s="1801">
        <v>1</v>
      </c>
      <c r="AC30" s="1801">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91"/>
      <c r="Q31" s="1800" t="str">
        <f t="shared" si="8"/>
        <v>临街状况</v>
      </c>
      <c r="R31" s="772" t="s">
        <v>17</v>
      </c>
      <c r="S31" s="773">
        <f t="shared" ref="S31:S45" si="10">F31</f>
        <v>100</v>
      </c>
      <c r="T31" s="772" t="s">
        <v>17</v>
      </c>
      <c r="U31" s="773">
        <f t="shared" ref="U31:U45" si="11">H31</f>
        <v>100</v>
      </c>
      <c r="V31" s="772" t="s">
        <v>17</v>
      </c>
      <c r="W31" s="773">
        <f t="shared" ref="W31:W45" si="12">J31</f>
        <v>100</v>
      </c>
      <c r="X31" s="1803"/>
      <c r="Y31" s="3191"/>
      <c r="Z31" s="1804" t="str">
        <f t="shared" ref="Z31:Z45" si="13">Q31</f>
        <v>临街状况</v>
      </c>
      <c r="AA31" s="1801">
        <f t="shared" si="3"/>
        <v>1</v>
      </c>
      <c r="AB31" s="1801">
        <f t="shared" si="4"/>
        <v>1</v>
      </c>
      <c r="AC31" s="1801">
        <f t="shared" si="5"/>
        <v>1</v>
      </c>
    </row>
    <row r="32" spans="1:29" ht="27">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91"/>
      <c r="Q32" s="1800" t="str">
        <f t="shared" si="8"/>
        <v>毗邻道路的类型与等级</v>
      </c>
      <c r="R32" s="772" t="s">
        <v>17</v>
      </c>
      <c r="S32" s="773">
        <f t="shared" si="10"/>
        <v>100</v>
      </c>
      <c r="T32" s="772" t="s">
        <v>17</v>
      </c>
      <c r="U32" s="773">
        <f t="shared" si="11"/>
        <v>100</v>
      </c>
      <c r="V32" s="772" t="s">
        <v>17</v>
      </c>
      <c r="W32" s="773">
        <f t="shared" si="12"/>
        <v>100</v>
      </c>
      <c r="X32" s="1803"/>
      <c r="Y32" s="3191"/>
      <c r="Z32" s="1804" t="str">
        <f t="shared" si="13"/>
        <v>毗邻道路的类型与等级</v>
      </c>
      <c r="AA32" s="1801">
        <f t="shared" si="3"/>
        <v>1</v>
      </c>
      <c r="AB32" s="1801">
        <f t="shared" si="4"/>
        <v>1</v>
      </c>
      <c r="AC32" s="1801">
        <f t="shared" si="5"/>
        <v>1</v>
      </c>
    </row>
    <row r="33" spans="1:29" ht="15">
      <c r="A33" s="427"/>
      <c r="B33" s="455"/>
      <c r="C33" s="446"/>
      <c r="D33" s="447"/>
      <c r="E33" s="2603"/>
      <c r="F33" s="447"/>
      <c r="G33" s="2603"/>
      <c r="H33" s="447"/>
      <c r="I33" s="446"/>
      <c r="J33" s="447"/>
      <c r="K33" s="612"/>
      <c r="L33" s="1138"/>
      <c r="M33" s="1129"/>
      <c r="N33" s="1129"/>
      <c r="O33" s="1137"/>
      <c r="P33" s="3191"/>
      <c r="Q33" s="1800"/>
      <c r="R33" s="772"/>
      <c r="S33" s="773"/>
      <c r="T33" s="772"/>
      <c r="U33" s="773"/>
      <c r="V33" s="772"/>
      <c r="W33" s="773"/>
      <c r="X33" s="1803"/>
      <c r="Y33" s="3191"/>
      <c r="Z33" s="1804"/>
      <c r="AA33" s="1801">
        <v>1</v>
      </c>
      <c r="AB33" s="1801">
        <v>1</v>
      </c>
      <c r="AC33" s="1801">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1"/>
      <c r="Q34" s="1800" t="str">
        <f t="shared" si="8"/>
        <v>土地级别</v>
      </c>
      <c r="R34" s="772" t="s">
        <v>17</v>
      </c>
      <c r="S34" s="773">
        <f t="shared" si="10"/>
        <v>100</v>
      </c>
      <c r="T34" s="772" t="s">
        <v>17</v>
      </c>
      <c r="U34" s="773">
        <f t="shared" si="11"/>
        <v>100</v>
      </c>
      <c r="V34" s="772" t="s">
        <v>17</v>
      </c>
      <c r="W34" s="773">
        <f t="shared" si="12"/>
        <v>100</v>
      </c>
      <c r="X34" s="1803"/>
      <c r="Y34" s="3191"/>
      <c r="Z34" s="1804" t="str">
        <f t="shared" si="13"/>
        <v>土地级别</v>
      </c>
      <c r="AA34" s="1801">
        <f t="shared" si="3"/>
        <v>1</v>
      </c>
      <c r="AB34" s="1801">
        <f t="shared" si="4"/>
        <v>1</v>
      </c>
      <c r="AC34" s="1801">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1"/>
      <c r="Q35" s="1800">
        <f t="shared" si="8"/>
        <v>111</v>
      </c>
      <c r="R35" s="772" t="s">
        <v>17</v>
      </c>
      <c r="S35" s="773">
        <f t="shared" si="10"/>
        <v>100</v>
      </c>
      <c r="T35" s="772" t="s">
        <v>17</v>
      </c>
      <c r="U35" s="773">
        <f t="shared" si="11"/>
        <v>100</v>
      </c>
      <c r="V35" s="772" t="s">
        <v>17</v>
      </c>
      <c r="W35" s="773">
        <f t="shared" si="12"/>
        <v>100</v>
      </c>
      <c r="X35" s="1803"/>
      <c r="Y35" s="3191"/>
      <c r="Z35" s="1804">
        <f t="shared" si="13"/>
        <v>111</v>
      </c>
      <c r="AA35" s="1801">
        <f t="shared" si="3"/>
        <v>1</v>
      </c>
      <c r="AB35" s="1801">
        <f t="shared" si="4"/>
        <v>1</v>
      </c>
      <c r="AC35" s="1801">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6" t="s">
        <v>2564</v>
      </c>
      <c r="Q36" s="1800">
        <f t="shared" si="8"/>
        <v>111</v>
      </c>
      <c r="R36" s="772" t="s">
        <v>17</v>
      </c>
      <c r="S36" s="773">
        <f t="shared" si="10"/>
        <v>100</v>
      </c>
      <c r="T36" s="772" t="s">
        <v>17</v>
      </c>
      <c r="U36" s="773">
        <f t="shared" si="11"/>
        <v>100</v>
      </c>
      <c r="V36" s="772" t="s">
        <v>17</v>
      </c>
      <c r="W36" s="773">
        <f t="shared" si="12"/>
        <v>100</v>
      </c>
      <c r="X36" s="1803"/>
      <c r="Y36" s="3195" t="s">
        <v>2564</v>
      </c>
      <c r="Z36" s="1804">
        <f t="shared" si="13"/>
        <v>111</v>
      </c>
      <c r="AA36" s="1801">
        <f t="shared" si="3"/>
        <v>1</v>
      </c>
      <c r="AB36" s="1801">
        <f t="shared" si="4"/>
        <v>1</v>
      </c>
      <c r="AC36" s="1801">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5"/>
      <c r="Q37" s="1800">
        <f t="shared" si="8"/>
        <v>111</v>
      </c>
      <c r="R37" s="775" t="s">
        <v>17</v>
      </c>
      <c r="S37" s="776">
        <f t="shared" si="10"/>
        <v>100</v>
      </c>
      <c r="T37" s="775" t="s">
        <v>17</v>
      </c>
      <c r="U37" s="776">
        <f t="shared" si="11"/>
        <v>100</v>
      </c>
      <c r="V37" s="775" t="s">
        <v>17</v>
      </c>
      <c r="W37" s="776">
        <f t="shared" si="12"/>
        <v>100</v>
      </c>
      <c r="X37" s="777"/>
      <c r="Y37" s="3195"/>
      <c r="Z37" s="778">
        <f t="shared" si="13"/>
        <v>111</v>
      </c>
      <c r="AA37" s="1801">
        <f t="shared" si="3"/>
        <v>1</v>
      </c>
      <c r="AB37" s="1801">
        <f t="shared" si="4"/>
        <v>1</v>
      </c>
      <c r="AC37" s="1801">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195"/>
      <c r="Q38" s="1800" t="str">
        <f>B38</f>
        <v>宗地面积</v>
      </c>
      <c r="R38" s="772" t="s">
        <v>17</v>
      </c>
      <c r="S38" s="773" t="e">
        <f t="shared" si="10"/>
        <v>#N/A</v>
      </c>
      <c r="T38" s="772" t="s">
        <v>17</v>
      </c>
      <c r="U38" s="773" t="e">
        <f t="shared" si="11"/>
        <v>#N/A</v>
      </c>
      <c r="V38" s="772" t="s">
        <v>17</v>
      </c>
      <c r="W38" s="773" t="e">
        <f t="shared" si="12"/>
        <v>#N/A</v>
      </c>
      <c r="X38" s="1803"/>
      <c r="Y38" s="3195"/>
      <c r="Z38" s="1804" t="str">
        <f t="shared" si="13"/>
        <v>宗地面积</v>
      </c>
      <c r="AA38" s="1801" t="e">
        <f t="shared" si="3"/>
        <v>#N/A</v>
      </c>
      <c r="AB38" s="1801" t="e">
        <f t="shared" si="4"/>
        <v>#N/A</v>
      </c>
      <c r="AC38" s="1801" t="e">
        <f t="shared" si="5"/>
        <v>#N/A</v>
      </c>
    </row>
    <row r="39" spans="1:29" ht="15">
      <c r="A39" s="471"/>
      <c r="B39" s="421" t="s">
        <v>2751</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8"/>
      <c r="M39" s="1129"/>
      <c r="N39" s="1129"/>
      <c r="O39" s="1137"/>
      <c r="P39" s="3195"/>
      <c r="Q39" s="1800" t="str">
        <f t="shared" ref="Q39:Q45" si="14">B39</f>
        <v>宗地形状</v>
      </c>
      <c r="R39" s="772" t="s">
        <v>17</v>
      </c>
      <c r="S39" s="773">
        <f t="shared" si="10"/>
        <v>100</v>
      </c>
      <c r="T39" s="772" t="s">
        <v>17</v>
      </c>
      <c r="U39" s="773">
        <f t="shared" si="11"/>
        <v>100</v>
      </c>
      <c r="V39" s="772" t="s">
        <v>17</v>
      </c>
      <c r="W39" s="773">
        <f t="shared" si="12"/>
        <v>100</v>
      </c>
      <c r="X39" s="1803"/>
      <c r="Y39" s="3195"/>
      <c r="Z39" s="1804" t="str">
        <f t="shared" si="13"/>
        <v>宗地形状</v>
      </c>
      <c r="AA39" s="1801">
        <f t="shared" si="3"/>
        <v>1</v>
      </c>
      <c r="AB39" s="1801">
        <f t="shared" si="4"/>
        <v>1</v>
      </c>
      <c r="AC39" s="1801">
        <f t="shared" si="5"/>
        <v>1</v>
      </c>
    </row>
    <row r="40" spans="1:29" ht="15">
      <c r="A40" s="471"/>
      <c r="B40" s="421" t="s">
        <v>2752</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195"/>
      <c r="Q40" s="1800" t="str">
        <f t="shared" si="14"/>
        <v>临街宽度及深度</v>
      </c>
      <c r="R40" s="772" t="s">
        <v>17</v>
      </c>
      <c r="S40" s="773">
        <f t="shared" si="10"/>
        <v>100</v>
      </c>
      <c r="T40" s="772" t="s">
        <v>17</v>
      </c>
      <c r="U40" s="773">
        <f t="shared" si="11"/>
        <v>100</v>
      </c>
      <c r="V40" s="772" t="s">
        <v>17</v>
      </c>
      <c r="W40" s="773">
        <f t="shared" si="12"/>
        <v>100</v>
      </c>
      <c r="X40" s="1803"/>
      <c r="Y40" s="3195"/>
      <c r="Z40" s="1804" t="str">
        <f t="shared" si="13"/>
        <v>临街宽度及深度</v>
      </c>
      <c r="AA40" s="1801">
        <f t="shared" si="3"/>
        <v>1</v>
      </c>
      <c r="AB40" s="1801">
        <f t="shared" si="4"/>
        <v>1</v>
      </c>
      <c r="AC40" s="1801">
        <f t="shared" si="5"/>
        <v>1</v>
      </c>
    </row>
    <row r="41" spans="1:29" s="117" customFormat="1" ht="15">
      <c r="A41" s="472"/>
      <c r="B41" s="421" t="s">
        <v>2753</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30"/>
      <c r="M41" s="1131"/>
      <c r="N41" s="1131"/>
      <c r="O41" s="1132"/>
      <c r="P41" s="3195"/>
      <c r="Q41" s="1800" t="str">
        <f t="shared" si="14"/>
        <v>宗地开发程度</v>
      </c>
      <c r="R41" s="768" t="s">
        <v>17</v>
      </c>
      <c r="S41" s="769">
        <f t="shared" si="10"/>
        <v>100</v>
      </c>
      <c r="T41" s="768" t="s">
        <v>17</v>
      </c>
      <c r="U41" s="769">
        <f t="shared" si="11"/>
        <v>100</v>
      </c>
      <c r="V41" s="768" t="s">
        <v>17</v>
      </c>
      <c r="W41" s="769">
        <f t="shared" si="12"/>
        <v>100</v>
      </c>
      <c r="X41" s="770"/>
      <c r="Y41" s="3195"/>
      <c r="Z41" s="55" t="str">
        <f t="shared" si="13"/>
        <v>宗地开发程度</v>
      </c>
      <c r="AA41" s="771">
        <f t="shared" si="3"/>
        <v>1</v>
      </c>
      <c r="AB41" s="771">
        <f t="shared" si="4"/>
        <v>1</v>
      </c>
      <c r="AC41" s="771">
        <f t="shared" si="5"/>
        <v>1</v>
      </c>
    </row>
    <row r="42" spans="1:29" ht="15">
      <c r="A42" s="471"/>
      <c r="B42" s="421" t="s">
        <v>2754</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8"/>
      <c r="M42" s="1129"/>
      <c r="N42" s="1129"/>
      <c r="O42" s="1137"/>
      <c r="P42" s="3195" t="s">
        <v>2564</v>
      </c>
      <c r="Q42" s="1800" t="str">
        <f t="shared" si="14"/>
        <v>工程地质条件</v>
      </c>
      <c r="R42" s="772" t="s">
        <v>17</v>
      </c>
      <c r="S42" s="773">
        <f t="shared" si="10"/>
        <v>100</v>
      </c>
      <c r="T42" s="772" t="s">
        <v>17</v>
      </c>
      <c r="U42" s="773">
        <f t="shared" si="11"/>
        <v>100</v>
      </c>
      <c r="V42" s="772" t="s">
        <v>17</v>
      </c>
      <c r="W42" s="773">
        <f t="shared" si="12"/>
        <v>100</v>
      </c>
      <c r="X42" s="1803"/>
      <c r="Y42" s="3195" t="s">
        <v>2564</v>
      </c>
      <c r="Z42" s="1804" t="str">
        <f t="shared" si="13"/>
        <v>工程地质条件</v>
      </c>
      <c r="AA42" s="1801">
        <f t="shared" si="3"/>
        <v>1</v>
      </c>
      <c r="AB42" s="1801">
        <f t="shared" si="4"/>
        <v>1</v>
      </c>
      <c r="AC42" s="1801">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5"/>
      <c r="Q43" s="1800">
        <f t="shared" si="14"/>
        <v>111</v>
      </c>
      <c r="R43" s="772" t="s">
        <v>17</v>
      </c>
      <c r="S43" s="773">
        <f t="shared" si="10"/>
        <v>100</v>
      </c>
      <c r="T43" s="772" t="s">
        <v>17</v>
      </c>
      <c r="U43" s="773">
        <f t="shared" si="11"/>
        <v>100</v>
      </c>
      <c r="V43" s="772" t="s">
        <v>17</v>
      </c>
      <c r="W43" s="773">
        <f t="shared" si="12"/>
        <v>100</v>
      </c>
      <c r="X43" s="1803"/>
      <c r="Y43" s="3195"/>
      <c r="Z43" s="1804">
        <f t="shared" si="13"/>
        <v>111</v>
      </c>
      <c r="AA43" s="1801">
        <f t="shared" si="3"/>
        <v>1</v>
      </c>
      <c r="AB43" s="1801">
        <f t="shared" si="4"/>
        <v>1</v>
      </c>
      <c r="AC43" s="1801">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5"/>
      <c r="Q44" s="1800">
        <f t="shared" si="14"/>
        <v>111</v>
      </c>
      <c r="R44" s="772" t="s">
        <v>17</v>
      </c>
      <c r="S44" s="773">
        <f t="shared" si="10"/>
        <v>100</v>
      </c>
      <c r="T44" s="772" t="s">
        <v>17</v>
      </c>
      <c r="U44" s="773">
        <f t="shared" si="11"/>
        <v>100</v>
      </c>
      <c r="V44" s="772" t="s">
        <v>17</v>
      </c>
      <c r="W44" s="773">
        <f t="shared" si="12"/>
        <v>100</v>
      </c>
      <c r="X44" s="1803"/>
      <c r="Y44" s="3195"/>
      <c r="Z44" s="1804">
        <f t="shared" si="13"/>
        <v>111</v>
      </c>
      <c r="AA44" s="1801">
        <f t="shared" si="3"/>
        <v>1</v>
      </c>
      <c r="AB44" s="1801">
        <f t="shared" si="4"/>
        <v>1</v>
      </c>
      <c r="AC44" s="1801">
        <f t="shared" si="5"/>
        <v>1</v>
      </c>
    </row>
    <row r="45" spans="1:29" s="470" customFormat="1" ht="15.75" thickBot="1">
      <c r="A45" s="467"/>
      <c r="B45" s="1385">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5"/>
      <c r="Q45" s="1800">
        <f t="shared" si="14"/>
        <v>111</v>
      </c>
      <c r="R45" s="775" t="s">
        <v>17</v>
      </c>
      <c r="S45" s="776">
        <f t="shared" si="10"/>
        <v>100</v>
      </c>
      <c r="T45" s="775" t="s">
        <v>17</v>
      </c>
      <c r="U45" s="776">
        <f t="shared" si="11"/>
        <v>100</v>
      </c>
      <c r="V45" s="775" t="s">
        <v>17</v>
      </c>
      <c r="W45" s="776">
        <f t="shared" si="12"/>
        <v>100</v>
      </c>
      <c r="X45" s="777"/>
      <c r="Y45" s="3195"/>
      <c r="Z45" s="778">
        <f t="shared" si="13"/>
        <v>111</v>
      </c>
      <c r="AA45" s="1801">
        <f t="shared" si="3"/>
        <v>1</v>
      </c>
      <c r="AB45" s="1801">
        <f t="shared" si="4"/>
        <v>1</v>
      </c>
      <c r="AC45" s="1801">
        <f t="shared" si="5"/>
        <v>1</v>
      </c>
    </row>
    <row r="46" spans="1:29" ht="15">
      <c r="A46" s="478" t="s">
        <v>2719</v>
      </c>
      <c r="B46" s="2696" t="s">
        <v>2755</v>
      </c>
      <c r="C46" s="681" t="s">
        <v>1</v>
      </c>
      <c r="D46" s="480"/>
      <c r="E46" s="481"/>
      <c r="F46" s="482"/>
      <c r="G46" s="483"/>
      <c r="H46" s="484"/>
      <c r="I46" s="481"/>
      <c r="J46" s="484"/>
      <c r="K46" s="781"/>
      <c r="L46" s="1141"/>
      <c r="M46" s="1142"/>
      <c r="N46" s="1129"/>
      <c r="O46" s="1142"/>
      <c r="P46" s="3188" t="str">
        <f>A46</f>
        <v>成交单价</v>
      </c>
      <c r="Q46" s="3188"/>
      <c r="R46" s="3219">
        <f>E46</f>
        <v>0</v>
      </c>
      <c r="S46" s="3219"/>
      <c r="T46" s="3219">
        <f>G46</f>
        <v>0</v>
      </c>
      <c r="U46" s="3219"/>
      <c r="V46" s="3219">
        <f>I46</f>
        <v>0</v>
      </c>
      <c r="W46" s="3219"/>
      <c r="X46" s="757"/>
      <c r="Y46" s="779"/>
      <c r="Z46" s="757"/>
      <c r="AA46" s="757"/>
      <c r="AB46" s="757"/>
      <c r="AC46" s="757"/>
    </row>
    <row r="47" spans="1:29" ht="15.75" thickBot="1">
      <c r="A47" s="485" t="s">
        <v>2668</v>
      </c>
      <c r="B47" s="682"/>
      <c r="C47" s="489" t="e">
        <f>R48</f>
        <v>#DIV/0!</v>
      </c>
      <c r="D47" s="488"/>
      <c r="E47" s="489" t="e">
        <f>R47</f>
        <v>#DIV/0!</v>
      </c>
      <c r="F47" s="490"/>
      <c r="G47" s="487" t="e">
        <f>T47</f>
        <v>#DIV/0!</v>
      </c>
      <c r="H47" s="488"/>
      <c r="I47" s="489" t="e">
        <f>V47</f>
        <v>#DIV/0!</v>
      </c>
      <c r="J47" s="488"/>
      <c r="K47" s="782"/>
      <c r="L47" s="1141"/>
      <c r="M47" s="1142"/>
      <c r="N47" s="1142"/>
      <c r="O47" s="1142"/>
      <c r="P47" s="3188" t="str">
        <f>A47</f>
        <v>比较价值（元/平方米）</v>
      </c>
      <c r="Q47" s="3188"/>
      <c r="R47" s="3247" t="e">
        <f>ROUND(PRODUCT(R46,AA7:AA45),0)</f>
        <v>#DIV/0!</v>
      </c>
      <c r="S47" s="3247"/>
      <c r="T47" s="3247" t="e">
        <f>ROUND(PRODUCT(T46,AB7:AB45),0)</f>
        <v>#DIV/0!</v>
      </c>
      <c r="U47" s="3247"/>
      <c r="V47" s="3247" t="e">
        <f>ROUND(PRODUCT(V46,AC7:AC45),0)</f>
        <v>#DIV/0!</v>
      </c>
      <c r="W47" s="3247"/>
      <c r="X47" s="757"/>
      <c r="Y47" s="757"/>
      <c r="Z47" s="757"/>
      <c r="AA47" s="757"/>
      <c r="AB47" s="757"/>
      <c r="AC47" s="757"/>
    </row>
    <row r="48" spans="1:29" ht="15.75" thickBot="1">
      <c r="A48" s="491" t="s">
        <v>2756</v>
      </c>
      <c r="B48" s="492"/>
      <c r="C48" s="493" t="e">
        <f>R48</f>
        <v>#DIV/0!</v>
      </c>
      <c r="D48" s="493"/>
      <c r="E48" s="493"/>
      <c r="F48" s="493"/>
      <c r="G48" s="493"/>
      <c r="H48" s="493"/>
      <c r="I48" s="493"/>
      <c r="J48" s="493"/>
      <c r="K48" s="783"/>
      <c r="L48" s="1141"/>
      <c r="M48" s="1142"/>
      <c r="N48" s="1142"/>
      <c r="O48" s="1142"/>
      <c r="P48" s="3185" t="str">
        <f>A48</f>
        <v>估价对象XX用房的比较价值（楼面单价，元/平方米）</v>
      </c>
      <c r="Q48" s="3186"/>
      <c r="R48" s="3248" t="e">
        <f>ROUND(AVERAGE(R47:V47),0)</f>
        <v>#DIV/0!</v>
      </c>
      <c r="S48" s="3248"/>
      <c r="T48" s="3248"/>
      <c r="U48" s="3248"/>
      <c r="V48" s="3248"/>
      <c r="W48" s="3248"/>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2757</v>
      </c>
      <c r="B55" s="684" t="s">
        <v>2758</v>
      </c>
      <c r="C55" s="2697" t="s">
        <v>2759</v>
      </c>
      <c r="D55" s="2698" t="s">
        <v>2760</v>
      </c>
      <c r="E55" s="685" t="s">
        <v>2761</v>
      </c>
      <c r="F55" s="1105" t="s">
        <v>2762</v>
      </c>
      <c r="G55" s="3203" t="s">
        <v>2763</v>
      </c>
      <c r="H55" s="3249"/>
      <c r="I55" s="143" t="s">
        <v>2764</v>
      </c>
      <c r="J55" s="2699">
        <f>项目基本情况!F35</f>
        <v>0</v>
      </c>
      <c r="K55" s="2700" t="s">
        <v>2765</v>
      </c>
      <c r="L55" s="1104"/>
      <c r="M55" s="1142"/>
      <c r="N55" s="1142"/>
      <c r="O55" s="1142"/>
    </row>
    <row r="56" spans="1:15" s="691" customFormat="1">
      <c r="A56" s="687" t="s">
        <v>2766</v>
      </c>
      <c r="B56" s="688" t="e">
        <f>C48</f>
        <v>#DIV/0!</v>
      </c>
      <c r="C56" s="689">
        <v>1</v>
      </c>
      <c r="D56" s="1161">
        <v>1</v>
      </c>
      <c r="E56" s="689">
        <f>'数据-汇总表'!E8+'数据-汇总表'!E9</f>
        <v>65627.570000000007</v>
      </c>
      <c r="F56" s="1101" t="e">
        <f t="shared" ref="F56:F65" si="15">ROUND(B56*E56/10000,0)</f>
        <v>#DIV/0!</v>
      </c>
      <c r="G56" s="3199"/>
      <c r="H56" s="3188"/>
      <c r="I56" s="1106">
        <v>1</v>
      </c>
      <c r="J56" s="1109">
        <v>1</v>
      </c>
      <c r="K56" s="1143"/>
      <c r="L56" s="939"/>
      <c r="M56" s="939"/>
      <c r="N56" s="939"/>
      <c r="O56" s="939"/>
    </row>
    <row r="57" spans="1:15" s="691" customFormat="1">
      <c r="A57" s="692" t="s">
        <v>2767</v>
      </c>
      <c r="B57" s="261" t="e">
        <f>ROUND($C$48*C57*D57,0)</f>
        <v>#DIV/0!</v>
      </c>
      <c r="C57" s="199">
        <f t="shared" ref="C57:C65" si="16">IF($C$55="北京市系数",I57,J57)</f>
        <v>0</v>
      </c>
      <c r="D57" s="1162">
        <v>0.25</v>
      </c>
      <c r="E57" s="693"/>
      <c r="F57" s="1101" t="e">
        <f t="shared" si="15"/>
        <v>#DIV/0!</v>
      </c>
      <c r="G57" s="3250" t="s">
        <v>2768</v>
      </c>
      <c r="H57" s="1102">
        <f>项目基本情况!B37</f>
        <v>0</v>
      </c>
      <c r="I57" s="1106">
        <f>SUMIF(修正!A45:A56,H57,修正!B45:B56)</f>
        <v>0</v>
      </c>
      <c r="J57" s="1110"/>
      <c r="K57" s="1142"/>
      <c r="L57" s="939"/>
      <c r="M57" s="939"/>
      <c r="N57" s="939"/>
      <c r="O57" s="939"/>
    </row>
    <row r="58" spans="1:15" s="691" customFormat="1">
      <c r="A58" s="692" t="s">
        <v>2769</v>
      </c>
      <c r="B58" s="261" t="e">
        <f t="shared" ref="B58:B65" si="17">ROUND($C$48*C58*D58,0)</f>
        <v>#DIV/0!</v>
      </c>
      <c r="C58" s="199">
        <f t="shared" si="16"/>
        <v>0</v>
      </c>
      <c r="D58" s="1162">
        <v>0.25</v>
      </c>
      <c r="E58" s="693"/>
      <c r="F58" s="1101" t="e">
        <f t="shared" si="15"/>
        <v>#DIV/0!</v>
      </c>
      <c r="G58" s="3250"/>
      <c r="H58" s="1102">
        <f>项目基本情况!B37</f>
        <v>0</v>
      </c>
      <c r="I58" s="1106">
        <f>SUMIF(修正!A45:A56,H58,修正!C45:C56)</f>
        <v>0</v>
      </c>
      <c r="J58" s="1110"/>
      <c r="K58" s="1143"/>
      <c r="L58" s="939"/>
      <c r="M58" s="939"/>
      <c r="N58" s="939"/>
      <c r="O58" s="939"/>
    </row>
    <row r="59" spans="1:15" s="691" customFormat="1">
      <c r="A59" s="692" t="s">
        <v>2770</v>
      </c>
      <c r="B59" s="261" t="e">
        <f t="shared" si="17"/>
        <v>#DIV/0!</v>
      </c>
      <c r="C59" s="199">
        <f t="shared" si="16"/>
        <v>0</v>
      </c>
      <c r="D59" s="1162">
        <v>0.25</v>
      </c>
      <c r="E59" s="693"/>
      <c r="F59" s="1101" t="e">
        <f t="shared" si="15"/>
        <v>#DIV/0!</v>
      </c>
      <c r="G59" s="3250"/>
      <c r="H59" s="1102">
        <f>项目基本情况!B37</f>
        <v>0</v>
      </c>
      <c r="I59" s="1106">
        <f>SUMIF(修正!A45:A56,H59,修正!D45:D56)</f>
        <v>0</v>
      </c>
      <c r="J59" s="1110"/>
      <c r="K59" s="1142"/>
      <c r="L59" s="939"/>
      <c r="M59" s="939"/>
      <c r="N59" s="939"/>
      <c r="O59" s="939"/>
    </row>
    <row r="60" spans="1:15" s="691" customFormat="1">
      <c r="A60" s="692" t="s">
        <v>2771</v>
      </c>
      <c r="B60" s="261" t="e">
        <f t="shared" si="17"/>
        <v>#DIV/0!</v>
      </c>
      <c r="C60" s="199">
        <f t="shared" si="16"/>
        <v>0</v>
      </c>
      <c r="D60" s="1162">
        <v>0.25</v>
      </c>
      <c r="E60" s="693"/>
      <c r="F60" s="1101" t="e">
        <f t="shared" si="15"/>
        <v>#DIV/0!</v>
      </c>
      <c r="G60" s="3250"/>
      <c r="H60" s="1102">
        <f>项目基本情况!B37</f>
        <v>0</v>
      </c>
      <c r="I60" s="1106">
        <f>SUMIF(修正!A45:A56,H60,修正!E45:E56)</f>
        <v>0</v>
      </c>
      <c r="J60" s="1110"/>
      <c r="K60" s="1143"/>
      <c r="L60" s="939"/>
      <c r="M60" s="939"/>
      <c r="N60" s="939"/>
      <c r="O60" s="939"/>
    </row>
    <row r="61" spans="1:15" s="691" customFormat="1">
      <c r="A61" s="692" t="s">
        <v>2772</v>
      </c>
      <c r="B61" s="261" t="e">
        <f t="shared" si="17"/>
        <v>#DIV/0!</v>
      </c>
      <c r="C61" s="199">
        <f t="shared" si="16"/>
        <v>0</v>
      </c>
      <c r="D61" s="1162">
        <v>0.25</v>
      </c>
      <c r="E61" s="260">
        <f>'数据-汇总表'!E11</f>
        <v>0</v>
      </c>
      <c r="F61" s="1101" t="e">
        <f t="shared" si="15"/>
        <v>#DIV/0!</v>
      </c>
      <c r="G61" s="2701" t="s">
        <v>2773</v>
      </c>
      <c r="H61" s="1102">
        <f>项目基本情况!C37</f>
        <v>0</v>
      </c>
      <c r="I61" s="1106">
        <f>SUMIF(修正!A45:A56,H61,修正!F45:F56)</f>
        <v>0</v>
      </c>
      <c r="J61" s="1110"/>
      <c r="K61" s="1142"/>
      <c r="L61" s="939"/>
      <c r="M61" s="939"/>
      <c r="N61" s="939"/>
      <c r="O61" s="939"/>
    </row>
    <row r="62" spans="1:15" s="691" customFormat="1">
      <c r="A62" s="692" t="s">
        <v>2774</v>
      </c>
      <c r="B62" s="261" t="e">
        <f t="shared" si="17"/>
        <v>#DIV/0!</v>
      </c>
      <c r="C62" s="199">
        <f t="shared" si="16"/>
        <v>0</v>
      </c>
      <c r="D62" s="1162">
        <v>0.25</v>
      </c>
      <c r="E62" s="260">
        <f>'数据-汇总表'!E12</f>
        <v>0</v>
      </c>
      <c r="F62" s="1101" t="e">
        <f t="shared" si="15"/>
        <v>#DIV/0!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2776</v>
      </c>
      <c r="B63" s="261" t="e">
        <f t="shared" si="17"/>
        <v>#DIV/0!</v>
      </c>
      <c r="C63" s="199">
        <f t="shared" si="16"/>
        <v>0</v>
      </c>
      <c r="D63" s="1162">
        <v>0.25</v>
      </c>
      <c r="E63" s="260">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2778</v>
      </c>
      <c r="B64" s="261" t="e">
        <f t="shared" si="17"/>
        <v>#DIV/0!</v>
      </c>
      <c r="C64" s="199">
        <f t="shared" si="16"/>
        <v>0</v>
      </c>
      <c r="D64" s="1162">
        <v>0.25</v>
      </c>
      <c r="E64" s="260">
        <f>'数据-汇总表'!E14</f>
        <v>0</v>
      </c>
      <c r="F64" s="1101" t="e">
        <f t="shared" si="15"/>
        <v>#DIV/0!</v>
      </c>
      <c r="G64" s="2701" t="s">
        <v>2768</v>
      </c>
      <c r="H64" s="1102">
        <f>项目基本情况!B37</f>
        <v>0</v>
      </c>
      <c r="I64" s="1106">
        <f>SUMIF(修正!A45:A56,H64,修正!H45:H56)</f>
        <v>0</v>
      </c>
      <c r="J64" s="1110"/>
      <c r="K64" s="1143"/>
      <c r="L64" s="939"/>
      <c r="M64" s="939"/>
      <c r="N64" s="939"/>
      <c r="O64" s="939"/>
    </row>
    <row r="65" spans="1:17" s="691" customFormat="1" ht="15" thickBot="1">
      <c r="A65" s="692" t="s">
        <v>2779</v>
      </c>
      <c r="B65" s="261" t="e">
        <f t="shared" si="17"/>
        <v>#DIV/0!</v>
      </c>
      <c r="C65" s="199">
        <f t="shared" si="16"/>
        <v>0</v>
      </c>
      <c r="D65" s="1162">
        <v>0.25</v>
      </c>
      <c r="E65" s="260">
        <f>'数据-汇总表'!E15</f>
        <v>0</v>
      </c>
      <c r="F65" s="1101" t="e">
        <f t="shared" si="15"/>
        <v>#DIV/0!</v>
      </c>
      <c r="G65" s="2702" t="s">
        <v>2773</v>
      </c>
      <c r="H65" s="1112">
        <f>项目基本情况!C37</f>
        <v>0</v>
      </c>
      <c r="I65" s="1108">
        <f>SUMIF(修正!A45:A56,H65,修正!H45:H56)</f>
        <v>0</v>
      </c>
      <c r="J65" s="1111"/>
      <c r="K65" s="1142"/>
      <c r="L65" s="939"/>
      <c r="M65" s="939"/>
      <c r="N65" s="939"/>
      <c r="O65" s="939"/>
    </row>
    <row r="66" spans="1:17" s="691" customFormat="1" ht="13.5" thickBot="1">
      <c r="A66" s="694" t="s">
        <v>2780</v>
      </c>
      <c r="B66" s="695" t="s">
        <v>28</v>
      </c>
      <c r="C66" s="695" t="s">
        <v>29</v>
      </c>
      <c r="D66" s="695" t="s">
        <v>1025</v>
      </c>
      <c r="E66" s="695">
        <f>IF(B46="楼面地价",SUM(E56:E65),'数据-汇总表'!D3)</f>
        <v>65627.570000000007</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2673</v>
      </c>
      <c r="B69" s="757"/>
      <c r="C69" s="762"/>
      <c r="D69" s="762"/>
      <c r="E69" s="762"/>
      <c r="F69" s="763"/>
      <c r="G69" s="763"/>
      <c r="H69" s="762"/>
      <c r="I69" s="762"/>
      <c r="J69" s="1157"/>
      <c r="K69" s="1158"/>
      <c r="L69" s="1159"/>
      <c r="M69" s="1157"/>
      <c r="N69" s="1157"/>
      <c r="O69" s="1157"/>
      <c r="P69" s="502"/>
      <c r="Q69" s="503"/>
    </row>
    <row r="70" spans="1:17" s="507" customFormat="1" ht="15">
      <c r="A70" s="2703" t="s">
        <v>2781</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7" customFormat="1" ht="30" customHeight="1">
      <c r="A71" s="2704"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5"/>
      <c r="N71" s="594"/>
      <c r="O71" s="1566"/>
      <c r="P71" s="503"/>
    </row>
    <row r="72" spans="1:17" s="117" customFormat="1" ht="15.75" thickBot="1">
      <c r="A72" s="514" t="s">
        <v>2584</v>
      </c>
      <c r="B72" s="515"/>
      <c r="C72" s="516"/>
      <c r="D72" s="517"/>
      <c r="E72" s="517"/>
      <c r="F72" s="517"/>
      <c r="G72" s="517"/>
      <c r="H72" s="517"/>
      <c r="I72" s="517"/>
      <c r="J72" s="517"/>
      <c r="K72" s="517"/>
      <c r="L72" s="517"/>
      <c r="M72" s="518"/>
      <c r="N72" s="517"/>
      <c r="O72" s="1160"/>
      <c r="P72" s="503"/>
      <c r="Q72" s="503"/>
    </row>
    <row r="73" spans="1:17" s="117" customFormat="1" ht="15">
      <c r="A73" s="520" t="s">
        <v>2549</v>
      </c>
      <c r="B73" s="509"/>
      <c r="C73" s="521" t="s">
        <v>2651</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2587</v>
      </c>
      <c r="B75" s="527" t="s">
        <v>2553</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2690</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2749</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2791</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8" t="s">
        <v>183</v>
      </c>
      <c r="B18" s="880" t="s">
        <v>560</v>
      </c>
      <c r="C18" s="881" t="s">
        <v>561</v>
      </c>
      <c r="D18" s="882"/>
      <c r="E18" s="880">
        <v>1</v>
      </c>
      <c r="F18" s="883" t="s">
        <v>562</v>
      </c>
      <c r="G18" s="884"/>
      <c r="H18" s="876"/>
      <c r="I18" s="876"/>
    </row>
    <row r="19" spans="1:9" s="885" customFormat="1" ht="19.5" customHeight="1">
      <c r="A19" s="3278"/>
      <c r="B19" s="3278" t="s">
        <v>563</v>
      </c>
      <c r="C19" s="881" t="s">
        <v>564</v>
      </c>
      <c r="D19" s="882"/>
      <c r="E19" s="880">
        <v>0.9</v>
      </c>
      <c r="F19" s="883" t="s">
        <v>565</v>
      </c>
      <c r="G19" s="884"/>
      <c r="H19" s="876"/>
      <c r="I19" s="876"/>
    </row>
    <row r="20" spans="1:9" s="885" customFormat="1" ht="19.5" customHeight="1">
      <c r="A20" s="3278"/>
      <c r="B20" s="3278"/>
      <c r="C20" s="881" t="s">
        <v>566</v>
      </c>
      <c r="D20" s="882"/>
      <c r="E20" s="880">
        <v>1.1000000000000001</v>
      </c>
      <c r="F20" s="883" t="s">
        <v>567</v>
      </c>
      <c r="G20" s="884"/>
      <c r="H20" s="876"/>
      <c r="I20" s="876"/>
    </row>
    <row r="21" spans="1:9" s="885" customFormat="1" ht="19.5" customHeight="1">
      <c r="A21" s="3278"/>
      <c r="B21" s="3278"/>
      <c r="C21" s="881" t="s">
        <v>568</v>
      </c>
      <c r="D21" s="882"/>
      <c r="E21" s="880">
        <v>0.8</v>
      </c>
      <c r="F21" s="883" t="s">
        <v>569</v>
      </c>
      <c r="G21" s="884"/>
      <c r="H21" s="876"/>
      <c r="I21" s="876"/>
    </row>
    <row r="22" spans="1:9" s="885" customFormat="1" ht="19.5" customHeight="1">
      <c r="A22" s="3278"/>
      <c r="B22" s="3278"/>
      <c r="C22" s="881" t="s">
        <v>570</v>
      </c>
      <c r="D22" s="882"/>
      <c r="E22" s="880">
        <v>0.5</v>
      </c>
      <c r="F22" s="883"/>
      <c r="G22" s="884"/>
      <c r="H22" s="876"/>
      <c r="I22" s="876"/>
    </row>
    <row r="23" spans="1:9" s="885" customFormat="1" ht="19.5" customHeight="1">
      <c r="A23" s="3278" t="s">
        <v>184</v>
      </c>
      <c r="B23" s="880" t="s">
        <v>560</v>
      </c>
      <c r="C23" s="881" t="s">
        <v>571</v>
      </c>
      <c r="D23" s="882"/>
      <c r="E23" s="880">
        <v>1</v>
      </c>
      <c r="F23" s="883" t="s">
        <v>572</v>
      </c>
      <c r="G23" s="884"/>
      <c r="H23" s="876"/>
      <c r="I23" s="876"/>
    </row>
    <row r="24" spans="1:9" s="885" customFormat="1" ht="19.5" customHeight="1">
      <c r="A24" s="3278"/>
      <c r="B24" s="3278" t="s">
        <v>563</v>
      </c>
      <c r="C24" s="881" t="s">
        <v>573</v>
      </c>
      <c r="D24" s="882"/>
      <c r="E24" s="880">
        <v>0.5</v>
      </c>
      <c r="F24" s="883"/>
      <c r="G24" s="884"/>
      <c r="H24" s="876"/>
      <c r="I24" s="876"/>
    </row>
    <row r="25" spans="1:9" s="885" customFormat="1" ht="19.5" customHeight="1">
      <c r="A25" s="3278"/>
      <c r="B25" s="3278"/>
      <c r="C25" s="881" t="s">
        <v>574</v>
      </c>
      <c r="D25" s="882"/>
      <c r="E25" s="880">
        <v>1.1000000000000001</v>
      </c>
      <c r="F25" s="883"/>
      <c r="G25" s="884"/>
      <c r="H25" s="876"/>
      <c r="I25" s="876"/>
    </row>
    <row r="26" spans="1:9" s="885" customFormat="1" ht="19.5" customHeight="1">
      <c r="A26" s="3278"/>
      <c r="B26" s="3278"/>
      <c r="C26" s="881" t="s">
        <v>575</v>
      </c>
      <c r="D26" s="882"/>
      <c r="E26" s="880">
        <v>1.1000000000000001</v>
      </c>
      <c r="F26" s="883"/>
      <c r="G26" s="884"/>
      <c r="H26" s="876"/>
      <c r="I26" s="876"/>
    </row>
    <row r="27" spans="1:9" s="885" customFormat="1" ht="19.5" customHeight="1">
      <c r="A27" s="3278"/>
      <c r="B27" s="3278"/>
      <c r="C27" s="881" t="s">
        <v>576</v>
      </c>
      <c r="D27" s="882"/>
      <c r="E27" s="880">
        <v>0.9</v>
      </c>
      <c r="F27" s="883" t="s">
        <v>577</v>
      </c>
      <c r="G27" s="884"/>
      <c r="H27" s="876"/>
      <c r="I27" s="876"/>
    </row>
    <row r="28" spans="1:9" s="885" customFormat="1" ht="19.5" customHeight="1">
      <c r="A28" s="3278"/>
      <c r="B28" s="3278"/>
      <c r="C28" s="881" t="s">
        <v>578</v>
      </c>
      <c r="D28" s="882"/>
      <c r="E28" s="880">
        <v>0.9</v>
      </c>
      <c r="F28" s="883" t="s">
        <v>579</v>
      </c>
      <c r="G28" s="884"/>
      <c r="H28" s="876"/>
      <c r="I28" s="876"/>
    </row>
    <row r="29" spans="1:9" s="885" customFormat="1" ht="19.5" customHeight="1">
      <c r="A29" s="3278"/>
      <c r="B29" s="3278"/>
      <c r="C29" s="881" t="s">
        <v>580</v>
      </c>
      <c r="D29" s="882"/>
      <c r="E29" s="880">
        <v>0.9</v>
      </c>
      <c r="F29" s="883" t="s">
        <v>581</v>
      </c>
      <c r="G29" s="884"/>
      <c r="H29" s="876"/>
      <c r="I29" s="876"/>
    </row>
    <row r="30" spans="1:9" s="885" customFormat="1" ht="19.5" customHeight="1">
      <c r="A30" s="3278"/>
      <c r="B30" s="3278"/>
      <c r="C30" s="881" t="s">
        <v>582</v>
      </c>
      <c r="D30" s="882"/>
      <c r="E30" s="880">
        <v>0.9</v>
      </c>
      <c r="F30" s="883" t="s">
        <v>583</v>
      </c>
      <c r="G30" s="884"/>
      <c r="H30" s="876"/>
      <c r="I30" s="876"/>
    </row>
    <row r="31" spans="1:9" s="885" customFormat="1" ht="19.5" customHeight="1">
      <c r="A31" s="3278"/>
      <c r="B31" s="3278"/>
      <c r="C31" s="881" t="s">
        <v>584</v>
      </c>
      <c r="D31" s="882"/>
      <c r="E31" s="880">
        <v>0.8</v>
      </c>
      <c r="F31" s="883" t="s">
        <v>585</v>
      </c>
      <c r="G31" s="884"/>
      <c r="H31" s="876"/>
      <c r="I31" s="876"/>
    </row>
    <row r="32" spans="1:9" s="885" customFormat="1" ht="19.5" customHeight="1">
      <c r="A32" s="3278"/>
      <c r="B32" s="3278"/>
      <c r="C32" s="881" t="s">
        <v>586</v>
      </c>
      <c r="D32" s="882"/>
      <c r="E32" s="880">
        <v>0.8</v>
      </c>
      <c r="F32" s="883" t="s">
        <v>587</v>
      </c>
      <c r="G32" s="884"/>
      <c r="H32" s="876"/>
      <c r="I32" s="876"/>
    </row>
    <row r="33" spans="1:9" s="885" customFormat="1" ht="19.5" customHeight="1">
      <c r="A33" s="3278" t="s">
        <v>185</v>
      </c>
      <c r="B33" s="880" t="s">
        <v>560</v>
      </c>
      <c r="C33" s="881" t="s">
        <v>588</v>
      </c>
      <c r="D33" s="882"/>
      <c r="E33" s="880">
        <v>1</v>
      </c>
      <c r="F33" s="883" t="s">
        <v>589</v>
      </c>
      <c r="G33" s="884"/>
      <c r="H33" s="876"/>
      <c r="I33" s="876"/>
    </row>
    <row r="34" spans="1:9" s="885" customFormat="1" ht="19.5" customHeight="1">
      <c r="A34" s="3278"/>
      <c r="B34" s="880" t="s">
        <v>563</v>
      </c>
      <c r="C34" s="881" t="s">
        <v>590</v>
      </c>
      <c r="D34" s="882"/>
      <c r="E34" s="880">
        <v>1.5</v>
      </c>
      <c r="F34" s="883" t="s">
        <v>591</v>
      </c>
      <c r="G34" s="884"/>
      <c r="H34" s="876"/>
      <c r="I34" s="876"/>
    </row>
    <row r="35" spans="1:9" s="885" customFormat="1" ht="19.5" customHeight="1">
      <c r="A35" s="3278" t="s">
        <v>186</v>
      </c>
      <c r="B35" s="880" t="s">
        <v>560</v>
      </c>
      <c r="C35" s="881" t="s">
        <v>592</v>
      </c>
      <c r="D35" s="882"/>
      <c r="E35" s="880">
        <v>1</v>
      </c>
      <c r="F35" s="883" t="s">
        <v>593</v>
      </c>
      <c r="G35" s="884"/>
      <c r="H35" s="876"/>
      <c r="I35" s="876"/>
    </row>
    <row r="36" spans="1:9" s="885" customFormat="1" ht="19.5" customHeight="1">
      <c r="A36" s="3278"/>
      <c r="B36" s="3278" t="s">
        <v>563</v>
      </c>
      <c r="C36" s="881" t="s">
        <v>594</v>
      </c>
      <c r="D36" s="882"/>
      <c r="E36" s="880">
        <v>1</v>
      </c>
      <c r="F36" s="883" t="s">
        <v>595</v>
      </c>
      <c r="G36" s="884"/>
      <c r="H36" s="876"/>
      <c r="I36" s="876"/>
    </row>
    <row r="37" spans="1:9" s="885" customFormat="1" ht="19.5" customHeight="1">
      <c r="A37" s="3278"/>
      <c r="B37" s="3278"/>
      <c r="C37" s="881" t="s">
        <v>596</v>
      </c>
      <c r="D37" s="882"/>
      <c r="E37" s="880">
        <v>1.5</v>
      </c>
      <c r="F37" s="883" t="s">
        <v>597</v>
      </c>
      <c r="G37" s="884"/>
      <c r="H37" s="876"/>
      <c r="I37" s="876"/>
    </row>
    <row r="38" spans="1:9" s="885" customFormat="1" ht="19.5" customHeight="1">
      <c r="A38" s="3278"/>
      <c r="B38" s="3278"/>
      <c r="C38" s="881" t="s">
        <v>598</v>
      </c>
      <c r="D38" s="882"/>
      <c r="E38" s="880">
        <v>1</v>
      </c>
      <c r="F38" s="883" t="s">
        <v>599</v>
      </c>
      <c r="G38" s="884"/>
      <c r="H38" s="876"/>
      <c r="I38" s="876"/>
    </row>
    <row r="39" spans="1:9" s="885" customFormat="1" ht="19.5" customHeight="1">
      <c r="A39" s="3278"/>
      <c r="B39" s="327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8" t="s">
        <v>614</v>
      </c>
      <c r="C61" s="816" t="s">
        <v>615</v>
      </c>
      <c r="D61" s="816" t="s">
        <v>616</v>
      </c>
      <c r="E61" s="893">
        <v>0.5</v>
      </c>
      <c r="F61" s="880">
        <v>80</v>
      </c>
    </row>
    <row r="62" spans="1:8" s="876" customFormat="1" ht="24">
      <c r="A62" s="880">
        <v>2</v>
      </c>
      <c r="B62" s="3278"/>
      <c r="C62" s="816" t="s">
        <v>617</v>
      </c>
      <c r="D62" s="816" t="s">
        <v>618</v>
      </c>
      <c r="E62" s="893">
        <v>0.5</v>
      </c>
      <c r="F62" s="880">
        <v>80</v>
      </c>
    </row>
    <row r="63" spans="1:8" s="876" customFormat="1" ht="36">
      <c r="A63" s="880">
        <v>3</v>
      </c>
      <c r="B63" s="3278"/>
      <c r="C63" s="816" t="s">
        <v>619</v>
      </c>
      <c r="D63" s="816" t="s">
        <v>620</v>
      </c>
      <c r="E63" s="893">
        <v>0.5</v>
      </c>
      <c r="F63" s="880">
        <v>80</v>
      </c>
    </row>
    <row r="64" spans="1:8" s="876" customFormat="1" ht="36">
      <c r="A64" s="880">
        <v>4</v>
      </c>
      <c r="B64" s="3278"/>
      <c r="C64" s="816" t="s">
        <v>621</v>
      </c>
      <c r="D64" s="816" t="s">
        <v>622</v>
      </c>
      <c r="E64" s="893">
        <v>0.4</v>
      </c>
      <c r="F64" s="880">
        <v>60</v>
      </c>
    </row>
    <row r="65" spans="1:6" s="876" customFormat="1" ht="36">
      <c r="A65" s="880">
        <v>5</v>
      </c>
      <c r="B65" s="3278"/>
      <c r="C65" s="816" t="s">
        <v>623</v>
      </c>
      <c r="D65" s="816" t="s">
        <v>624</v>
      </c>
      <c r="E65" s="893">
        <v>0.2</v>
      </c>
      <c r="F65" s="880">
        <v>30</v>
      </c>
    </row>
    <row r="66" spans="1:6" s="876" customFormat="1" ht="36">
      <c r="A66" s="880">
        <v>6</v>
      </c>
      <c r="B66" s="3278"/>
      <c r="C66" s="816" t="s">
        <v>625</v>
      </c>
      <c r="D66" s="816" t="s">
        <v>626</v>
      </c>
      <c r="E66" s="893">
        <v>0.3</v>
      </c>
      <c r="F66" s="880">
        <v>50</v>
      </c>
    </row>
    <row r="67" spans="1:6" s="876" customFormat="1" ht="36">
      <c r="A67" s="880">
        <v>7</v>
      </c>
      <c r="B67" s="3278"/>
      <c r="C67" s="816" t="s">
        <v>627</v>
      </c>
      <c r="D67" s="816" t="s">
        <v>628</v>
      </c>
      <c r="E67" s="893">
        <v>0.2</v>
      </c>
      <c r="F67" s="880">
        <v>30</v>
      </c>
    </row>
    <row r="68" spans="1:6" s="876" customFormat="1" ht="36">
      <c r="A68" s="880">
        <v>8</v>
      </c>
      <c r="B68" s="3278"/>
      <c r="C68" s="816" t="s">
        <v>629</v>
      </c>
      <c r="D68" s="816" t="s">
        <v>630</v>
      </c>
      <c r="E68" s="893">
        <v>0.2</v>
      </c>
      <c r="F68" s="880">
        <v>30</v>
      </c>
    </row>
    <row r="69" spans="1:6" s="876" customFormat="1" ht="36">
      <c r="A69" s="880">
        <v>9</v>
      </c>
      <c r="B69" s="3278"/>
      <c r="C69" s="816" t="s">
        <v>631</v>
      </c>
      <c r="D69" s="816" t="s">
        <v>632</v>
      </c>
      <c r="E69" s="893">
        <v>0.2</v>
      </c>
      <c r="F69" s="880">
        <v>30</v>
      </c>
    </row>
    <row r="70" spans="1:6" s="876" customFormat="1" ht="48">
      <c r="A70" s="880">
        <v>10</v>
      </c>
      <c r="B70" s="3278"/>
      <c r="C70" s="816" t="s">
        <v>633</v>
      </c>
      <c r="D70" s="816" t="s">
        <v>634</v>
      </c>
      <c r="E70" s="893">
        <v>0.2</v>
      </c>
      <c r="F70" s="880">
        <v>30</v>
      </c>
    </row>
    <row r="71" spans="1:6" s="876" customFormat="1" ht="48">
      <c r="A71" s="880">
        <v>11</v>
      </c>
      <c r="B71" s="3278"/>
      <c r="C71" s="816" t="s">
        <v>635</v>
      </c>
      <c r="D71" s="816" t="s">
        <v>636</v>
      </c>
      <c r="E71" s="893">
        <v>0.2</v>
      </c>
      <c r="F71" s="880">
        <v>30</v>
      </c>
    </row>
    <row r="72" spans="1:6" s="876" customFormat="1" ht="36">
      <c r="A72" s="880">
        <v>12</v>
      </c>
      <c r="B72" s="3278"/>
      <c r="C72" s="816" t="s">
        <v>637</v>
      </c>
      <c r="D72" s="816" t="s">
        <v>638</v>
      </c>
      <c r="E72" s="893">
        <v>0.5</v>
      </c>
      <c r="F72" s="880">
        <v>80</v>
      </c>
    </row>
    <row r="73" spans="1:6" s="876" customFormat="1" ht="24">
      <c r="A73" s="880">
        <v>13</v>
      </c>
      <c r="B73" s="3278"/>
      <c r="C73" s="816" t="s">
        <v>639</v>
      </c>
      <c r="D73" s="816" t="s">
        <v>640</v>
      </c>
      <c r="E73" s="893">
        <v>0.4</v>
      </c>
      <c r="F73" s="880">
        <v>60</v>
      </c>
    </row>
    <row r="74" spans="1:6" s="876" customFormat="1" ht="24">
      <c r="A74" s="880">
        <v>14</v>
      </c>
      <c r="B74" s="3278"/>
      <c r="C74" s="816" t="s">
        <v>641</v>
      </c>
      <c r="D74" s="816" t="s">
        <v>642</v>
      </c>
      <c r="E74" s="893">
        <v>0.2</v>
      </c>
      <c r="F74" s="880">
        <v>30</v>
      </c>
    </row>
    <row r="75" spans="1:6" s="876" customFormat="1" ht="24">
      <c r="A75" s="880">
        <v>15</v>
      </c>
      <c r="B75" s="3278"/>
      <c r="C75" s="816" t="s">
        <v>643</v>
      </c>
      <c r="D75" s="816" t="s">
        <v>644</v>
      </c>
      <c r="E75" s="893">
        <v>0.2</v>
      </c>
      <c r="F75" s="880">
        <v>30</v>
      </c>
    </row>
    <row r="76" spans="1:6" s="876" customFormat="1" ht="24">
      <c r="A76" s="880">
        <v>16</v>
      </c>
      <c r="B76" s="3278" t="s">
        <v>645</v>
      </c>
      <c r="C76" s="816" t="s">
        <v>646</v>
      </c>
      <c r="D76" s="816" t="s">
        <v>647</v>
      </c>
      <c r="E76" s="893">
        <v>0.5</v>
      </c>
      <c r="F76" s="880">
        <v>80</v>
      </c>
    </row>
    <row r="77" spans="1:6" s="876" customFormat="1" ht="24">
      <c r="A77" s="880">
        <v>17</v>
      </c>
      <c r="B77" s="3278"/>
      <c r="C77" s="816" t="s">
        <v>648</v>
      </c>
      <c r="D77" s="816" t="s">
        <v>649</v>
      </c>
      <c r="E77" s="893">
        <v>0.5</v>
      </c>
      <c r="F77" s="880">
        <v>80</v>
      </c>
    </row>
    <row r="78" spans="1:6" s="876" customFormat="1" ht="24">
      <c r="A78" s="880">
        <v>18</v>
      </c>
      <c r="B78" s="3278"/>
      <c r="C78" s="816" t="s">
        <v>650</v>
      </c>
      <c r="D78" s="816" t="s">
        <v>651</v>
      </c>
      <c r="E78" s="893">
        <v>0.2</v>
      </c>
      <c r="F78" s="880">
        <v>30</v>
      </c>
    </row>
    <row r="79" spans="1:6" s="876" customFormat="1" ht="24">
      <c r="A79" s="880">
        <v>19</v>
      </c>
      <c r="B79" s="3278"/>
      <c r="C79" s="816" t="s">
        <v>652</v>
      </c>
      <c r="D79" s="816" t="s">
        <v>653</v>
      </c>
      <c r="E79" s="893">
        <v>0.5</v>
      </c>
      <c r="F79" s="880">
        <v>80</v>
      </c>
    </row>
    <row r="80" spans="1:6" s="876" customFormat="1" ht="36">
      <c r="A80" s="880">
        <v>20</v>
      </c>
      <c r="B80" s="3278"/>
      <c r="C80" s="816" t="s">
        <v>654</v>
      </c>
      <c r="D80" s="816" t="s">
        <v>655</v>
      </c>
      <c r="E80" s="893">
        <v>0.2</v>
      </c>
      <c r="F80" s="880">
        <v>30</v>
      </c>
    </row>
    <row r="81" spans="1:6" s="876" customFormat="1" ht="36">
      <c r="A81" s="880">
        <v>21</v>
      </c>
      <c r="B81" s="3278"/>
      <c r="C81" s="816" t="s">
        <v>656</v>
      </c>
      <c r="D81" s="816" t="s">
        <v>657</v>
      </c>
      <c r="E81" s="893">
        <v>0.2</v>
      </c>
      <c r="F81" s="880">
        <v>30</v>
      </c>
    </row>
    <row r="82" spans="1:6" s="876" customFormat="1" ht="48">
      <c r="A82" s="880">
        <v>22</v>
      </c>
      <c r="B82" s="3278"/>
      <c r="C82" s="816" t="s">
        <v>658</v>
      </c>
      <c r="D82" s="816" t="s">
        <v>659</v>
      </c>
      <c r="E82" s="893">
        <v>0.2</v>
      </c>
      <c r="F82" s="880">
        <v>30</v>
      </c>
    </row>
    <row r="83" spans="1:6" s="876" customFormat="1" ht="48">
      <c r="A83" s="880">
        <v>23</v>
      </c>
      <c r="B83" s="3278"/>
      <c r="C83" s="816" t="s">
        <v>660</v>
      </c>
      <c r="D83" s="816" t="s">
        <v>661</v>
      </c>
      <c r="E83" s="893">
        <v>0.2</v>
      </c>
      <c r="F83" s="880">
        <v>30</v>
      </c>
    </row>
    <row r="84" spans="1:6" s="876" customFormat="1" ht="36">
      <c r="A84" s="880">
        <v>24</v>
      </c>
      <c r="B84" s="3278"/>
      <c r="C84" s="816" t="s">
        <v>662</v>
      </c>
      <c r="D84" s="816" t="s">
        <v>663</v>
      </c>
      <c r="E84" s="893">
        <v>0.2</v>
      </c>
      <c r="F84" s="880">
        <v>30</v>
      </c>
    </row>
    <row r="85" spans="1:6" s="876" customFormat="1" ht="36">
      <c r="A85" s="880">
        <v>25</v>
      </c>
      <c r="B85" s="3278"/>
      <c r="C85" s="816" t="s">
        <v>664</v>
      </c>
      <c r="D85" s="816" t="s">
        <v>665</v>
      </c>
      <c r="E85" s="893">
        <v>0.5</v>
      </c>
      <c r="F85" s="880">
        <v>80</v>
      </c>
    </row>
    <row r="86" spans="1:6" s="876" customFormat="1" ht="36">
      <c r="A86" s="880">
        <v>26</v>
      </c>
      <c r="B86" s="3278"/>
      <c r="C86" s="816" t="s">
        <v>666</v>
      </c>
      <c r="D86" s="816" t="s">
        <v>667</v>
      </c>
      <c r="E86" s="893">
        <v>0.2</v>
      </c>
      <c r="F86" s="880">
        <v>30</v>
      </c>
    </row>
    <row r="87" spans="1:6" s="876" customFormat="1" ht="36">
      <c r="A87" s="880">
        <v>27</v>
      </c>
      <c r="B87" s="3278"/>
      <c r="C87" s="816" t="s">
        <v>668</v>
      </c>
      <c r="D87" s="816" t="s">
        <v>669</v>
      </c>
      <c r="E87" s="893">
        <v>0.2</v>
      </c>
      <c r="F87" s="880">
        <v>30</v>
      </c>
    </row>
    <row r="88" spans="1:6" s="876" customFormat="1" ht="36">
      <c r="A88" s="880">
        <v>28</v>
      </c>
      <c r="B88" s="3278"/>
      <c r="C88" s="816" t="s">
        <v>670</v>
      </c>
      <c r="D88" s="816" t="s">
        <v>671</v>
      </c>
      <c r="E88" s="893">
        <v>0.2</v>
      </c>
      <c r="F88" s="880">
        <v>30</v>
      </c>
    </row>
    <row r="89" spans="1:6" s="876" customFormat="1" ht="24">
      <c r="A89" s="880">
        <v>29</v>
      </c>
      <c r="B89" s="3278"/>
      <c r="C89" s="816" t="s">
        <v>672</v>
      </c>
      <c r="D89" s="816" t="s">
        <v>673</v>
      </c>
      <c r="E89" s="893">
        <v>0.2</v>
      </c>
      <c r="F89" s="880">
        <v>30</v>
      </c>
    </row>
    <row r="90" spans="1:6" s="876" customFormat="1" ht="24">
      <c r="A90" s="880">
        <v>30</v>
      </c>
      <c r="B90" s="3278"/>
      <c r="C90" s="816" t="s">
        <v>674</v>
      </c>
      <c r="D90" s="816" t="s">
        <v>675</v>
      </c>
      <c r="E90" s="893">
        <v>0.2</v>
      </c>
      <c r="F90" s="880">
        <v>30</v>
      </c>
    </row>
    <row r="91" spans="1:6" s="876" customFormat="1" ht="36">
      <c r="A91" s="880">
        <v>31</v>
      </c>
      <c r="B91" s="3278"/>
      <c r="C91" s="816" t="s">
        <v>676</v>
      </c>
      <c r="D91" s="816" t="s">
        <v>677</v>
      </c>
      <c r="E91" s="893">
        <v>0.2</v>
      </c>
      <c r="F91" s="880">
        <v>30</v>
      </c>
    </row>
    <row r="92" spans="1:6" s="876" customFormat="1" ht="24">
      <c r="A92" s="880">
        <v>32</v>
      </c>
      <c r="B92" s="3278" t="s">
        <v>678</v>
      </c>
      <c r="C92" s="880" t="s">
        <v>679</v>
      </c>
      <c r="D92" s="816" t="s">
        <v>680</v>
      </c>
      <c r="E92" s="893">
        <v>0.2</v>
      </c>
      <c r="F92" s="880">
        <v>30</v>
      </c>
    </row>
    <row r="93" spans="1:6" s="876" customFormat="1" ht="36">
      <c r="A93" s="880">
        <v>33</v>
      </c>
      <c r="B93" s="3278"/>
      <c r="C93" s="880" t="s">
        <v>681</v>
      </c>
      <c r="D93" s="816" t="s">
        <v>682</v>
      </c>
      <c r="E93" s="893">
        <v>0.2</v>
      </c>
      <c r="F93" s="880">
        <v>30</v>
      </c>
    </row>
    <row r="94" spans="1:6" s="876" customFormat="1" ht="48">
      <c r="A94" s="880">
        <v>34</v>
      </c>
      <c r="B94" s="3278"/>
      <c r="C94" s="880" t="s">
        <v>683</v>
      </c>
      <c r="D94" s="816" t="s">
        <v>684</v>
      </c>
      <c r="E94" s="893">
        <v>0.2</v>
      </c>
      <c r="F94" s="880">
        <v>30</v>
      </c>
    </row>
    <row r="95" spans="1:6" s="876" customFormat="1" ht="36">
      <c r="A95" s="880">
        <v>35</v>
      </c>
      <c r="B95" s="3278"/>
      <c r="C95" s="880" t="s">
        <v>685</v>
      </c>
      <c r="D95" s="816" t="s">
        <v>686</v>
      </c>
      <c r="E95" s="893">
        <v>0.2</v>
      </c>
      <c r="F95" s="880">
        <v>30</v>
      </c>
    </row>
    <row r="96" spans="1:6" s="876" customFormat="1" ht="48">
      <c r="A96" s="880">
        <v>36</v>
      </c>
      <c r="B96" s="3278"/>
      <c r="C96" s="816" t="s">
        <v>687</v>
      </c>
      <c r="D96" s="816" t="s">
        <v>688</v>
      </c>
      <c r="E96" s="893">
        <v>0.2</v>
      </c>
      <c r="F96" s="880">
        <v>30</v>
      </c>
    </row>
    <row r="97" spans="1:6" s="876" customFormat="1" ht="36">
      <c r="A97" s="880">
        <v>37</v>
      </c>
      <c r="B97" s="3278"/>
      <c r="C97" s="880" t="s">
        <v>689</v>
      </c>
      <c r="D97" s="816" t="s">
        <v>690</v>
      </c>
      <c r="E97" s="893">
        <v>0.2</v>
      </c>
      <c r="F97" s="880">
        <v>30</v>
      </c>
    </row>
    <row r="98" spans="1:6" s="876" customFormat="1" ht="36">
      <c r="A98" s="880">
        <v>38</v>
      </c>
      <c r="B98" s="3278"/>
      <c r="C98" s="880" t="s">
        <v>691</v>
      </c>
      <c r="D98" s="816" t="s">
        <v>692</v>
      </c>
      <c r="E98" s="893">
        <v>0.2</v>
      </c>
      <c r="F98" s="880">
        <v>30</v>
      </c>
    </row>
    <row r="99" spans="1:6" s="876" customFormat="1" ht="36">
      <c r="A99" s="880">
        <v>39</v>
      </c>
      <c r="B99" s="3278" t="s">
        <v>693</v>
      </c>
      <c r="C99" s="880" t="s">
        <v>694</v>
      </c>
      <c r="D99" s="816" t="s">
        <v>695</v>
      </c>
      <c r="E99" s="893">
        <v>0.3</v>
      </c>
      <c r="F99" s="880">
        <v>50</v>
      </c>
    </row>
    <row r="100" spans="1:6" s="876" customFormat="1" ht="24">
      <c r="A100" s="880">
        <v>40</v>
      </c>
      <c r="B100" s="3278"/>
      <c r="C100" s="880" t="s">
        <v>696</v>
      </c>
      <c r="D100" s="816" t="s">
        <v>697</v>
      </c>
      <c r="E100" s="893">
        <v>0.2</v>
      </c>
      <c r="F100" s="880">
        <v>30</v>
      </c>
    </row>
    <row r="101" spans="1:6" s="876" customFormat="1" ht="36">
      <c r="A101" s="880">
        <v>41</v>
      </c>
      <c r="B101" s="327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8" t="s">
        <v>708</v>
      </c>
      <c r="C105" s="880" t="s">
        <v>709</v>
      </c>
      <c r="D105" s="816" t="s">
        <v>710</v>
      </c>
      <c r="E105" s="893">
        <v>0.2</v>
      </c>
      <c r="F105" s="880">
        <v>30</v>
      </c>
    </row>
    <row r="106" spans="1:6" s="876" customFormat="1" ht="36">
      <c r="A106" s="880">
        <v>46</v>
      </c>
      <c r="B106" s="3278"/>
      <c r="C106" s="880" t="s">
        <v>711</v>
      </c>
      <c r="D106" s="816" t="s">
        <v>712</v>
      </c>
      <c r="E106" s="893">
        <v>0.2</v>
      </c>
      <c r="F106" s="880">
        <v>30</v>
      </c>
    </row>
    <row r="107" spans="1:6" s="876" customFormat="1" ht="36">
      <c r="A107" s="880">
        <v>47</v>
      </c>
      <c r="B107" s="3278" t="s">
        <v>713</v>
      </c>
      <c r="C107" s="880" t="s">
        <v>714</v>
      </c>
      <c r="D107" s="816" t="s">
        <v>715</v>
      </c>
      <c r="E107" s="893">
        <v>0.3</v>
      </c>
      <c r="F107" s="880">
        <v>50</v>
      </c>
    </row>
    <row r="108" spans="1:6" s="876" customFormat="1" ht="36">
      <c r="A108" s="880">
        <v>48</v>
      </c>
      <c r="B108" s="327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8" t="s">
        <v>724</v>
      </c>
      <c r="C111" s="880" t="s">
        <v>725</v>
      </c>
      <c r="D111" s="816" t="s">
        <v>726</v>
      </c>
      <c r="E111" s="893">
        <v>0.2</v>
      </c>
      <c r="F111" s="880">
        <v>30</v>
      </c>
    </row>
    <row r="112" spans="1:6" s="876" customFormat="1" ht="24">
      <c r="A112" s="880">
        <v>52</v>
      </c>
      <c r="B112" s="3278"/>
      <c r="C112" s="880" t="s">
        <v>727</v>
      </c>
      <c r="D112" s="816" t="s">
        <v>728</v>
      </c>
      <c r="E112" s="893">
        <v>0.2</v>
      </c>
      <c r="F112" s="880">
        <v>30</v>
      </c>
    </row>
    <row r="113" spans="1:6" s="876" customFormat="1" ht="24">
      <c r="A113" s="880">
        <v>53</v>
      </c>
      <c r="B113" s="327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8" t="s">
        <v>737</v>
      </c>
      <c r="C116" s="880" t="s">
        <v>738</v>
      </c>
      <c r="D116" s="816" t="s">
        <v>739</v>
      </c>
      <c r="E116" s="893">
        <v>0.2</v>
      </c>
      <c r="F116" s="880">
        <v>30</v>
      </c>
    </row>
    <row r="117" spans="1:6" ht="36">
      <c r="A117" s="880">
        <v>57</v>
      </c>
      <c r="B117" s="327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2.4767999999999999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0"/>
      <c r="B4" s="2971" t="s">
        <v>1624</v>
      </c>
      <c r="C4" s="2971"/>
      <c r="D4" s="2971"/>
      <c r="E4" s="1950"/>
    </row>
    <row r="5" spans="1:5" ht="16.5" thickTop="1">
      <c r="A5" s="1948"/>
      <c r="B5" s="2969" t="s">
        <v>1616</v>
      </c>
      <c r="C5" s="1951" t="s">
        <v>1617</v>
      </c>
      <c r="D5" s="1038">
        <f ca="1">结果表!H101</f>
        <v>39767</v>
      </c>
      <c r="E5" s="1948"/>
    </row>
    <row r="6" spans="1:5" ht="15.75">
      <c r="A6" s="1948"/>
      <c r="B6" s="2969"/>
      <c r="C6" s="1951" t="s">
        <v>1618</v>
      </c>
      <c r="D6" s="1038" t="str">
        <f ca="1">NUMBERSTRING(INT(D5*10000),2)&amp;"元整"</f>
        <v>叁亿玖仟柒佰陆拾柒万元整</v>
      </c>
      <c r="E6" s="1948"/>
    </row>
    <row r="7" spans="1:5" ht="15.75">
      <c r="A7" s="1948"/>
      <c r="B7" s="2974"/>
      <c r="C7" s="1952" t="s">
        <v>1619</v>
      </c>
      <c r="D7" s="1039">
        <f ca="1">结果表!H102</f>
        <v>5936</v>
      </c>
      <c r="E7" s="1948"/>
    </row>
    <row r="8" spans="1:5" ht="15.75">
      <c r="A8" s="1948"/>
      <c r="B8" s="2975" t="str">
        <f>结果表!E103</f>
        <v>2.估价师知悉的法定优先受偿款</v>
      </c>
      <c r="C8" s="1953" t="s">
        <v>1620</v>
      </c>
      <c r="D8" s="1039">
        <f>结果表!H103</f>
        <v>0</v>
      </c>
      <c r="E8" s="1948"/>
    </row>
    <row r="9" spans="1:5" ht="15.75">
      <c r="A9" s="1948"/>
      <c r="B9" s="2977"/>
      <c r="C9" s="1951" t="s">
        <v>1618</v>
      </c>
      <c r="D9" s="1038" t="str">
        <f>NUMBERSTRING(INT(D8*10000),2)&amp;"元整"</f>
        <v>零元整</v>
      </c>
      <c r="E9" s="1948"/>
    </row>
    <row r="10" spans="1:5" ht="15">
      <c r="A10" s="1948"/>
      <c r="B10" s="1954" t="s">
        <v>1623</v>
      </c>
      <c r="C10" s="1955" t="s">
        <v>1621</v>
      </c>
      <c r="D10" s="1040">
        <f>结果表!H104</f>
        <v>0</v>
      </c>
      <c r="E10" s="1948"/>
    </row>
    <row r="11" spans="1:5" ht="15">
      <c r="A11" s="1948"/>
      <c r="B11" s="1954" t="s">
        <v>1625</v>
      </c>
      <c r="C11" s="1955" t="s">
        <v>1626</v>
      </c>
      <c r="D11" s="1040">
        <f>结果表!H105</f>
        <v>0</v>
      </c>
      <c r="E11" s="1948"/>
    </row>
    <row r="12" spans="1:5" ht="15">
      <c r="A12" s="1948"/>
      <c r="B12" s="1954" t="s">
        <v>1627</v>
      </c>
      <c r="C12" s="1955" t="s">
        <v>1626</v>
      </c>
      <c r="D12" s="1040">
        <f>结果表!H106</f>
        <v>0</v>
      </c>
      <c r="E12" s="1948"/>
    </row>
    <row r="13" spans="1:5" ht="15.75">
      <c r="A13" s="1948"/>
      <c r="B13" s="2968" t="str">
        <f>结果表!E107</f>
        <v>3.房地产抵押价值</v>
      </c>
      <c r="C13" s="1956" t="s">
        <v>1617</v>
      </c>
      <c r="D13" s="1041">
        <f ca="1">结果表!H107</f>
        <v>39767</v>
      </c>
      <c r="E13" s="1948"/>
    </row>
    <row r="14" spans="1:5" ht="15.75">
      <c r="A14" s="1948"/>
      <c r="B14" s="2969"/>
      <c r="C14" s="1951" t="s">
        <v>1618</v>
      </c>
      <c r="D14" s="1038" t="str">
        <f ca="1">NUMBERSTRING(INT(D13*10000),2)&amp;"元整"</f>
        <v>叁亿玖仟柒佰陆拾柒万元整</v>
      </c>
      <c r="E14" s="1948"/>
    </row>
    <row r="15" spans="1:5" ht="15">
      <c r="A15" s="1948"/>
      <c r="B15" s="2974"/>
      <c r="C15" s="1952" t="s">
        <v>1628</v>
      </c>
      <c r="D15" s="1050">
        <f ca="1">结果表!H108</f>
        <v>5936</v>
      </c>
      <c r="E15" s="1948"/>
    </row>
    <row r="16" spans="1:5" ht="15">
      <c r="A16" s="1948"/>
      <c r="B16" s="2975" t="str">
        <f>结果表!E109</f>
        <v>——</v>
      </c>
      <c r="C16" s="1956" t="s">
        <v>1629</v>
      </c>
      <c r="D16" s="1957" t="str">
        <f>结果表!H109</f>
        <v>——</v>
      </c>
      <c r="E16" s="1948"/>
    </row>
    <row r="17" spans="1:5" ht="15.75">
      <c r="A17" s="1948"/>
      <c r="B17" s="2976"/>
      <c r="C17" s="1951" t="s">
        <v>1630</v>
      </c>
      <c r="D17" s="1038" t="e">
        <f>NUMBERSTRING(INT(D16*10000),2)&amp;"元整"</f>
        <v>#VALUE!</v>
      </c>
      <c r="E17" s="1948"/>
    </row>
    <row r="18" spans="1:5" ht="15">
      <c r="A18" s="1948"/>
      <c r="B18" s="2977"/>
      <c r="C18" s="1952" t="s">
        <v>1619</v>
      </c>
      <c r="D18" s="1050" t="str">
        <f>结果表!H110</f>
        <v>——</v>
      </c>
      <c r="E18" s="1948"/>
    </row>
    <row r="19" spans="1:5" ht="15.75">
      <c r="A19" s="1948"/>
      <c r="B19" s="2968" t="str">
        <f>结果表!E111</f>
        <v>——</v>
      </c>
      <c r="C19" s="1956" t="s">
        <v>1617</v>
      </c>
      <c r="D19" s="1039" t="str">
        <f>结果表!H111</f>
        <v>——</v>
      </c>
      <c r="E19" s="1948"/>
    </row>
    <row r="20" spans="1:5" ht="15.75">
      <c r="A20" s="1948"/>
      <c r="B20" s="2969"/>
      <c r="C20" s="1951" t="s">
        <v>1630</v>
      </c>
      <c r="D20" s="1038" t="e">
        <f>NUMBERSTRING(INT(D19*10000),2)&amp;"元整"</f>
        <v>#VALUE!</v>
      </c>
      <c r="E20" s="1948"/>
    </row>
    <row r="21" spans="1:5" ht="15.75" thickBot="1">
      <c r="A21" s="1948"/>
      <c r="B21" s="2970"/>
      <c r="C21" s="1958" t="s">
        <v>1628</v>
      </c>
      <c r="D21" s="1051"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53" t="s">
        <v>3000</v>
      </c>
    </row>
    <row r="2" spans="1:5" ht="15.75">
      <c r="A2" s="2894" t="s">
        <v>2992</v>
      </c>
      <c r="B2" s="2895">
        <f ca="1">SUMIF(B6:B13,"&lt;&gt;#ref!",B6:B13)</f>
        <v>16246</v>
      </c>
      <c r="C2" s="2894" t="s">
        <v>2993</v>
      </c>
      <c r="D2" s="2894" t="s">
        <v>2994</v>
      </c>
      <c r="E2" s="2895">
        <f ca="1">SUMIF(E6:E13,"&lt;&gt;#ref!",E6:E13)</f>
        <v>66988.94</v>
      </c>
    </row>
    <row r="3" spans="1:5" ht="15.75">
      <c r="A3" s="2894" t="s">
        <v>2995</v>
      </c>
      <c r="B3" s="2895">
        <f ca="1">ROUND(B2*10000/E2,0)</f>
        <v>2425</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f ca="1">SUMIF(INDIRECT("'"&amp;A6&amp;"'"&amp;"!A:A"),"总价",INDIRECT("'"&amp;A6&amp;"'"&amp;"!B:B"))</f>
        <v>16246</v>
      </c>
      <c r="C6" s="2894" t="s">
        <v>2993</v>
      </c>
      <c r="D6" s="2896"/>
      <c r="E6" s="2567">
        <f ca="1">SUMIF(INDIRECT("'"&amp;A6&amp;"'"&amp;"!C:C"),"建筑面积",INDIRECT("'"&amp;A6&amp;"'"&amp;"!D:D"))</f>
        <v>66988.94</v>
      </c>
    </row>
    <row r="7" spans="1:5" ht="15.75">
      <c r="A7" s="2899"/>
      <c r="B7" s="2895" t="e">
        <f ca="1">SUMIF(INDIRECT("'"&amp;A7&amp;"'"&amp;"!A:A"),"总价",INDIRECT("'"&amp;A7&amp;"'"&amp;"!B:B"))</f>
        <v>#REF!</v>
      </c>
      <c r="C7" s="2894" t="s">
        <v>2993</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7" t="e">
        <f t="shared" ca="1" si="0"/>
        <v>#REF!</v>
      </c>
    </row>
    <row r="9" spans="1:5" ht="15.75">
      <c r="A9" s="2899"/>
      <c r="B9" s="2895" t="e">
        <f t="shared" ca="1" si="1"/>
        <v>#REF!</v>
      </c>
      <c r="C9" s="2894" t="s">
        <v>2993</v>
      </c>
      <c r="D9" s="2896"/>
      <c r="E9" s="2567" t="e">
        <f t="shared" ca="1" si="0"/>
        <v>#REF!</v>
      </c>
    </row>
    <row r="10" spans="1:5" ht="15.75">
      <c r="A10" s="2899"/>
      <c r="B10" s="2895" t="e">
        <f t="shared" ca="1" si="1"/>
        <v>#REF!</v>
      </c>
      <c r="C10" s="2894" t="s">
        <v>2993</v>
      </c>
      <c r="D10" s="2896"/>
      <c r="E10" s="2567" t="e">
        <f t="shared" ca="1" si="0"/>
        <v>#REF!</v>
      </c>
    </row>
    <row r="11" spans="1:5" ht="15.75">
      <c r="A11" s="2899"/>
      <c r="B11" s="2895" t="e">
        <f t="shared" ca="1" si="1"/>
        <v>#REF!</v>
      </c>
      <c r="C11" s="2894" t="s">
        <v>2993</v>
      </c>
      <c r="D11" s="2896"/>
      <c r="E11" s="2567" t="e">
        <f t="shared" ca="1" si="0"/>
        <v>#REF!</v>
      </c>
    </row>
    <row r="12" spans="1:5" ht="15.75">
      <c r="A12" s="2899"/>
      <c r="B12" s="2895" t="e">
        <f t="shared" ca="1" si="1"/>
        <v>#REF!</v>
      </c>
      <c r="C12" s="2894" t="s">
        <v>2993</v>
      </c>
      <c r="D12" s="2896"/>
      <c r="E12" s="2567" t="e">
        <f t="shared" ca="1" si="0"/>
        <v>#REF!</v>
      </c>
    </row>
    <row r="13" spans="1:5" ht="15.7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4" t="s">
        <v>1145</v>
      </c>
      <c r="C1" s="3284"/>
      <c r="D1" s="3284"/>
      <c r="E1" s="3284"/>
      <c r="F1" s="3284"/>
      <c r="G1" s="3283" t="s">
        <v>1146</v>
      </c>
      <c r="H1" s="3283"/>
      <c r="I1" s="3283"/>
      <c r="J1" s="3283"/>
      <c r="K1" s="3283"/>
      <c r="L1" s="3283"/>
      <c r="N1" s="3283" t="s">
        <v>1147</v>
      </c>
      <c r="O1" s="3283"/>
      <c r="P1" s="3283"/>
      <c r="Q1" s="3283"/>
      <c r="R1" s="1444"/>
      <c r="S1" s="3283" t="s">
        <v>1148</v>
      </c>
      <c r="T1" s="3283"/>
      <c r="U1" s="3283"/>
      <c r="V1" s="3283"/>
      <c r="X1" s="3282" t="s">
        <v>1149</v>
      </c>
      <c r="Y1" s="3283"/>
      <c r="Z1" s="3283"/>
      <c r="AA1" s="3283"/>
      <c r="AB1" s="3283"/>
      <c r="AD1" s="3282" t="s">
        <v>1150</v>
      </c>
      <c r="AE1" s="3283"/>
      <c r="AF1" s="3283"/>
      <c r="AG1" s="3283"/>
      <c r="AH1" s="3283"/>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0" customFormat="1" ht="14.25">
      <c r="A3" s="2919" t="s">
        <v>3035</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1" customFormat="1" ht="14.25">
      <c r="B4" s="1452"/>
      <c r="C4" s="1452"/>
      <c r="D4" s="1453"/>
      <c r="E4" s="1453"/>
      <c r="F4" s="1452"/>
      <c r="G4" s="1454"/>
      <c r="H4" s="1455"/>
      <c r="I4" s="2905"/>
      <c r="J4" s="2905"/>
      <c r="K4" s="2905"/>
      <c r="L4" s="2905"/>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3055</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45">
        <v>2020</v>
      </c>
      <c r="H5" s="1728">
        <v>2</v>
      </c>
      <c r="I5" s="2906">
        <v>0</v>
      </c>
      <c r="J5" s="2906">
        <v>0</v>
      </c>
      <c r="K5" s="2906">
        <v>0</v>
      </c>
      <c r="L5" s="2906">
        <v>0</v>
      </c>
      <c r="N5" s="1465">
        <f t="shared" ref="N5" si="7">I5/100</f>
        <v>0</v>
      </c>
      <c r="O5" s="1465">
        <f t="shared" ref="O5" si="8">J5/100</f>
        <v>0</v>
      </c>
      <c r="P5" s="1465">
        <f t="shared" ref="P5" si="9">K5/100</f>
        <v>0</v>
      </c>
      <c r="Q5" s="1465">
        <f t="shared" ref="Q5" si="10">L5/100</f>
        <v>0</v>
      </c>
      <c r="R5" s="1730"/>
      <c r="S5" s="1731"/>
      <c r="T5" s="1730"/>
      <c r="U5" s="1730"/>
      <c r="V5" s="1730"/>
      <c r="W5" s="2909" t="s">
        <v>3036</v>
      </c>
      <c r="X5" s="1724">
        <f>ROUND(IF(项目基本情况!B8="出让",SUMPRODUCT(PRODUCT(1+N5:N$30)),SUMPRODUCT(PRODUCT(1+N5:N$29))),4)</f>
        <v>1.5605</v>
      </c>
      <c r="Y5" s="1724">
        <f>ROUND(IF(项目基本情况!B8="出让",SUMPRODUCT(PRODUCT(1+O5:O$30)),SUMPRODUCT(PRODUCT(1+O5:O$29))),4)</f>
        <v>1.3577999999999999</v>
      </c>
      <c r="Z5" s="1724">
        <f t="shared" ref="Z5" si="11">Y5</f>
        <v>1.3577999999999999</v>
      </c>
      <c r="AA5" s="1724">
        <f>ROUND(IF(项目基本情况!B8="出让",SUMPRODUCT(PRODUCT(1+P5:P$30)),SUMPRODUCT(PRODUCT(1+P5:P$29))),4)</f>
        <v>1.6254999999999999</v>
      </c>
      <c r="AB5" s="1724">
        <f>ROUND(IF(项目基本情况!B8="出让",SUMPRODUCT(PRODUCT(1+Q5:Q$30)),SUMPRODUCT(PRODUCT(1+Q5:Q$29))),4)</f>
        <v>1.3815999999999999</v>
      </c>
      <c r="AD5" s="1466">
        <f>ROUND(AVERAGE(I5:I$30)/100,4)</f>
        <v>1.8499999999999999E-2</v>
      </c>
      <c r="AE5" s="1466">
        <f>ROUND(AVERAGE(J5:J$30)/100,4)</f>
        <v>1.2800000000000001E-2</v>
      </c>
      <c r="AF5" s="1466">
        <f t="shared" ref="AF5" si="12">AE5</f>
        <v>1.2800000000000001E-2</v>
      </c>
      <c r="AG5" s="1466">
        <f>ROUND(AVERAGE(K5:K$30)/100,4)</f>
        <v>2.0299999999999999E-2</v>
      </c>
      <c r="AH5" s="1466">
        <f>ROUND(AVERAGE(L5:L$30)/100,4)</f>
        <v>1.3100000000000001E-2</v>
      </c>
    </row>
    <row r="6" spans="1:34" s="1464" customFormat="1">
      <c r="A6" s="1459" t="s">
        <v>3054</v>
      </c>
      <c r="B6" s="1475">
        <f t="shared" ref="B6" si="13">B7*(1+N6)</f>
        <v>479.92259063878413</v>
      </c>
      <c r="C6" s="1475">
        <f t="shared" ref="C6" si="14">C7*(1+O6)</f>
        <v>350.02082268341775</v>
      </c>
      <c r="D6" s="1475">
        <f t="shared" ref="D6" si="15">C6</f>
        <v>350.02082268341775</v>
      </c>
      <c r="E6" s="1475">
        <f t="shared" ref="E6" si="16">E7*(1+P6)</f>
        <v>687.42265944181099</v>
      </c>
      <c r="F6" s="1475">
        <f t="shared" ref="F6" si="17">F7*(1+Q6)</f>
        <v>317.63846657708956</v>
      </c>
      <c r="G6" s="2945">
        <v>2020</v>
      </c>
      <c r="H6" s="1462">
        <v>1</v>
      </c>
      <c r="I6" s="2946">
        <v>0.12</v>
      </c>
      <c r="J6" s="2946">
        <v>-0.4</v>
      </c>
      <c r="K6" s="2946">
        <v>0.21</v>
      </c>
      <c r="L6" s="2947">
        <v>0.27</v>
      </c>
      <c r="M6" s="1469"/>
      <c r="N6" s="1470">
        <f t="shared" ref="N6" si="18">I6/100</f>
        <v>1.1999999999999999E-3</v>
      </c>
      <c r="O6" s="1471">
        <f t="shared" ref="O6" si="19">J6/100</f>
        <v>-4.0000000000000001E-3</v>
      </c>
      <c r="P6" s="1471">
        <f t="shared" ref="P6" si="20">K6/100</f>
        <v>2.0999999999999999E-3</v>
      </c>
      <c r="Q6" s="1471">
        <f t="shared" ref="Q6" si="21">L6/100</f>
        <v>2.7000000000000001E-3</v>
      </c>
      <c r="R6" s="1472"/>
      <c r="S6" s="1470">
        <f>B6/B7-1</f>
        <v>1.2000000000000899E-3</v>
      </c>
      <c r="T6" s="1471">
        <f t="shared" ref="T6" si="22">C6/C7-1</f>
        <v>-4.0000000000000036E-3</v>
      </c>
      <c r="U6" s="1471">
        <f t="shared" ref="U6" si="23">D6/D7-1</f>
        <v>-4.0000000000000036E-3</v>
      </c>
      <c r="V6" s="1471">
        <f t="shared" ref="V6" si="24">E6/E7-1</f>
        <v>2.0999999999999908E-3</v>
      </c>
      <c r="W6" s="1780"/>
      <c r="X6" s="1778">
        <f>ROUND(IF(项目基本情况!B8="出让",SUMPRODUCT(PRODUCT(1+N6:N$30)),SUMPRODUCT(PRODUCT(1+N6:N$29))),4)</f>
        <v>1.5605</v>
      </c>
      <c r="Y6" s="1778">
        <f>ROUND(IF(项目基本情况!B8="出让",SUMPRODUCT(PRODUCT(1+O6:O$30)),SUMPRODUCT(PRODUCT(1+O6:O$29))),4)</f>
        <v>1.3577999999999999</v>
      </c>
      <c r="Z6" s="1778">
        <f t="shared" ref="Z6" si="25">Y6</f>
        <v>1.3577999999999999</v>
      </c>
      <c r="AA6" s="1778">
        <f>ROUND(IF(项目基本情况!B8="出让",SUMPRODUCT(PRODUCT(1+P6:P$30)),SUMPRODUCT(PRODUCT(1+P6:P$29))),4)</f>
        <v>1.6254999999999999</v>
      </c>
      <c r="AB6" s="1778">
        <f>ROUND(IF(项目基本情况!B8="出让",SUMPRODUCT(PRODUCT(1+Q6:Q$30)),SUMPRODUCT(PRODUCT(1+Q6:Q$29))),4)</f>
        <v>1.3815999999999999</v>
      </c>
      <c r="AC6" s="1780"/>
      <c r="AD6" s="1779">
        <f>ROUND(AVERAGE(I6:I$30)/100,4)</f>
        <v>1.9199999999999998E-2</v>
      </c>
      <c r="AE6" s="1779">
        <f>ROUND(AVERAGE(J6:J$30)/100,4)</f>
        <v>1.3299999999999999E-2</v>
      </c>
      <c r="AF6" s="1779">
        <f t="shared" ref="AF6" si="26">AE6</f>
        <v>1.3299999999999999E-2</v>
      </c>
      <c r="AG6" s="1779">
        <f>ROUND(AVERAGE(K6:K$30)/100,4)</f>
        <v>2.1100000000000001E-2</v>
      </c>
      <c r="AH6" s="1779">
        <f>ROUND(AVERAGE(L6:L$30)/100,4)</f>
        <v>1.3599999999999999E-2</v>
      </c>
    </row>
    <row r="7" spans="1:34" s="1464" customFormat="1">
      <c r="A7" s="1459" t="s">
        <v>3053</v>
      </c>
      <c r="B7" s="1475">
        <f t="shared" ref="B7" si="27">B8*(1+N7)</f>
        <v>479.34737379023579</v>
      </c>
      <c r="C7" s="1475">
        <f t="shared" ref="C7" si="28">C8*(1+O7)</f>
        <v>351.4265287986122</v>
      </c>
      <c r="D7" s="1475">
        <f t="shared" ref="D7" si="29">C7</f>
        <v>351.4265287986122</v>
      </c>
      <c r="E7" s="1475">
        <f t="shared" ref="E7" si="30">E8*(1+P7)</f>
        <v>685.98209703803116</v>
      </c>
      <c r="F7" s="1475">
        <f t="shared" ref="F7" si="31">F8*(1+Q7)</f>
        <v>316.78315206651001</v>
      </c>
      <c r="G7" s="2944">
        <v>2019</v>
      </c>
      <c r="H7" s="1462">
        <v>4</v>
      </c>
      <c r="I7" s="1462">
        <v>0.45</v>
      </c>
      <c r="J7" s="1462">
        <v>-0.12</v>
      </c>
      <c r="K7" s="1462">
        <v>0.54</v>
      </c>
      <c r="L7" s="1476">
        <v>0.48</v>
      </c>
      <c r="M7" s="1469"/>
      <c r="N7" s="1470">
        <f t="shared" ref="N7:N12" si="32">I7/100</f>
        <v>4.5000000000000005E-3</v>
      </c>
      <c r="O7" s="1471">
        <f t="shared" ref="O7" si="33">J7/100</f>
        <v>-1.1999999999999999E-3</v>
      </c>
      <c r="P7" s="1471">
        <f t="shared" ref="P7" si="34">K7/100</f>
        <v>5.4000000000000003E-3</v>
      </c>
      <c r="Q7" s="1471">
        <f t="shared" ref="Q7" si="35">L7/100</f>
        <v>4.7999999999999996E-3</v>
      </c>
      <c r="R7" s="1472"/>
      <c r="S7" s="1470"/>
      <c r="T7" s="1471"/>
      <c r="U7" s="1471"/>
      <c r="V7" s="1471"/>
      <c r="W7" s="1780"/>
      <c r="X7" s="1778">
        <f>ROUND(IF(项目基本情况!B8="出让",SUMPRODUCT(PRODUCT(1+N7:N$30)),SUMPRODUCT(PRODUCT(1+N7:N$29))),4)</f>
        <v>1.5586</v>
      </c>
      <c r="Y7" s="1778">
        <f>ROUND(IF(项目基本情况!B8="出让",SUMPRODUCT(PRODUCT(1+O7:O$30)),SUMPRODUCT(PRODUCT(1+O7:O$29))),4)</f>
        <v>1.3633</v>
      </c>
      <c r="Z7" s="1778">
        <f t="shared" ref="Z7" si="36">Y7</f>
        <v>1.3633</v>
      </c>
      <c r="AA7" s="1778">
        <f>ROUND(IF(项目基本情况!B8="出让",SUMPRODUCT(PRODUCT(1+P7:P$30)),SUMPRODUCT(PRODUCT(1+P7:P$29))),4)</f>
        <v>1.6221000000000001</v>
      </c>
      <c r="AB7" s="1778">
        <f>ROUND(IF(项目基本情况!B8="出让",SUMPRODUCT(PRODUCT(1+Q7:Q$30)),SUMPRODUCT(PRODUCT(1+Q7:Q$29))),4)</f>
        <v>1.3777999999999999</v>
      </c>
      <c r="AC7" s="1780"/>
      <c r="AD7" s="1779">
        <f>ROUND(AVERAGE(I7:I$30)/100,4)</f>
        <v>0.02</v>
      </c>
      <c r="AE7" s="1779">
        <f>ROUND(AVERAGE(J7:J$30)/100,4)</f>
        <v>1.4E-2</v>
      </c>
      <c r="AF7" s="1779">
        <f t="shared" ref="AF7" si="37">AE7</f>
        <v>1.4E-2</v>
      </c>
      <c r="AG7" s="1779">
        <f>ROUND(AVERAGE(K7:K$30)/100,4)</f>
        <v>2.1899999999999999E-2</v>
      </c>
      <c r="AH7" s="1779">
        <f>ROUND(AVERAGE(L7:L$30)/100,4)</f>
        <v>1.4E-2</v>
      </c>
    </row>
    <row r="8" spans="1:34" s="1464" customFormat="1" ht="13.5" thickBot="1">
      <c r="A8" s="1459" t="s">
        <v>3049</v>
      </c>
      <c r="B8" s="1475">
        <f t="shared" ref="B8" si="38">B9*(1+N8)</f>
        <v>477.19997390765138</v>
      </c>
      <c r="C8" s="1475">
        <f t="shared" ref="C8" si="39">C9*(1+O8)</f>
        <v>351.84874729536665</v>
      </c>
      <c r="D8" s="1475">
        <f t="shared" ref="D8" si="40">C8</f>
        <v>351.84874729536665</v>
      </c>
      <c r="E8" s="1475">
        <f t="shared" ref="E8" si="41">E9*(1+P8)</f>
        <v>682.29768951465201</v>
      </c>
      <c r="F8" s="1475">
        <f t="shared" ref="F8" si="42">F9*(1+Q8)</f>
        <v>315.26985675409043</v>
      </c>
      <c r="G8" s="2943">
        <v>2019</v>
      </c>
      <c r="H8" s="1462">
        <v>3</v>
      </c>
      <c r="I8" s="1462">
        <v>0.61</v>
      </c>
      <c r="J8" s="1462">
        <v>0.67</v>
      </c>
      <c r="K8" s="1462">
        <v>0.6</v>
      </c>
      <c r="L8" s="1476">
        <v>1.03</v>
      </c>
      <c r="M8" s="1469"/>
      <c r="N8" s="1470">
        <f t="shared" si="32"/>
        <v>6.0999999999999995E-3</v>
      </c>
      <c r="O8" s="1471">
        <f t="shared" ref="O8" si="43">J8/100</f>
        <v>6.7000000000000002E-3</v>
      </c>
      <c r="P8" s="1471">
        <f t="shared" ref="P8" si="44">K8/100</f>
        <v>6.0000000000000001E-3</v>
      </c>
      <c r="Q8" s="1471">
        <f t="shared" ref="Q8" si="45">L8/100</f>
        <v>1.03E-2</v>
      </c>
      <c r="R8" s="1472"/>
      <c r="S8" s="1470"/>
      <c r="T8" s="1471"/>
      <c r="U8" s="1471"/>
      <c r="V8" s="1471"/>
      <c r="W8" s="1780"/>
      <c r="X8" s="1778">
        <f>ROUND(IF(项目基本情况!B8="出让",SUMPRODUCT(PRODUCT(1+N8:N$30)),SUMPRODUCT(PRODUCT(1+N8:N$29))),4)</f>
        <v>1.5516000000000001</v>
      </c>
      <c r="Y8" s="1778">
        <f>ROUND(IF(项目基本情况!B8="出让",SUMPRODUCT(PRODUCT(1+O8:O$30)),SUMPRODUCT(PRODUCT(1+O8:O$29))),4)</f>
        <v>1.3649</v>
      </c>
      <c r="Z8" s="1778">
        <f t="shared" ref="Z8" si="46">Y8</f>
        <v>1.3649</v>
      </c>
      <c r="AA8" s="1778">
        <f>ROUND(IF(项目基本情况!B8="出让",SUMPRODUCT(PRODUCT(1+P8:P$30)),SUMPRODUCT(PRODUCT(1+P8:P$29))),4)</f>
        <v>1.6133999999999999</v>
      </c>
      <c r="AB8" s="1778">
        <f>ROUND(IF(项目基本情况!B8="出让",SUMPRODUCT(PRODUCT(1+Q8:Q$30)),SUMPRODUCT(PRODUCT(1+Q8:Q$29))),4)</f>
        <v>1.3713</v>
      </c>
      <c r="AC8" s="1780"/>
      <c r="AD8" s="1779">
        <f>ROUND(AVERAGE(I8:I$30)/100,4)</f>
        <v>2.07E-2</v>
      </c>
      <c r="AE8" s="1779">
        <f>ROUND(AVERAGE(J8:J$30)/100,4)</f>
        <v>1.47E-2</v>
      </c>
      <c r="AF8" s="1779">
        <f t="shared" ref="AF8" si="47">AE8</f>
        <v>1.47E-2</v>
      </c>
      <c r="AG8" s="1779">
        <f>ROUND(AVERAGE(K8:K$30)/100,4)</f>
        <v>2.2599999999999999E-2</v>
      </c>
      <c r="AH8" s="1779">
        <f>ROUND(AVERAGE(L8:L$30)/100,4)</f>
        <v>1.44E-2</v>
      </c>
    </row>
    <row r="9" spans="1:34" s="1464" customFormat="1">
      <c r="A9" s="1459" t="s">
        <v>3047</v>
      </c>
      <c r="B9" s="1475">
        <f t="shared" ref="B9" si="48">B10*(1+N9)</f>
        <v>474.30670301923408</v>
      </c>
      <c r="C9" s="1475">
        <f t="shared" ref="C9" si="49">C10*(1+O9)</f>
        <v>349.50705005996491</v>
      </c>
      <c r="D9" s="1475">
        <f t="shared" ref="D9" si="50">C9</f>
        <v>349.50705005996491</v>
      </c>
      <c r="E9" s="1475">
        <f t="shared" ref="E9" si="51">E10*(1+P9)</f>
        <v>678.22831959706957</v>
      </c>
      <c r="F9" s="1475">
        <f t="shared" ref="F9" si="52">F10*(1+Q9)</f>
        <v>312.0556832169558</v>
      </c>
      <c r="G9" s="2939">
        <v>2019</v>
      </c>
      <c r="H9" s="1460">
        <v>2</v>
      </c>
      <c r="I9" s="1460">
        <v>1.53</v>
      </c>
      <c r="J9" s="1460">
        <v>1.01</v>
      </c>
      <c r="K9" s="1460">
        <v>1.62</v>
      </c>
      <c r="L9" s="1461">
        <v>1.25</v>
      </c>
      <c r="M9" s="1469"/>
      <c r="N9" s="1470">
        <f t="shared" si="32"/>
        <v>1.5300000000000001E-2</v>
      </c>
      <c r="O9" s="1471">
        <f t="shared" ref="O9" si="53">J9/100</f>
        <v>1.01E-2</v>
      </c>
      <c r="P9" s="1471">
        <f t="shared" ref="P9" si="54">K9/100</f>
        <v>1.6200000000000003E-2</v>
      </c>
      <c r="Q9" s="1471">
        <f t="shared" ref="Q9" si="55">L9/100</f>
        <v>1.2500000000000001E-2</v>
      </c>
      <c r="R9" s="1472"/>
      <c r="S9" s="1470"/>
      <c r="T9" s="1471"/>
      <c r="U9" s="1471"/>
      <c r="V9" s="1471"/>
      <c r="W9" s="1780"/>
      <c r="X9" s="1778">
        <f>ROUND(IF(项目基本情况!B8="出让",SUMPRODUCT(PRODUCT(1+N9:N$30)),SUMPRODUCT(PRODUCT(1+N9:N$29))),4)</f>
        <v>1.5422</v>
      </c>
      <c r="Y9" s="1778">
        <f>ROUND(IF(项目基本情况!B8="出让",SUMPRODUCT(PRODUCT(1+O9:O$30)),SUMPRODUCT(PRODUCT(1+O9:O$29))),4)</f>
        <v>1.3557999999999999</v>
      </c>
      <c r="Z9" s="1778">
        <f t="shared" ref="Z9" si="56">Y9</f>
        <v>1.3557999999999999</v>
      </c>
      <c r="AA9" s="1778">
        <f>ROUND(IF(项目基本情况!B8="出让",SUMPRODUCT(PRODUCT(1+P9:P$30)),SUMPRODUCT(PRODUCT(1+P9:P$29))),4)</f>
        <v>1.6036999999999999</v>
      </c>
      <c r="AB9" s="1778">
        <f>ROUND(IF(项目基本情况!B8="出让",SUMPRODUCT(PRODUCT(1+Q9:Q$30)),SUMPRODUCT(PRODUCT(1+Q9:Q$29))),4)</f>
        <v>1.3573</v>
      </c>
      <c r="AC9" s="1780"/>
      <c r="AD9" s="1779">
        <f>ROUND(AVERAGE(I9:I$30)/100,4)</f>
        <v>2.1299999999999999E-2</v>
      </c>
      <c r="AE9" s="1779">
        <f>ROUND(AVERAGE(J9:J$30)/100,4)</f>
        <v>1.4999999999999999E-2</v>
      </c>
      <c r="AF9" s="1779">
        <f t="shared" ref="AF9" si="57">AE9</f>
        <v>1.4999999999999999E-2</v>
      </c>
      <c r="AG9" s="1779">
        <f>ROUND(AVERAGE(K9:K$30)/100,4)</f>
        <v>2.3300000000000001E-2</v>
      </c>
      <c r="AH9" s="1779">
        <f>ROUND(AVERAGE(L9:L$30)/100,4)</f>
        <v>1.46E-2</v>
      </c>
    </row>
    <row r="10" spans="1:34" s="1464" customFormat="1" ht="13.5" thickBot="1">
      <c r="A10" s="1459" t="s">
        <v>3045</v>
      </c>
      <c r="B10" s="1475">
        <f t="shared" ref="B10" si="58">B11*(1+N10)</f>
        <v>467.15916775261894</v>
      </c>
      <c r="C10" s="1475">
        <f t="shared" ref="C10" si="59">C11*(1+O10)</f>
        <v>346.01232557169084</v>
      </c>
      <c r="D10" s="1475">
        <f t="shared" ref="D10" si="60">C10</f>
        <v>346.01232557169084</v>
      </c>
      <c r="E10" s="1475">
        <f t="shared" ref="E10" si="61">E11*(1+P10)</f>
        <v>667.41617752122568</v>
      </c>
      <c r="F10" s="1475">
        <f t="shared" ref="F10" si="62">F11*(1+Q10)</f>
        <v>308.20314391798104</v>
      </c>
      <c r="G10" s="2923">
        <v>2019</v>
      </c>
      <c r="H10" s="1462">
        <v>1</v>
      </c>
      <c r="I10" s="1462">
        <v>0.6</v>
      </c>
      <c r="J10" s="1462">
        <v>0.37</v>
      </c>
      <c r="K10" s="1462">
        <v>0.63</v>
      </c>
      <c r="L10" s="1476">
        <v>1.1299999999999999</v>
      </c>
      <c r="M10" s="1469"/>
      <c r="N10" s="1470">
        <f t="shared" si="32"/>
        <v>6.0000000000000001E-3</v>
      </c>
      <c r="O10" s="1471">
        <f t="shared" ref="O10" si="63">J10/100</f>
        <v>3.7000000000000002E-3</v>
      </c>
      <c r="P10" s="1471">
        <f t="shared" ref="P10" si="64">K10/100</f>
        <v>6.3E-3</v>
      </c>
      <c r="Q10" s="1471">
        <f t="shared" ref="Q10" si="65">L10/100</f>
        <v>1.1299999999999999E-2</v>
      </c>
      <c r="R10" s="1472"/>
      <c r="S10" s="1470">
        <f>B10/B11-1</f>
        <v>6.0000000000000053E-3</v>
      </c>
      <c r="T10" s="1471">
        <f t="shared" ref="T10" si="66">C10/C11-1</f>
        <v>3.7000000000000366E-3</v>
      </c>
      <c r="U10" s="1471">
        <f t="shared" ref="U10" si="67">D10/D11-1</f>
        <v>3.7000000000000366E-3</v>
      </c>
      <c r="V10" s="1471">
        <f t="shared" ref="V10" si="68">E10/E11-1</f>
        <v>6.2999999999999723E-3</v>
      </c>
      <c r="W10" s="1780"/>
      <c r="X10" s="1778">
        <f>ROUND(IF(项目基本情况!B8="出让",SUMPRODUCT(PRODUCT(1+N10:N$30)),SUMPRODUCT(PRODUCT(1+N10:N$29))),4)</f>
        <v>1.5189999999999999</v>
      </c>
      <c r="Y10" s="1778">
        <f>ROUND(IF(项目基本情况!B8="出让",SUMPRODUCT(PRODUCT(1+O10:O$30)),SUMPRODUCT(PRODUCT(1+O10:O$29))),4)</f>
        <v>1.3423</v>
      </c>
      <c r="Z10" s="1778">
        <f t="shared" ref="Z10" si="69">Y10</f>
        <v>1.3423</v>
      </c>
      <c r="AA10" s="1778">
        <f>ROUND(IF(项目基本情况!B8="出让",SUMPRODUCT(PRODUCT(1+P10:P$30)),SUMPRODUCT(PRODUCT(1+P10:P$29))),4)</f>
        <v>1.5782</v>
      </c>
      <c r="AB10" s="1778">
        <f>ROUND(IF(项目基本情况!B8="出让",SUMPRODUCT(PRODUCT(1+Q10:Q$30)),SUMPRODUCT(PRODUCT(1+Q10:Q$29))),4)</f>
        <v>1.3405</v>
      </c>
      <c r="AC10" s="1780"/>
      <c r="AD10" s="1779">
        <f>ROUND(AVERAGE(I10:I$30)/100,4)</f>
        <v>2.1600000000000001E-2</v>
      </c>
      <c r="AE10" s="1779">
        <f>ROUND(AVERAGE(J10:J$30)/100,4)</f>
        <v>1.5299999999999999E-2</v>
      </c>
      <c r="AF10" s="1779">
        <f t="shared" ref="AF10" si="70">AE10</f>
        <v>1.5299999999999999E-2</v>
      </c>
      <c r="AG10" s="1779">
        <f>ROUND(AVERAGE(K10:K$30)/100,4)</f>
        <v>2.3699999999999999E-2</v>
      </c>
      <c r="AH10" s="1779">
        <f>ROUND(AVERAGE(L10:L$30)/100,4)</f>
        <v>1.47E-2</v>
      </c>
    </row>
    <row r="11" spans="1:34" s="1464" customFormat="1">
      <c r="A11" s="1459" t="s">
        <v>3048</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80">
        <v>2018</v>
      </c>
      <c r="H11" s="1460">
        <v>4</v>
      </c>
      <c r="I11" s="1460">
        <v>0.96</v>
      </c>
      <c r="J11" s="1460">
        <v>1.03</v>
      </c>
      <c r="K11" s="1460">
        <v>0.92</v>
      </c>
      <c r="L11" s="1461">
        <v>1.29</v>
      </c>
      <c r="M11" s="1469"/>
      <c r="N11" s="1470">
        <f t="shared" si="32"/>
        <v>9.5999999999999992E-3</v>
      </c>
      <c r="O11" s="1471">
        <f t="shared" ref="O11" si="76">J11/100</f>
        <v>1.03E-2</v>
      </c>
      <c r="P11" s="1471">
        <f t="shared" ref="P11" si="77">K11/100</f>
        <v>9.1999999999999998E-3</v>
      </c>
      <c r="Q11" s="1471">
        <f t="shared" ref="Q11" si="78">L11/100</f>
        <v>1.29E-2</v>
      </c>
      <c r="R11" s="1472"/>
      <c r="S11" s="1470"/>
      <c r="T11" s="1471"/>
      <c r="U11" s="1471"/>
      <c r="V11" s="1471"/>
      <c r="W11" s="1780"/>
      <c r="X11" s="1778">
        <f>ROUND(SUMPRODUCT(PRODUCT(1+N11:N$29)),4)</f>
        <v>1.5099</v>
      </c>
      <c r="Y11" s="1778">
        <f>ROUND(SUMPRODUCT(PRODUCT(1+O11:O$29)),4)</f>
        <v>1.3372999999999999</v>
      </c>
      <c r="Z11" s="1778">
        <f t="shared" ref="Z11" si="79">Y11</f>
        <v>1.3372999999999999</v>
      </c>
      <c r="AA11" s="1778">
        <f>ROUND(SUMPRODUCT(PRODUCT(1+P11:P$29)),4)</f>
        <v>1.5683</v>
      </c>
      <c r="AB11" s="1778">
        <f>ROUND(SUMPRODUCT(PRODUCT(1+Q11:Q$29)),4)</f>
        <v>1.3255999999999999</v>
      </c>
      <c r="AC11" s="1780"/>
      <c r="AD11" s="1779">
        <f>ROUND(AVERAGE(I11:I$30)/100,4)</f>
        <v>2.24E-2</v>
      </c>
      <c r="AE11" s="1779">
        <f>ROUND(AVERAGE(J11:J$30)/100,4)</f>
        <v>1.5800000000000002E-2</v>
      </c>
      <c r="AF11" s="1779">
        <f t="shared" ref="AF11" si="80">AE11</f>
        <v>1.5800000000000002E-2</v>
      </c>
      <c r="AG11" s="1779">
        <f>ROUND(AVERAGE(K11:K$30)/100,4)</f>
        <v>2.4500000000000001E-2</v>
      </c>
      <c r="AH11" s="1779">
        <f>ROUND(AVERAGE(L11:L$30)/100,4)</f>
        <v>1.49E-2</v>
      </c>
    </row>
    <row r="12" spans="1:34" s="1464" customFormat="1" ht="14.45" customHeight="1">
      <c r="A12" s="1459" t="s">
        <v>3042</v>
      </c>
      <c r="B12" s="1475">
        <f t="shared" ref="B12" si="81">B13*(1+N12)</f>
        <v>459.95733971036987</v>
      </c>
      <c r="C12" s="1475">
        <f t="shared" ref="C12" si="82">C13*(1+O12)</f>
        <v>341.22221064422405</v>
      </c>
      <c r="D12" s="1475">
        <f t="shared" ref="D12" si="83">C12</f>
        <v>341.22221064422405</v>
      </c>
      <c r="E12" s="1475">
        <f t="shared" ref="E12" si="84">E13*(1+P12)</f>
        <v>657.19161663724799</v>
      </c>
      <c r="F12" s="1475">
        <f t="shared" ref="F12" si="85">F13*(1+Q12)</f>
        <v>300.87803644464805</v>
      </c>
      <c r="G12" s="3280"/>
      <c r="H12" s="1462">
        <v>3</v>
      </c>
      <c r="I12" s="1462">
        <v>1.51</v>
      </c>
      <c r="J12" s="1462">
        <v>1.41</v>
      </c>
      <c r="K12" s="1462">
        <v>1.52</v>
      </c>
      <c r="L12" s="1476">
        <v>1.74</v>
      </c>
      <c r="M12" s="1469"/>
      <c r="N12" s="1470">
        <f t="shared" si="32"/>
        <v>1.5100000000000001E-2</v>
      </c>
      <c r="O12" s="1471">
        <f t="shared" ref="O12" si="86">J12/100</f>
        <v>1.41E-2</v>
      </c>
      <c r="P12" s="1471">
        <f t="shared" ref="P12" si="87">K12/100</f>
        <v>1.52E-2</v>
      </c>
      <c r="Q12" s="1471">
        <f t="shared" ref="Q12" si="88">L12/100</f>
        <v>1.7399999999999999E-2</v>
      </c>
      <c r="R12" s="1472"/>
      <c r="S12" s="1470"/>
      <c r="T12" s="1471"/>
      <c r="U12" s="1471"/>
      <c r="V12" s="1471"/>
      <c r="W12" s="1780"/>
      <c r="X12" s="1778">
        <f>ROUND(SUMPRODUCT(PRODUCT(1+N12:N$29)),4)</f>
        <v>1.4956</v>
      </c>
      <c r="Y12" s="1778">
        <f>ROUND(SUMPRODUCT(PRODUCT(1+O12:O$29)),4)</f>
        <v>1.3237000000000001</v>
      </c>
      <c r="Z12" s="1778">
        <f t="shared" ref="Z12" si="89">Y12</f>
        <v>1.3237000000000001</v>
      </c>
      <c r="AA12" s="1778">
        <f>ROUND(SUMPRODUCT(PRODUCT(1+P12:P$29)),4)</f>
        <v>1.554</v>
      </c>
      <c r="AB12" s="1778">
        <f>ROUND(SUMPRODUCT(PRODUCT(1+Q12:Q$29)),4)</f>
        <v>1.3087</v>
      </c>
      <c r="AC12" s="1780"/>
      <c r="AD12" s="1779">
        <f>ROUND(AVERAGE(I12:I$30)/100,4)</f>
        <v>2.3099999999999999E-2</v>
      </c>
      <c r="AE12" s="1779">
        <f>ROUND(AVERAGE(J12:J$30)/100,4)</f>
        <v>1.61E-2</v>
      </c>
      <c r="AF12" s="1779">
        <f t="shared" ref="AF12" si="90">AE12</f>
        <v>1.61E-2</v>
      </c>
      <c r="AG12" s="1779">
        <f>ROUND(AVERAGE(K12:K$30)/100,4)</f>
        <v>2.53E-2</v>
      </c>
      <c r="AH12" s="1779">
        <f>ROUND(AVERAGE(L12:L$30)/100,4)</f>
        <v>1.4999999999999999E-2</v>
      </c>
    </row>
    <row r="13" spans="1:34" s="1464" customFormat="1" ht="14.45" customHeight="1">
      <c r="A13" s="1459" t="s">
        <v>3041</v>
      </c>
      <c r="B13" s="1475">
        <f t="shared" ref="B13" si="91">B14*(1+N13)</f>
        <v>453.11529869999993</v>
      </c>
      <c r="C13" s="1475">
        <f t="shared" ref="C13" si="92">C14*(1+O13)</f>
        <v>336.47787264000004</v>
      </c>
      <c r="D13" s="1475">
        <f t="shared" ref="D13" si="93">C13</f>
        <v>336.47787264000004</v>
      </c>
      <c r="E13" s="1475">
        <f t="shared" ref="E13" si="94">E14*(1+P13)</f>
        <v>647.35186823999993</v>
      </c>
      <c r="F13" s="1475">
        <f t="shared" ref="F13" si="95">F14*(1+Q13)</f>
        <v>295.73229452000004</v>
      </c>
      <c r="G13" s="3280"/>
      <c r="H13" s="1463">
        <v>2</v>
      </c>
      <c r="I13" s="1463">
        <v>1.49</v>
      </c>
      <c r="J13" s="1463">
        <v>0.96</v>
      </c>
      <c r="K13" s="1463">
        <v>1.58</v>
      </c>
      <c r="L13" s="1477">
        <v>2.44</v>
      </c>
      <c r="M13" s="1469"/>
      <c r="N13" s="1470">
        <f t="shared" ref="N13" si="96">I13/100</f>
        <v>1.49E-2</v>
      </c>
      <c r="O13" s="1471">
        <f t="shared" ref="O13" si="97">J13/100</f>
        <v>9.5999999999999992E-3</v>
      </c>
      <c r="P13" s="1471">
        <f t="shared" ref="P13" si="98">K13/100</f>
        <v>1.5800000000000002E-2</v>
      </c>
      <c r="Q13" s="1471">
        <f t="shared" ref="Q13" si="99">L13/100</f>
        <v>2.4399999999999998E-2</v>
      </c>
      <c r="R13" s="1472"/>
      <c r="S13" s="1470"/>
      <c r="T13" s="1471"/>
      <c r="U13" s="1471"/>
      <c r="V13" s="1471"/>
      <c r="W13" s="1780"/>
      <c r="X13" s="1778">
        <f>ROUND(SUMPRODUCT(PRODUCT(1+N13:N$29)),4)</f>
        <v>1.4733000000000001</v>
      </c>
      <c r="Y13" s="1778">
        <f>ROUND(SUMPRODUCT(PRODUCT(1+O13:O$29)),4)</f>
        <v>1.3052999999999999</v>
      </c>
      <c r="Z13" s="1778">
        <f t="shared" ref="Z13" si="100">Y13</f>
        <v>1.3052999999999999</v>
      </c>
      <c r="AA13" s="1778">
        <f>ROUND(SUMPRODUCT(PRODUCT(1+P13:P$29)),4)</f>
        <v>1.5306999999999999</v>
      </c>
      <c r="AB13" s="1778">
        <f>ROUND(SUMPRODUCT(PRODUCT(1+Q13:Q$29)),4)</f>
        <v>1.2863</v>
      </c>
      <c r="AC13" s="1780"/>
      <c r="AD13" s="1779">
        <f>ROUND(AVERAGE(I13:I$30)/100,4)</f>
        <v>2.35E-2</v>
      </c>
      <c r="AE13" s="1779">
        <f>ROUND(AVERAGE(J13:J$30)/100,4)</f>
        <v>1.6199999999999999E-2</v>
      </c>
      <c r="AF13" s="1779">
        <f t="shared" ref="AF13" si="101">AE13</f>
        <v>1.6199999999999999E-2</v>
      </c>
      <c r="AG13" s="1779">
        <f>ROUND(AVERAGE(K13:K$30)/100,4)</f>
        <v>2.5899999999999999E-2</v>
      </c>
      <c r="AH13" s="1779">
        <f>ROUND(AVERAGE(L13:L$30)/100,4)</f>
        <v>1.49E-2</v>
      </c>
    </row>
    <row r="14" spans="1:34" s="1464" customFormat="1" ht="15" customHeight="1" thickBot="1">
      <c r="A14" s="1459" t="s">
        <v>3034</v>
      </c>
      <c r="B14" s="1475">
        <f t="shared" ref="B14" si="102">B15*(1+N14)</f>
        <v>446.46299999999997</v>
      </c>
      <c r="C14" s="1475">
        <f t="shared" ref="C14" si="103">C15*(1+O14)</f>
        <v>333.27840000000003</v>
      </c>
      <c r="D14" s="1475">
        <f t="shared" ref="D14" si="104">C14</f>
        <v>333.27840000000003</v>
      </c>
      <c r="E14" s="1475">
        <f t="shared" ref="E14" si="105">E15*(1+P14)</f>
        <v>637.28279999999995</v>
      </c>
      <c r="F14" s="1475">
        <f t="shared" ref="F14" si="106">F15*(1+Q14)</f>
        <v>288.68830000000003</v>
      </c>
      <c r="G14" s="3289"/>
      <c r="H14" s="1462">
        <v>1</v>
      </c>
      <c r="I14" s="1462">
        <v>1.7</v>
      </c>
      <c r="J14" s="1462">
        <v>1.92</v>
      </c>
      <c r="K14" s="1462">
        <v>1.64</v>
      </c>
      <c r="L14" s="1476">
        <v>2.0099999999999998</v>
      </c>
      <c r="M14" s="1469"/>
      <c r="N14" s="1470">
        <f t="shared" ref="N14:N19" si="107">I14/100</f>
        <v>1.7000000000000001E-2</v>
      </c>
      <c r="O14" s="1471">
        <f t="shared" ref="O14" si="108">J14/100</f>
        <v>1.9199999999999998E-2</v>
      </c>
      <c r="P14" s="1471">
        <f t="shared" ref="P14" si="109">K14/100</f>
        <v>1.6399999999999998E-2</v>
      </c>
      <c r="Q14" s="1471">
        <f t="shared" ref="Q14" si="110">L14/100</f>
        <v>2.0099999999999996E-2</v>
      </c>
      <c r="R14" s="1472"/>
      <c r="S14" s="1470">
        <f>B14/B15-1</f>
        <v>1.6999999999999904E-2</v>
      </c>
      <c r="T14" s="1471">
        <f t="shared" ref="T14" si="111">C14/C15-1</f>
        <v>1.9200000000000106E-2</v>
      </c>
      <c r="U14" s="1471">
        <f t="shared" ref="U14" si="112">D14/D15-1</f>
        <v>1.9200000000000106E-2</v>
      </c>
      <c r="V14" s="1471">
        <f t="shared" ref="V14" si="113">E14/E15-1</f>
        <v>1.639999999999997E-2</v>
      </c>
      <c r="W14" s="1780"/>
      <c r="X14" s="1778">
        <f>ROUND(SUMPRODUCT(PRODUCT(1+N14:N$29)),4)</f>
        <v>1.4517</v>
      </c>
      <c r="Y14" s="1778">
        <f>ROUND(SUMPRODUCT(PRODUCT(1+O14:O$29)),4)</f>
        <v>1.2928999999999999</v>
      </c>
      <c r="Z14" s="1778">
        <f t="shared" ref="Z14" si="114">Y14</f>
        <v>1.2928999999999999</v>
      </c>
      <c r="AA14" s="1778">
        <f>ROUND(SUMPRODUCT(PRODUCT(1+P14:P$29)),4)</f>
        <v>1.5068999999999999</v>
      </c>
      <c r="AB14" s="1778">
        <f>ROUND(SUMPRODUCT(PRODUCT(1+Q14:Q$29)),4)</f>
        <v>1.2557</v>
      </c>
      <c r="AC14" s="1780"/>
      <c r="AD14" s="1779">
        <f>ROUND(AVERAGE(I14:I$30)/100,4)</f>
        <v>2.4E-2</v>
      </c>
      <c r="AE14" s="1779">
        <f>ROUND(AVERAGE(J14:J$30)/100,4)</f>
        <v>1.66E-2</v>
      </c>
      <c r="AF14" s="1779">
        <f t="shared" ref="AF14" si="115">AE14</f>
        <v>1.66E-2</v>
      </c>
      <c r="AG14" s="1779">
        <f>ROUND(AVERAGE(K14:K$30)/100,4)</f>
        <v>2.6499999999999999E-2</v>
      </c>
      <c r="AH14" s="1779">
        <f>ROUND(AVERAGE(L14:L$30)/100,4)</f>
        <v>1.43E-2</v>
      </c>
    </row>
    <row r="15" spans="1:34">
      <c r="A15" s="1459" t="s">
        <v>3031</v>
      </c>
      <c r="B15" s="1467">
        <v>439</v>
      </c>
      <c r="C15" s="1467">
        <v>327</v>
      </c>
      <c r="D15" s="1467">
        <f>C15</f>
        <v>327</v>
      </c>
      <c r="E15" s="1467">
        <v>627</v>
      </c>
      <c r="F15" s="1468">
        <v>283</v>
      </c>
      <c r="G15" s="3285">
        <v>2017</v>
      </c>
      <c r="H15" s="1460">
        <v>4</v>
      </c>
      <c r="I15" s="1460">
        <v>1.71</v>
      </c>
      <c r="J15" s="1460">
        <v>1.78</v>
      </c>
      <c r="K15" s="1460">
        <v>1.71</v>
      </c>
      <c r="L15" s="1461">
        <v>1.43</v>
      </c>
      <c r="N15" s="1470">
        <f t="shared" si="107"/>
        <v>1.7100000000000001E-2</v>
      </c>
      <c r="O15" s="1471">
        <f t="shared" ref="O15" si="116">J15/100</f>
        <v>1.78E-2</v>
      </c>
      <c r="P15" s="1471">
        <f t="shared" ref="P15" si="117">K15/100</f>
        <v>1.7100000000000001E-2</v>
      </c>
      <c r="Q15" s="1471">
        <f t="shared" ref="Q15" si="118">L15/100</f>
        <v>1.43E-2</v>
      </c>
      <c r="R15" s="1472"/>
      <c r="S15" s="1473"/>
      <c r="T15" s="1474"/>
      <c r="U15" s="1474"/>
      <c r="V15" s="1474"/>
      <c r="X15" s="1457">
        <f>ROUND(SUMPRODUCT(PRODUCT(1+N15:N$29)),4)</f>
        <v>1.4274</v>
      </c>
      <c r="Y15" s="1457">
        <f>ROUND(SUMPRODUCT(PRODUCT(1+O15:O$29)),4)</f>
        <v>1.2685</v>
      </c>
      <c r="Z15" s="1457">
        <f t="shared" si="0"/>
        <v>1.2685</v>
      </c>
      <c r="AA15" s="1457">
        <f>ROUND(SUMPRODUCT(PRODUCT(1+P15:P$29)),4)</f>
        <v>1.4825999999999999</v>
      </c>
      <c r="AB15" s="1457">
        <f>ROUND(SUMPRODUCT(PRODUCT(1+Q15:Q$29)),4)</f>
        <v>1.2309000000000001</v>
      </c>
      <c r="AD15" s="1458">
        <f>ROUND(AVERAGE(I15:I$30)/100,4)</f>
        <v>2.4500000000000001E-2</v>
      </c>
      <c r="AE15" s="1458">
        <f>ROUND(AVERAGE(J15:J$30)/100,4)</f>
        <v>1.6500000000000001E-2</v>
      </c>
      <c r="AF15" s="1458">
        <f t="shared" si="1"/>
        <v>1.6500000000000001E-2</v>
      </c>
      <c r="AG15" s="1458">
        <f>ROUND(AVERAGE(K15:K$30)/100,4)</f>
        <v>2.7099999999999999E-2</v>
      </c>
      <c r="AH15" s="1458">
        <f>ROUND(AVERAGE(L15:L$30)/100,4)</f>
        <v>1.3899999999999999E-2</v>
      </c>
    </row>
    <row r="16" spans="1:34" s="1464" customFormat="1" ht="14.45" customHeight="1">
      <c r="A16" s="1459" t="s">
        <v>3032</v>
      </c>
      <c r="B16" s="1475">
        <f t="shared" ref="B16:B17" si="119">B17*(1+N16)</f>
        <v>431.80730811680002</v>
      </c>
      <c r="C16" s="1475">
        <f t="shared" ref="C16:C17" si="120">C17*(1+O16)</f>
        <v>320.57880516480003</v>
      </c>
      <c r="D16" s="1475">
        <f t="shared" ref="D16:D17" si="121">C16</f>
        <v>320.57880516480003</v>
      </c>
      <c r="E16" s="1475">
        <f t="shared" ref="E16:E17" si="122">E17*(1+P16)</f>
        <v>615.96110553196797</v>
      </c>
      <c r="F16" s="1475">
        <f t="shared" ref="F16:F17" si="123">F17*(1+Q16)</f>
        <v>279.46777300108801</v>
      </c>
      <c r="G16" s="3280"/>
      <c r="H16" s="1462">
        <v>3</v>
      </c>
      <c r="I16" s="1462">
        <v>2.98</v>
      </c>
      <c r="J16" s="1462">
        <v>2.11</v>
      </c>
      <c r="K16" s="1462">
        <v>3.24</v>
      </c>
      <c r="L16" s="1476">
        <v>1.72</v>
      </c>
      <c r="M16" s="1469"/>
      <c r="N16" s="1470">
        <f t="shared" si="107"/>
        <v>2.98E-2</v>
      </c>
      <c r="O16" s="1471">
        <f t="shared" ref="O16" si="124">J16/100</f>
        <v>2.1099999999999997E-2</v>
      </c>
      <c r="P16" s="1471">
        <f t="shared" ref="P16" si="125">K16/100</f>
        <v>3.2400000000000005E-2</v>
      </c>
      <c r="Q16" s="1471">
        <f t="shared" ref="Q16" si="126">L16/100</f>
        <v>1.72E-2</v>
      </c>
      <c r="R16" s="1472"/>
      <c r="S16" s="1470"/>
      <c r="T16" s="1471"/>
      <c r="U16" s="1471"/>
      <c r="V16" s="1471"/>
      <c r="W16" s="1780"/>
      <c r="X16" s="1778">
        <f>ROUND(SUMPRODUCT(PRODUCT(1+N16:N$29)),4)</f>
        <v>1.4034</v>
      </c>
      <c r="Y16" s="1778">
        <f>ROUND(SUMPRODUCT(PRODUCT(1+O16:O$29)),4)</f>
        <v>1.2463</v>
      </c>
      <c r="Z16" s="1778">
        <f t="shared" si="0"/>
        <v>1.2463</v>
      </c>
      <c r="AA16" s="1778">
        <f>ROUND(SUMPRODUCT(PRODUCT(1+P16:P$29)),4)</f>
        <v>1.4577</v>
      </c>
      <c r="AB16" s="1778">
        <f>ROUND(SUMPRODUCT(PRODUCT(1+Q16:Q$29)),4)</f>
        <v>1.2136</v>
      </c>
      <c r="AC16" s="1780"/>
      <c r="AD16" s="1779">
        <f>ROUND(AVERAGE(I16:I$30)/100,4)</f>
        <v>2.4899999999999999E-2</v>
      </c>
      <c r="AE16" s="1779">
        <f>ROUND(AVERAGE(J16:J$30)/100,4)</f>
        <v>1.6400000000000001E-2</v>
      </c>
      <c r="AF16" s="1779">
        <f t="shared" si="1"/>
        <v>1.6400000000000001E-2</v>
      </c>
      <c r="AG16" s="1779">
        <f>ROUND(AVERAGE(K16:K$30)/100,4)</f>
        <v>2.7799999999999998E-2</v>
      </c>
      <c r="AH16" s="1779">
        <f>ROUND(AVERAGE(L16:L$30)/100,4)</f>
        <v>1.3899999999999999E-2</v>
      </c>
    </row>
    <row r="17" spans="1:34" s="1729" customFormat="1" ht="14.45" customHeight="1">
      <c r="A17" s="1459" t="s">
        <v>1380</v>
      </c>
      <c r="B17" s="1475">
        <f t="shared" si="119"/>
        <v>419.31181600000002</v>
      </c>
      <c r="C17" s="1475">
        <f t="shared" si="120"/>
        <v>313.95436800000004</v>
      </c>
      <c r="D17" s="1475">
        <f t="shared" si="121"/>
        <v>313.95436800000004</v>
      </c>
      <c r="E17" s="1475">
        <f t="shared" si="122"/>
        <v>596.63028431999999</v>
      </c>
      <c r="F17" s="1475">
        <f t="shared" si="123"/>
        <v>274.74220703999998</v>
      </c>
      <c r="G17" s="3280"/>
      <c r="H17" s="1463">
        <v>2</v>
      </c>
      <c r="I17" s="1463">
        <v>3.4</v>
      </c>
      <c r="J17" s="1463">
        <v>2</v>
      </c>
      <c r="K17" s="1463">
        <v>3.82</v>
      </c>
      <c r="L17" s="1477">
        <v>1.68</v>
      </c>
      <c r="M17" s="1469"/>
      <c r="N17" s="1470">
        <f t="shared" si="107"/>
        <v>3.4000000000000002E-2</v>
      </c>
      <c r="O17" s="1471">
        <f t="shared" ref="O17" si="127">J17/100</f>
        <v>0.02</v>
      </c>
      <c r="P17" s="1471">
        <f t="shared" ref="P17" si="128">K17/100</f>
        <v>3.8199999999999998E-2</v>
      </c>
      <c r="Q17" s="1471">
        <f t="shared" ref="Q17" si="129">L17/100</f>
        <v>1.6799999999999999E-2</v>
      </c>
      <c r="R17" s="1472"/>
      <c r="S17" s="1473"/>
      <c r="T17" s="1474"/>
      <c r="U17" s="1474"/>
      <c r="V17" s="1474"/>
      <c r="W17" s="1451"/>
      <c r="X17" s="1778">
        <f>ROUND(SUMPRODUCT(PRODUCT(1+N17:N$29)),4)</f>
        <v>1.3628</v>
      </c>
      <c r="Y17" s="1778">
        <f>ROUND(SUMPRODUCT(PRODUCT(1+O17:O$29)),4)</f>
        <v>1.2205999999999999</v>
      </c>
      <c r="Z17" s="1778">
        <f t="shared" si="0"/>
        <v>1.2205999999999999</v>
      </c>
      <c r="AA17" s="1778">
        <f>ROUND(SUMPRODUCT(PRODUCT(1+P17:P$29)),4)</f>
        <v>1.4118999999999999</v>
      </c>
      <c r="AB17" s="1778">
        <f>ROUND(SUMPRODUCT(PRODUCT(1+Q17:Q$29)),4)</f>
        <v>1.1930000000000001</v>
      </c>
      <c r="AC17" s="1451"/>
      <c r="AD17" s="1779">
        <f>ROUND(AVERAGE(I17:I$30)/100,4)</f>
        <v>2.46E-2</v>
      </c>
      <c r="AE17" s="1779">
        <f>ROUND(AVERAGE(J17:J$30)/100,4)</f>
        <v>1.6E-2</v>
      </c>
      <c r="AF17" s="1779">
        <f t="shared" si="1"/>
        <v>1.6E-2</v>
      </c>
      <c r="AG17" s="1779">
        <f>ROUND(AVERAGE(K17:K$30)/100,4)</f>
        <v>2.75E-2</v>
      </c>
      <c r="AH17" s="1779">
        <f>ROUND(AVERAGE(L17:L$30)/100,4)</f>
        <v>1.37E-2</v>
      </c>
    </row>
    <row r="18" spans="1:34" s="1464" customFormat="1" ht="15" customHeight="1" thickBot="1">
      <c r="A18" s="1459" t="s">
        <v>1156</v>
      </c>
      <c r="B18" s="1475">
        <f>B19*(1+N18)</f>
        <v>405.524</v>
      </c>
      <c r="C18" s="1475">
        <f>C19*(1+O18)</f>
        <v>307.79840000000002</v>
      </c>
      <c r="D18" s="1475">
        <f>C18</f>
        <v>307.79840000000002</v>
      </c>
      <c r="E18" s="1475">
        <f>E19*(1+P18)</f>
        <v>574.67759999999998</v>
      </c>
      <c r="F18" s="1475">
        <f>F19*(1+Q18)</f>
        <v>270.20280000000002</v>
      </c>
      <c r="G18" s="3289"/>
      <c r="H18" s="1462">
        <v>1</v>
      </c>
      <c r="I18" s="1462">
        <v>3.45</v>
      </c>
      <c r="J18" s="1462">
        <v>1.92</v>
      </c>
      <c r="K18" s="1462">
        <v>3.92</v>
      </c>
      <c r="L18" s="1476">
        <v>1.58</v>
      </c>
      <c r="M18" s="1469"/>
      <c r="N18" s="1470">
        <f t="shared" si="107"/>
        <v>3.4500000000000003E-2</v>
      </c>
      <c r="O18" s="1471">
        <f t="shared" ref="O18:Q33" si="130">J18/100</f>
        <v>1.9199999999999998E-2</v>
      </c>
      <c r="P18" s="1471">
        <f t="shared" si="130"/>
        <v>3.9199999999999999E-2</v>
      </c>
      <c r="Q18" s="1471">
        <f t="shared" si="130"/>
        <v>1.5800000000000002E-2</v>
      </c>
      <c r="R18" s="1472"/>
      <c r="S18" s="1470">
        <f>B18/B19-1</f>
        <v>3.4499999999999975E-2</v>
      </c>
      <c r="T18" s="1471">
        <f t="shared" ref="T18:V18" si="131">C18/C19-1</f>
        <v>1.9200000000000106E-2</v>
      </c>
      <c r="U18" s="1471">
        <f t="shared" si="131"/>
        <v>1.9200000000000106E-2</v>
      </c>
      <c r="V18" s="1471">
        <f t="shared" si="131"/>
        <v>3.9199999999999902E-2</v>
      </c>
      <c r="W18" s="1780"/>
      <c r="X18" s="1778">
        <f>ROUND(SUMPRODUCT(PRODUCT(1+N18:N$29)),4)</f>
        <v>1.3180000000000001</v>
      </c>
      <c r="Y18" s="1778">
        <f>ROUND(SUMPRODUCT(PRODUCT(1+O18:O$29)),4)</f>
        <v>1.1966000000000001</v>
      </c>
      <c r="Z18" s="1778">
        <f t="shared" si="0"/>
        <v>1.1966000000000001</v>
      </c>
      <c r="AA18" s="1778">
        <f>ROUND(SUMPRODUCT(PRODUCT(1+P18:P$29)),4)</f>
        <v>1.36</v>
      </c>
      <c r="AB18" s="1778">
        <f>ROUND(SUMPRODUCT(PRODUCT(1+Q18:Q$29)),4)</f>
        <v>1.1733</v>
      </c>
      <c r="AC18" s="1780"/>
      <c r="AD18" s="1779">
        <f>ROUND(AVERAGE(I18:I$30)/100,4)</f>
        <v>2.3900000000000001E-2</v>
      </c>
      <c r="AE18" s="1779">
        <f>ROUND(AVERAGE(J18:J$30)/100,4)</f>
        <v>1.5699999999999999E-2</v>
      </c>
      <c r="AF18" s="1779">
        <f t="shared" si="1"/>
        <v>1.5699999999999999E-2</v>
      </c>
      <c r="AG18" s="1779">
        <f>ROUND(AVERAGE(K18:K$30)/100,4)</f>
        <v>2.6599999999999999E-2</v>
      </c>
      <c r="AH18" s="1779">
        <f>ROUND(AVERAGE(L18:L$30)/100,4)</f>
        <v>1.34E-2</v>
      </c>
    </row>
    <row r="19" spans="1:34">
      <c r="A19" s="1459" t="s">
        <v>154</v>
      </c>
      <c r="B19" s="1467">
        <v>392</v>
      </c>
      <c r="C19" s="1467">
        <v>302</v>
      </c>
      <c r="D19" s="1467">
        <f>C19</f>
        <v>302</v>
      </c>
      <c r="E19" s="1467">
        <v>553</v>
      </c>
      <c r="F19" s="1468">
        <v>266</v>
      </c>
      <c r="G19" s="3285">
        <v>2016</v>
      </c>
      <c r="H19" s="1460">
        <v>4</v>
      </c>
      <c r="I19" s="1460">
        <v>4.5599999999999996</v>
      </c>
      <c r="J19" s="1460">
        <v>2.15</v>
      </c>
      <c r="K19" s="1460">
        <v>5.32</v>
      </c>
      <c r="L19" s="1461">
        <v>1.57</v>
      </c>
      <c r="N19" s="1470">
        <f t="shared" si="107"/>
        <v>4.5599999999999995E-2</v>
      </c>
      <c r="O19" s="1471">
        <f t="shared" si="130"/>
        <v>2.1499999999999998E-2</v>
      </c>
      <c r="P19" s="1471">
        <f t="shared" si="130"/>
        <v>5.3200000000000004E-2</v>
      </c>
      <c r="Q19" s="1471">
        <f t="shared" si="130"/>
        <v>1.5700000000000002E-2</v>
      </c>
      <c r="R19" s="1472"/>
      <c r="S19" s="1473"/>
      <c r="T19" s="1474"/>
      <c r="U19" s="1474"/>
      <c r="V19" s="1474"/>
      <c r="X19" s="1457">
        <f>ROUND(SUMPRODUCT(PRODUCT(1+N19:N$29)),4)</f>
        <v>1.274</v>
      </c>
      <c r="Y19" s="1457">
        <f>ROUND(SUMPRODUCT(PRODUCT(1+O19:O$29)),4)</f>
        <v>1.1740999999999999</v>
      </c>
      <c r="Z19" s="1457">
        <f t="shared" si="0"/>
        <v>1.1740999999999999</v>
      </c>
      <c r="AA19" s="1457">
        <f>ROUND(SUMPRODUCT(PRODUCT(1+P19:P$29)),4)</f>
        <v>1.3087</v>
      </c>
      <c r="AB19" s="1457">
        <f>ROUND(SUMPRODUCT(PRODUCT(1+Q19:Q$29)),4)</f>
        <v>1.1551</v>
      </c>
      <c r="AD19" s="1458">
        <f>ROUND(AVERAGE(I19:I$30)/100,4)</f>
        <v>2.3E-2</v>
      </c>
      <c r="AE19" s="1458">
        <f>ROUND(AVERAGE(J19:J$30)/100,4)</f>
        <v>1.55E-2</v>
      </c>
      <c r="AF19" s="1458">
        <f t="shared" si="1"/>
        <v>1.55E-2</v>
      </c>
      <c r="AG19" s="1458">
        <f>ROUND(AVERAGE(K19:K$30)/100,4)</f>
        <v>2.5600000000000001E-2</v>
      </c>
      <c r="AH19" s="1458">
        <f>ROUND(AVERAGE(L19:L$30)/100,4)</f>
        <v>1.32E-2</v>
      </c>
    </row>
    <row r="20" spans="1:34">
      <c r="A20" s="1459" t="s">
        <v>153</v>
      </c>
      <c r="B20" s="1475">
        <f t="shared" ref="B20:C22" si="132">B19/(1+N19)</f>
        <v>374.90436113236416</v>
      </c>
      <c r="C20" s="1475">
        <f t="shared" si="132"/>
        <v>295.64366128242779</v>
      </c>
      <c r="D20" s="1475">
        <f t="shared" ref="D20:D79" si="133">C20</f>
        <v>295.64366128242779</v>
      </c>
      <c r="E20" s="1475">
        <f t="shared" ref="E20:F22" si="134">E19/(1+P19)</f>
        <v>525.06646410938095</v>
      </c>
      <c r="F20" s="1475">
        <f t="shared" si="134"/>
        <v>261.88835286009646</v>
      </c>
      <c r="G20" s="3280"/>
      <c r="H20" s="1462">
        <v>3</v>
      </c>
      <c r="I20" s="1462">
        <v>4.12</v>
      </c>
      <c r="J20" s="1462">
        <v>2</v>
      </c>
      <c r="K20" s="1462">
        <v>4.79</v>
      </c>
      <c r="L20" s="1476">
        <v>1.97</v>
      </c>
      <c r="N20" s="1470">
        <f t="shared" ref="N20:Q54" si="135">I20/100</f>
        <v>4.1200000000000001E-2</v>
      </c>
      <c r="O20" s="1471">
        <f t="shared" si="130"/>
        <v>0.02</v>
      </c>
      <c r="P20" s="1471">
        <f t="shared" si="130"/>
        <v>4.7899999999999998E-2</v>
      </c>
      <c r="Q20" s="1471">
        <f t="shared" si="130"/>
        <v>1.9699999999999999E-2</v>
      </c>
      <c r="R20" s="1472"/>
      <c r="S20" s="1470"/>
      <c r="T20" s="1471"/>
      <c r="U20" s="1471"/>
      <c r="V20" s="1471"/>
      <c r="X20" s="1457">
        <f>ROUND(SUMPRODUCT(PRODUCT(1+N20:N$29)),4)</f>
        <v>1.2184999999999999</v>
      </c>
      <c r="Y20" s="1457">
        <f>ROUND(SUMPRODUCT(PRODUCT(1+O20:O$29)),4)</f>
        <v>1.1494</v>
      </c>
      <c r="Z20" s="1457">
        <f t="shared" si="0"/>
        <v>1.1494</v>
      </c>
      <c r="AA20" s="1457">
        <f>ROUND(SUMPRODUCT(PRODUCT(1+P20:P$29)),4)</f>
        <v>1.2425999999999999</v>
      </c>
      <c r="AB20" s="1457">
        <f>ROUND(SUMPRODUCT(PRODUCT(1+Q20:Q$29)),4)</f>
        <v>1.1372</v>
      </c>
      <c r="AD20" s="1458">
        <f>ROUND(AVERAGE(I20:I$30)/100,4)</f>
        <v>2.0899999999999998E-2</v>
      </c>
      <c r="AE20" s="1458">
        <f>ROUND(AVERAGE(J20:J$30)/100,4)</f>
        <v>1.49E-2</v>
      </c>
      <c r="AF20" s="1458">
        <f t="shared" si="1"/>
        <v>1.49E-2</v>
      </c>
      <c r="AG20" s="1458">
        <f>ROUND(AVERAGE(K20:K$30)/100,4)</f>
        <v>2.3099999999999999E-2</v>
      </c>
      <c r="AH20" s="1458">
        <f>ROUND(AVERAGE(L20:L$30)/100,4)</f>
        <v>1.2999999999999999E-2</v>
      </c>
    </row>
    <row r="21" spans="1:34">
      <c r="A21" s="1459" t="s">
        <v>143</v>
      </c>
      <c r="B21" s="1475">
        <f t="shared" si="132"/>
        <v>360.06949782209392</v>
      </c>
      <c r="C21" s="1475">
        <f t="shared" si="132"/>
        <v>289.84672674747821</v>
      </c>
      <c r="D21" s="1475">
        <f t="shared" si="133"/>
        <v>289.84672674747821</v>
      </c>
      <c r="E21" s="1475">
        <f t="shared" si="134"/>
        <v>501.06543001181495</v>
      </c>
      <c r="F21" s="1475">
        <f t="shared" si="134"/>
        <v>256.82882500744967</v>
      </c>
      <c r="G21" s="3280"/>
      <c r="H21" s="1463">
        <v>2</v>
      </c>
      <c r="I21" s="1463">
        <v>3.85</v>
      </c>
      <c r="J21" s="1463">
        <v>1.95</v>
      </c>
      <c r="K21" s="1463">
        <v>4.4800000000000004</v>
      </c>
      <c r="L21" s="1477">
        <v>1.41</v>
      </c>
      <c r="N21" s="1470">
        <f t="shared" si="135"/>
        <v>3.85E-2</v>
      </c>
      <c r="O21" s="1471">
        <f t="shared" si="130"/>
        <v>1.95E-2</v>
      </c>
      <c r="P21" s="1471">
        <f t="shared" si="130"/>
        <v>4.4800000000000006E-2</v>
      </c>
      <c r="Q21" s="1471">
        <f t="shared" si="130"/>
        <v>1.41E-2</v>
      </c>
      <c r="R21" s="1472"/>
      <c r="S21" s="1470"/>
      <c r="T21" s="1471"/>
      <c r="U21" s="1471"/>
      <c r="V21" s="1471"/>
      <c r="X21" s="1457">
        <f>ROUND(SUMPRODUCT(PRODUCT(1+N21:N$29)),4)</f>
        <v>1.1702999999999999</v>
      </c>
      <c r="Y21" s="1457">
        <f>ROUND(SUMPRODUCT(PRODUCT(1+O21:O$29)),4)</f>
        <v>1.1269</v>
      </c>
      <c r="Z21" s="1457">
        <f t="shared" si="0"/>
        <v>1.1269</v>
      </c>
      <c r="AA21" s="1457">
        <f>ROUND(SUMPRODUCT(PRODUCT(1+P21:P$29)),4)</f>
        <v>1.1858</v>
      </c>
      <c r="AB21" s="1457">
        <f>ROUND(SUMPRODUCT(PRODUCT(1+Q21:Q$29)),4)</f>
        <v>1.1152</v>
      </c>
      <c r="AD21" s="1458">
        <f>ROUND(AVERAGE(I21:I$30)/100,4)</f>
        <v>1.89E-2</v>
      </c>
      <c r="AE21" s="1458">
        <f>ROUND(AVERAGE(J21:J$30)/100,4)</f>
        <v>1.44E-2</v>
      </c>
      <c r="AF21" s="1458">
        <f t="shared" si="1"/>
        <v>1.44E-2</v>
      </c>
      <c r="AG21" s="1458">
        <f>ROUND(AVERAGE(K21:K$30)/100,4)</f>
        <v>2.06E-2</v>
      </c>
      <c r="AH21" s="1458">
        <f>ROUND(AVERAGE(L21:L$30)/100,4)</f>
        <v>1.23E-2</v>
      </c>
    </row>
    <row r="22" spans="1:34" ht="13.5" thickBot="1">
      <c r="A22" s="1459" t="s">
        <v>152</v>
      </c>
      <c r="B22" s="1475">
        <f t="shared" si="132"/>
        <v>346.720748986128</v>
      </c>
      <c r="C22" s="1475">
        <f t="shared" si="132"/>
        <v>284.30282172386285</v>
      </c>
      <c r="D22" s="1475">
        <f t="shared" si="133"/>
        <v>284.30282172386285</v>
      </c>
      <c r="E22" s="1475">
        <f t="shared" si="134"/>
        <v>479.58023546306947</v>
      </c>
      <c r="F22" s="1475">
        <f t="shared" si="134"/>
        <v>253.25788877571213</v>
      </c>
      <c r="G22" s="3281"/>
      <c r="H22" s="1462">
        <v>1</v>
      </c>
      <c r="I22" s="1462">
        <v>4.09</v>
      </c>
      <c r="J22" s="1462">
        <v>2.93</v>
      </c>
      <c r="K22" s="1462">
        <v>4.54</v>
      </c>
      <c r="L22" s="1476">
        <v>1.48</v>
      </c>
      <c r="N22" s="1470">
        <f t="shared" si="135"/>
        <v>4.0899999999999999E-2</v>
      </c>
      <c r="O22" s="1471">
        <f t="shared" si="130"/>
        <v>2.9300000000000003E-2</v>
      </c>
      <c r="P22" s="1471">
        <f t="shared" si="130"/>
        <v>4.5400000000000003E-2</v>
      </c>
      <c r="Q22" s="1471">
        <f t="shared" si="130"/>
        <v>1.4800000000000001E-2</v>
      </c>
      <c r="R22" s="1472"/>
      <c r="S22" s="1478">
        <f>B22/B23-1</f>
        <v>4.1203450408792808E-2</v>
      </c>
      <c r="T22" s="1479">
        <f>C22/C23-1</f>
        <v>2.6363977342465095E-2</v>
      </c>
      <c r="U22" s="1479">
        <f>E22/E23-1</f>
        <v>4.4837114298626357E-2</v>
      </c>
      <c r="V22" s="1479">
        <f>F22/F23-1</f>
        <v>1.7099954922538574E-2</v>
      </c>
      <c r="X22" s="1457">
        <f>ROUND(SUMPRODUCT(PRODUCT(1+N22:N$29)),4)</f>
        <v>1.1269</v>
      </c>
      <c r="Y22" s="1457">
        <f>ROUND(SUMPRODUCT(PRODUCT(1+O22:O$29)),4)</f>
        <v>1.1052999999999999</v>
      </c>
      <c r="Z22" s="1457">
        <f t="shared" si="0"/>
        <v>1.1052999999999999</v>
      </c>
      <c r="AA22" s="1457">
        <f>ROUND(SUMPRODUCT(PRODUCT(1+P22:P$29)),4)</f>
        <v>1.1349</v>
      </c>
      <c r="AB22" s="1457">
        <f>ROUND(SUMPRODUCT(PRODUCT(1+Q22:Q$29)),4)</f>
        <v>1.0996999999999999</v>
      </c>
      <c r="AD22" s="1458">
        <f>ROUND(AVERAGE(I22:I$30)/100,4)</f>
        <v>1.67E-2</v>
      </c>
      <c r="AE22" s="1458">
        <f>ROUND(AVERAGE(J22:J$30)/100,4)</f>
        <v>1.38E-2</v>
      </c>
      <c r="AF22" s="1458">
        <f t="shared" si="1"/>
        <v>1.38E-2</v>
      </c>
      <c r="AG22" s="1458">
        <f>ROUND(AVERAGE(K22:K$30)/100,4)</f>
        <v>1.7899999999999999E-2</v>
      </c>
      <c r="AH22" s="1458">
        <f>ROUND(AVERAGE(L22:L$30)/100,4)</f>
        <v>1.21E-2</v>
      </c>
    </row>
    <row r="23" spans="1:34" ht="13.5" thickBot="1">
      <c r="A23" s="1459" t="s">
        <v>151</v>
      </c>
      <c r="B23" s="1467">
        <v>333</v>
      </c>
      <c r="C23" s="1467">
        <v>277</v>
      </c>
      <c r="D23" s="1467">
        <f t="shared" si="133"/>
        <v>277</v>
      </c>
      <c r="E23" s="1467">
        <v>459</v>
      </c>
      <c r="F23" s="1468">
        <v>249</v>
      </c>
      <c r="G23" s="3279">
        <v>2015</v>
      </c>
      <c r="H23" s="1480">
        <v>4</v>
      </c>
      <c r="I23" s="1480">
        <v>1.63</v>
      </c>
      <c r="J23" s="1480">
        <v>1.1100000000000001</v>
      </c>
      <c r="K23" s="1480">
        <v>1.77</v>
      </c>
      <c r="L23" s="1481">
        <v>1.89</v>
      </c>
      <c r="N23" s="1482">
        <f t="shared" si="135"/>
        <v>1.6299999999999999E-2</v>
      </c>
      <c r="O23" s="1483">
        <f t="shared" si="130"/>
        <v>1.11E-2</v>
      </c>
      <c r="P23" s="1483">
        <f t="shared" si="130"/>
        <v>1.77E-2</v>
      </c>
      <c r="Q23" s="1483">
        <f t="shared" si="130"/>
        <v>1.89E-2</v>
      </c>
      <c r="R23" s="1472"/>
      <c r="X23" s="1457">
        <f>ROUND(SUMPRODUCT(PRODUCT(1+N23:N$29)),4)</f>
        <v>1.0826</v>
      </c>
      <c r="Y23" s="1457">
        <f>ROUND(SUMPRODUCT(PRODUCT(1+O23:O$29)),4)</f>
        <v>1.0738000000000001</v>
      </c>
      <c r="Z23" s="1457">
        <f t="shared" si="0"/>
        <v>1.0738000000000001</v>
      </c>
      <c r="AA23" s="1457">
        <f>ROUND(SUMPRODUCT(PRODUCT(1+P23:P$29)),4)</f>
        <v>1.0855999999999999</v>
      </c>
      <c r="AB23" s="1457">
        <f>ROUND(SUMPRODUCT(PRODUCT(1+Q23:Q$29)),4)</f>
        <v>1.0837000000000001</v>
      </c>
      <c r="AD23" s="1458">
        <f>ROUND(AVERAGE(I23:I$30)/100,4)</f>
        <v>1.37E-2</v>
      </c>
      <c r="AE23" s="1458">
        <f>ROUND(AVERAGE(J23:J$30)/100,4)</f>
        <v>1.1900000000000001E-2</v>
      </c>
      <c r="AF23" s="1458">
        <f t="shared" si="1"/>
        <v>1.1900000000000001E-2</v>
      </c>
      <c r="AG23" s="1458">
        <f>ROUND(AVERAGE(K23:K$30)/100,4)</f>
        <v>1.4500000000000001E-2</v>
      </c>
      <c r="AH23" s="1458">
        <f>ROUND(AVERAGE(L23:L$30)/100,4)</f>
        <v>1.18E-2</v>
      </c>
    </row>
    <row r="24" spans="1:34">
      <c r="A24" s="1459" t="s">
        <v>150</v>
      </c>
      <c r="B24" s="1475">
        <f t="shared" ref="B24:C26" si="136">B23/(1+N23)</f>
        <v>327.65915576109415</v>
      </c>
      <c r="C24" s="1475">
        <f t="shared" si="136"/>
        <v>273.95905449510434</v>
      </c>
      <c r="D24" s="1475">
        <f t="shared" si="133"/>
        <v>273.95905449510434</v>
      </c>
      <c r="E24" s="1475">
        <f t="shared" ref="E24:F26" si="137">E23/(1+P23)</f>
        <v>451.01699911565294</v>
      </c>
      <c r="F24" s="1475">
        <f t="shared" si="137"/>
        <v>244.38119540681129</v>
      </c>
      <c r="G24" s="3280"/>
      <c r="H24" s="1485">
        <v>3</v>
      </c>
      <c r="I24" s="1485">
        <v>1.65</v>
      </c>
      <c r="J24" s="1485">
        <v>0.92</v>
      </c>
      <c r="K24" s="1485">
        <v>1.88</v>
      </c>
      <c r="L24" s="1486">
        <v>1.26</v>
      </c>
      <c r="N24" s="1470">
        <f t="shared" si="135"/>
        <v>1.6500000000000001E-2</v>
      </c>
      <c r="O24" s="1487">
        <f t="shared" si="130"/>
        <v>9.1999999999999998E-3</v>
      </c>
      <c r="P24" s="1487">
        <f t="shared" si="130"/>
        <v>1.8799999999999997E-2</v>
      </c>
      <c r="Q24" s="1487">
        <f t="shared" si="130"/>
        <v>1.26E-2</v>
      </c>
      <c r="R24" s="1472"/>
      <c r="S24" s="1470"/>
      <c r="T24" s="1471"/>
      <c r="U24" s="1471"/>
      <c r="V24" s="1471"/>
      <c r="X24" s="1457">
        <f>ROUND(SUMPRODUCT(PRODUCT(1+N24:N$29)),4)</f>
        <v>1.0651999999999999</v>
      </c>
      <c r="Y24" s="1457">
        <f>ROUND(SUMPRODUCT(PRODUCT(1+O24:O$29)),4)</f>
        <v>1.0621</v>
      </c>
      <c r="Z24" s="1457">
        <f t="shared" si="0"/>
        <v>1.0621</v>
      </c>
      <c r="AA24" s="1457">
        <f>ROUND(SUMPRODUCT(PRODUCT(1+P24:P$29)),4)</f>
        <v>1.0668</v>
      </c>
      <c r="AB24" s="1457">
        <f>ROUND(SUMPRODUCT(PRODUCT(1+Q24:Q$29)),4)</f>
        <v>1.0636000000000001</v>
      </c>
      <c r="AD24" s="1458">
        <f>ROUND(AVERAGE(I24:I$30)/100,4)</f>
        <v>1.3299999999999999E-2</v>
      </c>
      <c r="AE24" s="1458">
        <f>ROUND(AVERAGE(J24:J$30)/100,4)</f>
        <v>1.2E-2</v>
      </c>
      <c r="AF24" s="1458">
        <f t="shared" si="1"/>
        <v>1.2E-2</v>
      </c>
      <c r="AG24" s="1458">
        <f>ROUND(AVERAGE(K24:K$30)/100,4)</f>
        <v>1.4E-2</v>
      </c>
      <c r="AH24" s="1458">
        <f>ROUND(AVERAGE(L24:L$30)/100,4)</f>
        <v>1.0800000000000001E-2</v>
      </c>
    </row>
    <row r="25" spans="1:34">
      <c r="A25" s="1459" t="s">
        <v>149</v>
      </c>
      <c r="B25" s="1475">
        <f t="shared" si="136"/>
        <v>322.34053690220776</v>
      </c>
      <c r="C25" s="1475">
        <f t="shared" si="136"/>
        <v>271.46160770422546</v>
      </c>
      <c r="D25" s="1475">
        <f t="shared" si="133"/>
        <v>271.46160770422546</v>
      </c>
      <c r="E25" s="1475">
        <f t="shared" si="137"/>
        <v>442.69434542172456</v>
      </c>
      <c r="F25" s="1475">
        <f t="shared" si="137"/>
        <v>241.34030753190925</v>
      </c>
      <c r="G25" s="3280"/>
      <c r="H25" s="1463">
        <v>2</v>
      </c>
      <c r="I25" s="1463">
        <v>0.77</v>
      </c>
      <c r="J25" s="1463">
        <v>0.69</v>
      </c>
      <c r="K25" s="1463">
        <v>0.8</v>
      </c>
      <c r="L25" s="1477">
        <v>0.88</v>
      </c>
      <c r="N25" s="1470">
        <f t="shared" si="135"/>
        <v>7.7000000000000002E-3</v>
      </c>
      <c r="O25" s="1487">
        <f t="shared" si="130"/>
        <v>6.8999999999999999E-3</v>
      </c>
      <c r="P25" s="1487">
        <f t="shared" si="130"/>
        <v>8.0000000000000002E-3</v>
      </c>
      <c r="Q25" s="1487">
        <f t="shared" si="130"/>
        <v>8.8000000000000005E-3</v>
      </c>
      <c r="R25" s="1472"/>
      <c r="S25" s="1470"/>
      <c r="T25" s="1471"/>
      <c r="U25" s="1471"/>
      <c r="V25" s="1471"/>
      <c r="X25" s="1457">
        <f>ROUND(SUMPRODUCT(PRODUCT(1+N25:N$29)),4)</f>
        <v>1.048</v>
      </c>
      <c r="Y25" s="1457">
        <f>ROUND(SUMPRODUCT(PRODUCT(1+O25:O$29)),4)</f>
        <v>1.0524</v>
      </c>
      <c r="Z25" s="1457">
        <f t="shared" si="0"/>
        <v>1.0524</v>
      </c>
      <c r="AA25" s="1457">
        <f>ROUND(SUMPRODUCT(PRODUCT(1+P25:P$29)),4)</f>
        <v>1.0470999999999999</v>
      </c>
      <c r="AB25" s="1457">
        <f>ROUND(SUMPRODUCT(PRODUCT(1+Q25:Q$29)),4)</f>
        <v>1.0504</v>
      </c>
      <c r="AD25" s="1458">
        <f>ROUND(AVERAGE(I25:I$30)/100,4)</f>
        <v>1.2800000000000001E-2</v>
      </c>
      <c r="AE25" s="1458">
        <f>ROUND(AVERAGE(J25:J$30)/100,4)</f>
        <v>1.2500000000000001E-2</v>
      </c>
      <c r="AF25" s="1458">
        <f t="shared" si="1"/>
        <v>1.2500000000000001E-2</v>
      </c>
      <c r="AG25" s="1458">
        <f>ROUND(AVERAGE(K25:K$30)/100,4)</f>
        <v>1.32E-2</v>
      </c>
      <c r="AH25" s="1458">
        <f>ROUND(AVERAGE(L25:L$30)/100,4)</f>
        <v>1.0500000000000001E-2</v>
      </c>
    </row>
    <row r="26" spans="1:34">
      <c r="A26" s="1459" t="s">
        <v>148</v>
      </c>
      <c r="B26" s="1475">
        <f t="shared" si="136"/>
        <v>319.87748030386797</v>
      </c>
      <c r="C26" s="1475">
        <f t="shared" si="136"/>
        <v>269.60135833173649</v>
      </c>
      <c r="D26" s="1475">
        <f t="shared" si="133"/>
        <v>269.60135833173649</v>
      </c>
      <c r="E26" s="1475">
        <f t="shared" si="137"/>
        <v>439.18089823583784</v>
      </c>
      <c r="F26" s="1475">
        <f t="shared" si="137"/>
        <v>239.23503918706311</v>
      </c>
      <c r="G26" s="3281"/>
      <c r="H26" s="1462">
        <v>1</v>
      </c>
      <c r="I26" s="1462">
        <v>0.51</v>
      </c>
      <c r="J26" s="1462">
        <v>0.54</v>
      </c>
      <c r="K26" s="1462">
        <v>0.48</v>
      </c>
      <c r="L26" s="1476">
        <v>0.93</v>
      </c>
      <c r="N26" s="1478">
        <f t="shared" si="135"/>
        <v>5.1000000000000004E-3</v>
      </c>
      <c r="O26" s="1479">
        <f t="shared" si="130"/>
        <v>5.4000000000000003E-3</v>
      </c>
      <c r="P26" s="1479">
        <f t="shared" si="130"/>
        <v>4.7999999999999996E-3</v>
      </c>
      <c r="Q26" s="1479">
        <f t="shared" si="130"/>
        <v>9.300000000000001E-3</v>
      </c>
      <c r="R26" s="1472"/>
      <c r="S26" s="1478">
        <f>B26/B27-1</f>
        <v>5.9040261127922822E-3</v>
      </c>
      <c r="T26" s="1479">
        <f>C26/C27-1</f>
        <v>5.9752176557332781E-3</v>
      </c>
      <c r="U26" s="1479">
        <f>E26/E27-1</f>
        <v>4.9906138119859556E-3</v>
      </c>
      <c r="V26" s="1479">
        <f>F26/F27-1</f>
        <v>9.4305450930933787E-3</v>
      </c>
      <c r="X26" s="1457">
        <f>ROUND(SUMPRODUCT(PRODUCT(1+N26:N$29)),4)</f>
        <v>1.0399</v>
      </c>
      <c r="Y26" s="1457">
        <f>ROUND(SUMPRODUCT(PRODUCT(1+O26:O$29)),4)</f>
        <v>1.0451999999999999</v>
      </c>
      <c r="Z26" s="1457">
        <f t="shared" si="0"/>
        <v>1.0451999999999999</v>
      </c>
      <c r="AA26" s="1457">
        <f>ROUND(SUMPRODUCT(PRODUCT(1+P26:P$29)),4)</f>
        <v>1.0387999999999999</v>
      </c>
      <c r="AB26" s="1457">
        <f>ROUND(SUMPRODUCT(PRODUCT(1+Q26:Q$29)),4)</f>
        <v>1.0411999999999999</v>
      </c>
      <c r="AD26" s="1458">
        <f>ROUND(AVERAGE(I26:I$30)/100,4)</f>
        <v>1.38E-2</v>
      </c>
      <c r="AE26" s="1458">
        <f>ROUND(AVERAGE(J26:J$30)/100,4)</f>
        <v>1.3599999999999999E-2</v>
      </c>
      <c r="AF26" s="1458">
        <f t="shared" si="1"/>
        <v>1.3599999999999999E-2</v>
      </c>
      <c r="AG26" s="1458">
        <f>ROUND(AVERAGE(K26:K$30)/100,4)</f>
        <v>1.4200000000000001E-2</v>
      </c>
      <c r="AH26" s="1458">
        <f>ROUND(AVERAGE(L26:L$30)/100,4)</f>
        <v>1.0800000000000001E-2</v>
      </c>
    </row>
    <row r="27" spans="1:34" ht="13.5" thickBot="1">
      <c r="A27" s="1459" t="s">
        <v>147</v>
      </c>
      <c r="B27" s="1488">
        <v>318</v>
      </c>
      <c r="C27" s="1488">
        <v>268</v>
      </c>
      <c r="D27" s="1488">
        <f t="shared" si="133"/>
        <v>268</v>
      </c>
      <c r="E27" s="1488">
        <v>437</v>
      </c>
      <c r="F27" s="1489">
        <v>237</v>
      </c>
      <c r="G27" s="3279">
        <v>2014</v>
      </c>
      <c r="H27" s="1480">
        <v>4</v>
      </c>
      <c r="I27" s="1480">
        <v>0.21</v>
      </c>
      <c r="J27" s="1480">
        <v>0.41</v>
      </c>
      <c r="K27" s="1480">
        <v>0.12</v>
      </c>
      <c r="L27" s="1481">
        <v>0.89</v>
      </c>
      <c r="N27" s="1470">
        <f t="shared" si="135"/>
        <v>2.0999999999999999E-3</v>
      </c>
      <c r="O27" s="1471">
        <f t="shared" si="130"/>
        <v>4.0999999999999995E-3</v>
      </c>
      <c r="P27" s="1471">
        <f t="shared" si="130"/>
        <v>1.1999999999999999E-3</v>
      </c>
      <c r="Q27" s="1471">
        <f t="shared" si="130"/>
        <v>8.8999999999999999E-3</v>
      </c>
      <c r="R27" s="1472"/>
      <c r="S27" s="1473"/>
      <c r="T27" s="1474"/>
      <c r="U27" s="1474"/>
      <c r="V27" s="1474"/>
      <c r="X27" s="1457">
        <f>ROUND(SUMPRODUCT(PRODUCT(1+N27:N$29)),4)</f>
        <v>1.0347</v>
      </c>
      <c r="Y27" s="1457">
        <f>ROUND(SUMPRODUCT(PRODUCT(1+O27:O$29)),4)</f>
        <v>1.0395000000000001</v>
      </c>
      <c r="Z27" s="1457">
        <f t="shared" si="0"/>
        <v>1.0395000000000001</v>
      </c>
      <c r="AA27" s="1457">
        <f>ROUND(SUMPRODUCT(PRODUCT(1+P27:P$29)),4)</f>
        <v>1.0338000000000001</v>
      </c>
      <c r="AB27" s="1457">
        <f>ROUND(SUMPRODUCT(PRODUCT(1+Q27:Q$29)),4)</f>
        <v>1.0316000000000001</v>
      </c>
      <c r="AD27" s="1458">
        <f>ROUND(AVERAGE(I27:I$30)/100,4)</f>
        <v>1.6E-2</v>
      </c>
      <c r="AE27" s="1458">
        <f>ROUND(AVERAGE(J27:J$30)/100,4)</f>
        <v>1.5599999999999999E-2</v>
      </c>
      <c r="AF27" s="1458">
        <f t="shared" si="1"/>
        <v>1.5599999999999999E-2</v>
      </c>
      <c r="AG27" s="1458">
        <f>ROUND(AVERAGE(K27:K$30)/100,4)</f>
        <v>1.66E-2</v>
      </c>
      <c r="AH27" s="1458">
        <f>ROUND(AVERAGE(L27:L$30)/100,4)</f>
        <v>1.12E-2</v>
      </c>
    </row>
    <row r="28" spans="1:34">
      <c r="A28" s="1459" t="s">
        <v>146</v>
      </c>
      <c r="B28" s="1475">
        <f t="shared" ref="B28:C30" si="138">B27/(1+N27)</f>
        <v>317.33359944117353</v>
      </c>
      <c r="C28" s="1475">
        <f t="shared" si="138"/>
        <v>266.90568668459315</v>
      </c>
      <c r="D28" s="1475">
        <f t="shared" si="133"/>
        <v>266.90568668459315</v>
      </c>
      <c r="E28" s="1475">
        <f t="shared" ref="E28:F30" si="139">E27/(1+P27)</f>
        <v>436.47622852576905</v>
      </c>
      <c r="F28" s="1475">
        <f t="shared" si="139"/>
        <v>234.90930716622066</v>
      </c>
      <c r="G28" s="3280"/>
      <c r="H28" s="1490">
        <v>3</v>
      </c>
      <c r="I28" s="1490">
        <v>0.83</v>
      </c>
      <c r="J28" s="1490">
        <v>1.47</v>
      </c>
      <c r="K28" s="1490">
        <v>0.65</v>
      </c>
      <c r="L28" s="1491">
        <v>0.72</v>
      </c>
      <c r="N28" s="1470">
        <f t="shared" si="135"/>
        <v>8.3000000000000001E-3</v>
      </c>
      <c r="O28" s="1471">
        <f t="shared" si="130"/>
        <v>1.47E-2</v>
      </c>
      <c r="P28" s="1471">
        <f t="shared" si="130"/>
        <v>6.5000000000000006E-3</v>
      </c>
      <c r="Q28" s="1471">
        <f t="shared" si="130"/>
        <v>7.1999999999999998E-3</v>
      </c>
      <c r="R28" s="1472"/>
      <c r="S28" s="1470"/>
      <c r="T28" s="1471"/>
      <c r="U28" s="1471"/>
      <c r="V28" s="1471"/>
      <c r="X28" s="1457">
        <f>ROUND(SUMPRODUCT(PRODUCT(1+N28:N$29)),4)</f>
        <v>1.0325</v>
      </c>
      <c r="Y28" s="1457">
        <f>ROUND(SUMPRODUCT(PRODUCT(1+O28:O$29)),4)</f>
        <v>1.0353000000000001</v>
      </c>
      <c r="Z28" s="1457">
        <f t="shared" ref="Z28:Z29" si="140">Y28</f>
        <v>1.0353000000000001</v>
      </c>
      <c r="AA28" s="1457">
        <f>ROUND(SUMPRODUCT(PRODUCT(1+P28:P$29)),4)</f>
        <v>1.0326</v>
      </c>
      <c r="AB28" s="1457">
        <f>ROUND(SUMPRODUCT(PRODUCT(1+Q28:Q$29)),4)</f>
        <v>1.0225</v>
      </c>
      <c r="AD28" s="1458">
        <f>ROUND(AVERAGE(I28:I$30)/100,4)</f>
        <v>2.07E-2</v>
      </c>
      <c r="AE28" s="1458">
        <f>ROUND(AVERAGE(J28:J$30)/100,4)</f>
        <v>1.95E-2</v>
      </c>
      <c r="AF28" s="1458">
        <f t="shared" si="1"/>
        <v>1.95E-2</v>
      </c>
      <c r="AG28" s="1458">
        <f>ROUND(AVERAGE(K28:K$30)/100,4)</f>
        <v>2.1700000000000001E-2</v>
      </c>
      <c r="AH28" s="1458">
        <f>ROUND(AVERAGE(L28:L$30)/100,4)</f>
        <v>1.2E-2</v>
      </c>
    </row>
    <row r="29" spans="1:34" ht="13.5" thickBot="1">
      <c r="A29" s="1459" t="s">
        <v>145</v>
      </c>
      <c r="B29" s="1475">
        <f t="shared" si="138"/>
        <v>314.72141172386546</v>
      </c>
      <c r="C29" s="1475">
        <f t="shared" si="138"/>
        <v>263.03901319069001</v>
      </c>
      <c r="D29" s="1475">
        <f t="shared" si="133"/>
        <v>263.03901319069001</v>
      </c>
      <c r="E29" s="1475">
        <f t="shared" si="139"/>
        <v>433.65745506782821</v>
      </c>
      <c r="F29" s="1475">
        <f t="shared" si="139"/>
        <v>233.23005080045735</v>
      </c>
      <c r="G29" s="3280"/>
      <c r="H29" s="1480">
        <v>2</v>
      </c>
      <c r="I29" s="1480">
        <v>2.4</v>
      </c>
      <c r="J29" s="1480">
        <v>2.0299999999999998</v>
      </c>
      <c r="K29" s="1480">
        <v>2.59</v>
      </c>
      <c r="L29" s="1481">
        <v>1.52</v>
      </c>
      <c r="N29" s="1470">
        <f t="shared" si="135"/>
        <v>2.4E-2</v>
      </c>
      <c r="O29" s="1471">
        <f t="shared" si="130"/>
        <v>2.0299999999999999E-2</v>
      </c>
      <c r="P29" s="1471">
        <f t="shared" si="130"/>
        <v>2.5899999999999999E-2</v>
      </c>
      <c r="Q29" s="1471">
        <f t="shared" si="130"/>
        <v>1.52E-2</v>
      </c>
      <c r="R29" s="1472"/>
      <c r="S29" s="1470"/>
      <c r="T29" s="1471"/>
      <c r="U29" s="1471"/>
      <c r="V29" s="1471"/>
      <c r="X29" s="1457">
        <f>1+N29</f>
        <v>1.024</v>
      </c>
      <c r="Y29" s="1457">
        <f>1+O29</f>
        <v>1.0203</v>
      </c>
      <c r="Z29" s="1457">
        <f t="shared" si="140"/>
        <v>1.0203</v>
      </c>
      <c r="AA29" s="1457">
        <f>1+P29</f>
        <v>1.0259</v>
      </c>
      <c r="AB29" s="1457">
        <f>1+Q29</f>
        <v>1.0152000000000001</v>
      </c>
      <c r="AD29" s="1458">
        <f>ROUND(AVERAGE(I29:I$30)/100,4)</f>
        <v>2.69E-2</v>
      </c>
      <c r="AE29" s="1458">
        <f>ROUND(AVERAGE(J29:J$30)/100,4)</f>
        <v>2.1899999999999999E-2</v>
      </c>
      <c r="AF29" s="1458">
        <f t="shared" ref="AF29" si="141">AE29</f>
        <v>2.1899999999999999E-2</v>
      </c>
      <c r="AG29" s="1458">
        <f>ROUND(AVERAGE(K29:K$30)/100,4)</f>
        <v>2.9399999999999999E-2</v>
      </c>
      <c r="AH29" s="1458">
        <f>ROUND(AVERAGE(L29:L$30)/100,4)</f>
        <v>1.44E-2</v>
      </c>
    </row>
    <row r="30" spans="1:34" s="1496" customFormat="1" ht="13.5" thickBot="1">
      <c r="A30" s="1492" t="s">
        <v>144</v>
      </c>
      <c r="B30" s="1493">
        <f t="shared" si="138"/>
        <v>307.34512863658733</v>
      </c>
      <c r="C30" s="1493">
        <f t="shared" si="138"/>
        <v>257.80556031626975</v>
      </c>
      <c r="D30" s="1493">
        <f t="shared" si="133"/>
        <v>257.80556031626975</v>
      </c>
      <c r="E30" s="1493">
        <f t="shared" si="139"/>
        <v>422.70928459677179</v>
      </c>
      <c r="F30" s="1493">
        <f t="shared" si="139"/>
        <v>229.73803270336617</v>
      </c>
      <c r="G30" s="3281"/>
      <c r="H30" s="1494">
        <v>1</v>
      </c>
      <c r="I30" s="1494">
        <v>2.97</v>
      </c>
      <c r="J30" s="1494">
        <v>2.34</v>
      </c>
      <c r="K30" s="1494">
        <v>3.28</v>
      </c>
      <c r="L30" s="1495">
        <v>1.36</v>
      </c>
      <c r="N30" s="1497">
        <f t="shared" si="135"/>
        <v>2.9700000000000001E-2</v>
      </c>
      <c r="O30" s="1498">
        <f t="shared" si="130"/>
        <v>2.3399999999999997E-2</v>
      </c>
      <c r="P30" s="1498">
        <f t="shared" si="130"/>
        <v>3.2799999999999996E-2</v>
      </c>
      <c r="Q30" s="1498">
        <f t="shared" si="130"/>
        <v>1.3600000000000001E-2</v>
      </c>
      <c r="R30" s="1499"/>
      <c r="S30" s="1500">
        <f>B30/B31-1</f>
        <v>2.7910129219355539E-2</v>
      </c>
      <c r="T30" s="1501">
        <f>C30/C31-1</f>
        <v>2.3037937762975247E-2</v>
      </c>
      <c r="U30" s="1501">
        <f>E30/E31-1</f>
        <v>3.3519033243940788E-2</v>
      </c>
      <c r="V30" s="1501">
        <f>F30/F31-1</f>
        <v>1.2061818076502862E-2</v>
      </c>
      <c r="W30" s="1502" t="s">
        <v>1157</v>
      </c>
      <c r="X30" s="1503">
        <v>1</v>
      </c>
      <c r="Y30" s="1503">
        <v>1</v>
      </c>
      <c r="Z30" s="1503">
        <v>1</v>
      </c>
      <c r="AA30" s="1503">
        <v>1</v>
      </c>
      <c r="AB30" s="1503">
        <v>1</v>
      </c>
      <c r="AD30" s="1725">
        <f>I30/100</f>
        <v>2.9700000000000001E-2</v>
      </c>
      <c r="AE30" s="1725">
        <f>J30/100</f>
        <v>2.3399999999999997E-2</v>
      </c>
      <c r="AF30" s="1725">
        <f>AE30</f>
        <v>2.3399999999999997E-2</v>
      </c>
      <c r="AG30" s="1725">
        <f>K30/100</f>
        <v>3.2799999999999996E-2</v>
      </c>
      <c r="AH30" s="1725">
        <f>L30/100</f>
        <v>1.3600000000000001E-2</v>
      </c>
    </row>
    <row r="31" spans="1:34" ht="13.5" thickBot="1">
      <c r="A31" s="1459" t="s">
        <v>1158</v>
      </c>
      <c r="B31" s="1467">
        <v>299</v>
      </c>
      <c r="C31" s="1467">
        <v>252</v>
      </c>
      <c r="D31" s="1467">
        <f t="shared" si="133"/>
        <v>252</v>
      </c>
      <c r="E31" s="1467">
        <v>409</v>
      </c>
      <c r="F31" s="1468">
        <v>227</v>
      </c>
      <c r="G31" s="3286">
        <v>2013</v>
      </c>
      <c r="H31" s="1504">
        <v>4</v>
      </c>
      <c r="I31" s="1504">
        <v>1.83</v>
      </c>
      <c r="J31" s="1504">
        <v>1.68</v>
      </c>
      <c r="K31" s="1504">
        <v>1.97</v>
      </c>
      <c r="L31" s="1505">
        <v>0.87</v>
      </c>
      <c r="N31" s="1482">
        <f t="shared" si="135"/>
        <v>1.83E-2</v>
      </c>
      <c r="O31" s="1483">
        <f t="shared" si="130"/>
        <v>1.6799999999999999E-2</v>
      </c>
      <c r="P31" s="1483">
        <f t="shared" si="130"/>
        <v>1.9699999999999999E-2</v>
      </c>
      <c r="Q31" s="1483">
        <f t="shared" si="130"/>
        <v>8.6999999999999994E-3</v>
      </c>
      <c r="R31" s="1472"/>
      <c r="S31" s="1473"/>
      <c r="T31" s="1474"/>
      <c r="U31" s="1474"/>
      <c r="V31" s="1474"/>
      <c r="X31" s="1474"/>
      <c r="Y31" s="1474"/>
      <c r="Z31" s="1474"/>
    </row>
    <row r="32" spans="1:34">
      <c r="A32" s="1459" t="s">
        <v>1159</v>
      </c>
      <c r="B32" s="1475">
        <f t="shared" ref="B32:C34" si="142">B31/(1+N31)</f>
        <v>293.62663262299913</v>
      </c>
      <c r="C32" s="1475">
        <f t="shared" si="142"/>
        <v>247.83634933123525</v>
      </c>
      <c r="D32" s="1475">
        <f t="shared" si="133"/>
        <v>247.83634933123525</v>
      </c>
      <c r="E32" s="1475">
        <f t="shared" ref="E32:F34" si="143">E31/(1+P31)</f>
        <v>401.09836226341076</v>
      </c>
      <c r="F32" s="1475">
        <f t="shared" si="143"/>
        <v>225.04213343908003</v>
      </c>
      <c r="G32" s="3287"/>
      <c r="H32" s="1485">
        <v>3</v>
      </c>
      <c r="I32" s="1485">
        <v>1.86</v>
      </c>
      <c r="J32" s="1485">
        <v>1.72</v>
      </c>
      <c r="K32" s="1485">
        <v>1.98</v>
      </c>
      <c r="L32" s="1486">
        <v>0.88</v>
      </c>
      <c r="N32" s="1470">
        <f t="shared" si="135"/>
        <v>1.8600000000000002E-2</v>
      </c>
      <c r="O32" s="1487">
        <f t="shared" si="130"/>
        <v>1.72E-2</v>
      </c>
      <c r="P32" s="1487">
        <f t="shared" si="130"/>
        <v>1.9799999999999998E-2</v>
      </c>
      <c r="Q32" s="1487">
        <f t="shared" si="130"/>
        <v>8.8000000000000005E-3</v>
      </c>
      <c r="R32" s="1472"/>
      <c r="S32" s="1470"/>
      <c r="T32" s="1471"/>
      <c r="U32" s="1471"/>
      <c r="V32" s="1471"/>
    </row>
    <row r="33" spans="1:26">
      <c r="A33" s="1459" t="s">
        <v>1160</v>
      </c>
      <c r="B33" s="1475">
        <f t="shared" si="142"/>
        <v>288.2649053828776</v>
      </c>
      <c r="C33" s="1475">
        <f t="shared" si="142"/>
        <v>243.64564425013293</v>
      </c>
      <c r="D33" s="1475">
        <f t="shared" si="133"/>
        <v>243.64564425013293</v>
      </c>
      <c r="E33" s="1475">
        <f t="shared" si="143"/>
        <v>393.31080825986544</v>
      </c>
      <c r="F33" s="1475">
        <f t="shared" si="143"/>
        <v>223.07903790551154</v>
      </c>
      <c r="G33" s="3287"/>
      <c r="H33" s="1463">
        <v>2</v>
      </c>
      <c r="I33" s="1463">
        <v>2.04</v>
      </c>
      <c r="J33" s="1463">
        <v>2.33</v>
      </c>
      <c r="K33" s="1463">
        <v>2.0699999999999998</v>
      </c>
      <c r="L33" s="1477">
        <v>0.69</v>
      </c>
      <c r="N33" s="1470">
        <f t="shared" si="135"/>
        <v>2.0400000000000001E-2</v>
      </c>
      <c r="O33" s="1487">
        <f t="shared" si="130"/>
        <v>2.3300000000000001E-2</v>
      </c>
      <c r="P33" s="1487">
        <f t="shared" si="130"/>
        <v>2.07E-2</v>
      </c>
      <c r="Q33" s="1487">
        <f t="shared" si="130"/>
        <v>6.8999999999999999E-3</v>
      </c>
      <c r="R33" s="1472"/>
      <c r="S33" s="1470"/>
      <c r="T33" s="1471"/>
      <c r="U33" s="1471"/>
      <c r="V33" s="1471"/>
      <c r="X33" s="1506"/>
      <c r="Y33" s="1507"/>
    </row>
    <row r="34" spans="1:26">
      <c r="A34" s="1459" t="s">
        <v>1161</v>
      </c>
      <c r="B34" s="1475">
        <f t="shared" si="142"/>
        <v>282.50186729015837</v>
      </c>
      <c r="C34" s="1475">
        <f t="shared" si="142"/>
        <v>238.09796174155468</v>
      </c>
      <c r="D34" s="1475">
        <f t="shared" si="133"/>
        <v>238.09796174155468</v>
      </c>
      <c r="E34" s="1475">
        <f t="shared" si="143"/>
        <v>385.33438646014054</v>
      </c>
      <c r="F34" s="1475">
        <f t="shared" si="143"/>
        <v>221.55034055567739</v>
      </c>
      <c r="G34" s="3288"/>
      <c r="H34" s="1462">
        <v>1</v>
      </c>
      <c r="I34" s="1462">
        <v>1.67</v>
      </c>
      <c r="J34" s="1462">
        <v>1.31</v>
      </c>
      <c r="K34" s="1462">
        <v>1.85</v>
      </c>
      <c r="L34" s="1476">
        <v>0.96</v>
      </c>
      <c r="N34" s="1478">
        <f t="shared" si="135"/>
        <v>1.67E-2</v>
      </c>
      <c r="O34" s="1479">
        <f t="shared" si="135"/>
        <v>1.3100000000000001E-2</v>
      </c>
      <c r="P34" s="1479">
        <f t="shared" si="135"/>
        <v>1.8500000000000003E-2</v>
      </c>
      <c r="Q34" s="1479">
        <f t="shared" si="135"/>
        <v>9.5999999999999992E-3</v>
      </c>
      <c r="R34" s="1472"/>
      <c r="S34" s="1478">
        <f>B34/B35-1</f>
        <v>1.6193767230785472E-2</v>
      </c>
      <c r="T34" s="1479">
        <f>C34/C35-1</f>
        <v>1.7512657015190891E-2</v>
      </c>
      <c r="U34" s="1479">
        <f>E34/E35-1</f>
        <v>1.6713420739157048E-2</v>
      </c>
      <c r="V34" s="1479">
        <f>F34/F35-1</f>
        <v>7.0470025258062563E-3</v>
      </c>
      <c r="X34" s="1508"/>
      <c r="Y34" s="1458"/>
      <c r="Z34" s="1458"/>
    </row>
    <row r="35" spans="1:26" ht="13.5" thickBot="1">
      <c r="A35" s="1459" t="s">
        <v>1162</v>
      </c>
      <c r="B35" s="1509">
        <v>278</v>
      </c>
      <c r="C35" s="1509">
        <v>234</v>
      </c>
      <c r="D35" s="1509">
        <f t="shared" si="133"/>
        <v>234</v>
      </c>
      <c r="E35" s="1509">
        <v>379</v>
      </c>
      <c r="F35" s="1510">
        <v>220</v>
      </c>
      <c r="G35" s="3279">
        <v>2012</v>
      </c>
      <c r="H35" s="1480">
        <v>4</v>
      </c>
      <c r="I35" s="1480">
        <v>0.91</v>
      </c>
      <c r="J35" s="1480">
        <v>0.68</v>
      </c>
      <c r="K35" s="1480">
        <v>0.98</v>
      </c>
      <c r="L35" s="1481">
        <v>0.9</v>
      </c>
      <c r="N35" s="1470">
        <f t="shared" si="135"/>
        <v>9.1000000000000004E-3</v>
      </c>
      <c r="O35" s="1471">
        <f t="shared" si="135"/>
        <v>6.8000000000000005E-3</v>
      </c>
      <c r="P35" s="1471">
        <f t="shared" si="135"/>
        <v>9.7999999999999997E-3</v>
      </c>
      <c r="Q35" s="1471">
        <f t="shared" si="135"/>
        <v>9.0000000000000011E-3</v>
      </c>
      <c r="R35" s="1472"/>
      <c r="S35" s="1473"/>
      <c r="T35" s="1474"/>
      <c r="U35" s="1474"/>
      <c r="V35" s="1474"/>
      <c r="X35" s="1474"/>
      <c r="Y35" s="1474"/>
      <c r="Z35" s="1474"/>
    </row>
    <row r="36" spans="1:26">
      <c r="A36" s="1459" t="s">
        <v>1163</v>
      </c>
      <c r="B36" s="1475">
        <f>B35/(1+N35)</f>
        <v>275.49301357645425</v>
      </c>
      <c r="C36" s="1475">
        <f>C35/(1+O35)</f>
        <v>232.41954707985698</v>
      </c>
      <c r="D36" s="1475">
        <f t="shared" si="133"/>
        <v>232.41954707985698</v>
      </c>
      <c r="E36" s="1475">
        <f t="shared" ref="E36:F38" si="144">E35/(1+P35)</f>
        <v>375.32184591008121</v>
      </c>
      <c r="F36" s="1475">
        <f t="shared" si="144"/>
        <v>218.03766105054513</v>
      </c>
      <c r="G36" s="3280"/>
      <c r="H36" s="1485">
        <v>3</v>
      </c>
      <c r="I36" s="1485">
        <v>0.09</v>
      </c>
      <c r="J36" s="1485">
        <v>0.28999999999999998</v>
      </c>
      <c r="K36" s="1485">
        <v>-0.01</v>
      </c>
      <c r="L36" s="1486">
        <v>0.57999999999999996</v>
      </c>
      <c r="N36" s="1470">
        <f t="shared" si="135"/>
        <v>8.9999999999999998E-4</v>
      </c>
      <c r="O36" s="1471">
        <f t="shared" si="135"/>
        <v>2.8999999999999998E-3</v>
      </c>
      <c r="P36" s="1471">
        <f t="shared" si="135"/>
        <v>-1E-4</v>
      </c>
      <c r="Q36" s="1471">
        <f t="shared" si="135"/>
        <v>5.7999999999999996E-3</v>
      </c>
      <c r="R36" s="1472"/>
      <c r="S36" s="1470"/>
      <c r="T36" s="1471"/>
      <c r="U36" s="1471"/>
      <c r="V36" s="1471"/>
    </row>
    <row r="37" spans="1:26">
      <c r="A37" s="1459" t="s">
        <v>1164</v>
      </c>
      <c r="B37" s="1475">
        <f>B36/(1+N36)</f>
        <v>275.24529281292263</v>
      </c>
      <c r="C37" s="1475">
        <f>C36/(1+O36)</f>
        <v>231.74747938962707</v>
      </c>
      <c r="D37" s="1475">
        <f t="shared" si="133"/>
        <v>231.74747938962707</v>
      </c>
      <c r="E37" s="1475">
        <f t="shared" si="144"/>
        <v>375.35938184826603</v>
      </c>
      <c r="F37" s="1475">
        <f t="shared" si="144"/>
        <v>216.78033510692495</v>
      </c>
      <c r="G37" s="3280"/>
      <c r="H37" s="1463">
        <v>2</v>
      </c>
      <c r="I37" s="1463">
        <v>0.02</v>
      </c>
      <c r="J37" s="1463">
        <v>0.12</v>
      </c>
      <c r="K37" s="1463">
        <v>-0.08</v>
      </c>
      <c r="L37" s="1477">
        <v>1.24</v>
      </c>
      <c r="N37" s="1470">
        <f t="shared" si="135"/>
        <v>2.0000000000000001E-4</v>
      </c>
      <c r="O37" s="1471">
        <f t="shared" si="135"/>
        <v>1.1999999999999999E-3</v>
      </c>
      <c r="P37" s="1471">
        <f t="shared" si="135"/>
        <v>-8.0000000000000004E-4</v>
      </c>
      <c r="Q37" s="1471">
        <f t="shared" si="135"/>
        <v>1.24E-2</v>
      </c>
      <c r="R37" s="1472"/>
      <c r="S37" s="1470"/>
      <c r="T37" s="1471"/>
      <c r="U37" s="1471"/>
      <c r="V37" s="1471"/>
    </row>
    <row r="38" spans="1:26" ht="13.5" thickBot="1">
      <c r="A38" s="1459" t="s">
        <v>1165</v>
      </c>
      <c r="B38" s="1475">
        <f>B37/(1+N37)</f>
        <v>275.19025476197027</v>
      </c>
      <c r="C38" s="1511">
        <v>232</v>
      </c>
      <c r="D38" s="1511">
        <f t="shared" si="133"/>
        <v>232</v>
      </c>
      <c r="E38" s="1475">
        <f t="shared" si="144"/>
        <v>375.65990977608692</v>
      </c>
      <c r="F38" s="1475">
        <f t="shared" si="144"/>
        <v>214.12518283971252</v>
      </c>
      <c r="G38" s="3281"/>
      <c r="H38" s="1462">
        <v>1</v>
      </c>
      <c r="I38" s="1462">
        <v>0.02</v>
      </c>
      <c r="J38" s="1462">
        <v>0.13</v>
      </c>
      <c r="K38" s="1462">
        <v>-0.04</v>
      </c>
      <c r="L38" s="1476">
        <v>0.46</v>
      </c>
      <c r="N38" s="1470">
        <f t="shared" si="135"/>
        <v>2.0000000000000001E-4</v>
      </c>
      <c r="O38" s="1471">
        <f t="shared" si="135"/>
        <v>1.2999999999999999E-3</v>
      </c>
      <c r="P38" s="1471">
        <f t="shared" si="135"/>
        <v>-4.0000000000000002E-4</v>
      </c>
      <c r="Q38" s="1471">
        <f t="shared" si="135"/>
        <v>4.5999999999999999E-3</v>
      </c>
      <c r="R38" s="1472"/>
      <c r="S38" s="1478">
        <f>B38/B39-1</f>
        <v>6.9183549807361189E-4</v>
      </c>
      <c r="T38" s="1479">
        <f>C38/C39-1</f>
        <v>0</v>
      </c>
      <c r="U38" s="1479">
        <f>E38/E39-1</f>
        <v>-9.0449527636460303E-4</v>
      </c>
      <c r="V38" s="1479">
        <f>F38/F39-1</f>
        <v>5.2825485432512753E-3</v>
      </c>
      <c r="X38" s="1458"/>
      <c r="Y38" s="1458"/>
      <c r="Z38" s="1458"/>
    </row>
    <row r="39" spans="1:26" ht="13.5" thickBot="1">
      <c r="A39" s="1459" t="s">
        <v>1166</v>
      </c>
      <c r="B39" s="1467">
        <v>275</v>
      </c>
      <c r="C39" s="1467">
        <v>232</v>
      </c>
      <c r="D39" s="1467">
        <f t="shared" si="133"/>
        <v>232</v>
      </c>
      <c r="E39" s="1467">
        <v>376</v>
      </c>
      <c r="F39" s="1468">
        <v>213</v>
      </c>
      <c r="G39" s="3279">
        <v>2011</v>
      </c>
      <c r="H39" s="1480">
        <v>4</v>
      </c>
      <c r="I39" s="1480">
        <v>-0.2</v>
      </c>
      <c r="J39" s="1480">
        <v>0.04</v>
      </c>
      <c r="K39" s="1480">
        <v>-0.34</v>
      </c>
      <c r="L39" s="1481">
        <v>0.46</v>
      </c>
      <c r="N39" s="1482">
        <f t="shared" si="135"/>
        <v>-2E-3</v>
      </c>
      <c r="O39" s="1483">
        <f t="shared" si="135"/>
        <v>4.0000000000000002E-4</v>
      </c>
      <c r="P39" s="1483">
        <f t="shared" si="135"/>
        <v>-3.4000000000000002E-3</v>
      </c>
      <c r="Q39" s="1483">
        <f t="shared" si="135"/>
        <v>4.5999999999999999E-3</v>
      </c>
      <c r="R39" s="1472"/>
      <c r="S39" s="1473"/>
      <c r="T39" s="1474"/>
      <c r="U39" s="1474"/>
      <c r="V39" s="1474"/>
      <c r="X39" s="1474"/>
      <c r="Y39" s="1474"/>
      <c r="Z39" s="1474"/>
    </row>
    <row r="40" spans="1:26">
      <c r="A40" s="1459" t="s">
        <v>1167</v>
      </c>
      <c r="B40" s="1475">
        <f t="shared" ref="B40:C42" si="145">B39/(1+N39)</f>
        <v>275.55110220440883</v>
      </c>
      <c r="C40" s="1475">
        <f t="shared" si="145"/>
        <v>231.90723710515795</v>
      </c>
      <c r="D40" s="1475">
        <f t="shared" si="133"/>
        <v>231.90723710515795</v>
      </c>
      <c r="E40" s="1475">
        <f t="shared" ref="E40:F42" si="146">E39/(1+P39)</f>
        <v>377.28276138872161</v>
      </c>
      <c r="F40" s="1475">
        <f t="shared" si="146"/>
        <v>212.02468644236512</v>
      </c>
      <c r="G40" s="3280">
        <v>2011</v>
      </c>
      <c r="H40" s="1485">
        <v>3</v>
      </c>
      <c r="I40" s="1485">
        <v>0.13</v>
      </c>
      <c r="J40" s="1485">
        <v>0.75</v>
      </c>
      <c r="K40" s="1485">
        <v>-0.08</v>
      </c>
      <c r="L40" s="1486">
        <v>0.53</v>
      </c>
      <c r="N40" s="1470">
        <f t="shared" si="135"/>
        <v>1.2999999999999999E-3</v>
      </c>
      <c r="O40" s="1487">
        <f t="shared" si="135"/>
        <v>7.4999999999999997E-3</v>
      </c>
      <c r="P40" s="1487">
        <f t="shared" si="135"/>
        <v>-8.0000000000000004E-4</v>
      </c>
      <c r="Q40" s="1487">
        <f t="shared" si="135"/>
        <v>5.3E-3</v>
      </c>
      <c r="R40" s="1472"/>
      <c r="S40" s="1470"/>
      <c r="T40" s="1471"/>
      <c r="U40" s="1471"/>
      <c r="V40" s="1471"/>
    </row>
    <row r="41" spans="1:26">
      <c r="A41" s="1459" t="s">
        <v>1168</v>
      </c>
      <c r="B41" s="1475">
        <f t="shared" si="145"/>
        <v>275.19335084830601</v>
      </c>
      <c r="C41" s="1475">
        <f t="shared" si="145"/>
        <v>230.18088050139744</v>
      </c>
      <c r="D41" s="1475">
        <f t="shared" si="133"/>
        <v>230.18088050139744</v>
      </c>
      <c r="E41" s="1475">
        <f t="shared" si="146"/>
        <v>377.58482925212331</v>
      </c>
      <c r="F41" s="1475">
        <f t="shared" si="146"/>
        <v>210.90687997847917</v>
      </c>
      <c r="G41" s="3280">
        <v>2011</v>
      </c>
      <c r="H41" s="1463">
        <v>2</v>
      </c>
      <c r="I41" s="1463">
        <v>-0.4</v>
      </c>
      <c r="J41" s="1463">
        <v>0.17</v>
      </c>
      <c r="K41" s="1463">
        <v>-0.57999999999999996</v>
      </c>
      <c r="L41" s="1477">
        <v>-0.2</v>
      </c>
      <c r="N41" s="1470">
        <f t="shared" si="135"/>
        <v>-4.0000000000000001E-3</v>
      </c>
      <c r="O41" s="1487">
        <f t="shared" si="135"/>
        <v>1.7000000000000001E-3</v>
      </c>
      <c r="P41" s="1487">
        <f t="shared" si="135"/>
        <v>-5.7999999999999996E-3</v>
      </c>
      <c r="Q41" s="1487">
        <f t="shared" si="135"/>
        <v>-2E-3</v>
      </c>
      <c r="R41" s="1472"/>
      <c r="S41" s="1470"/>
      <c r="T41" s="1471"/>
      <c r="U41" s="1471"/>
      <c r="V41" s="1471"/>
    </row>
    <row r="42" spans="1:26" ht="13.5" thickBot="1">
      <c r="A42" s="1459" t="s">
        <v>1169</v>
      </c>
      <c r="B42" s="1475">
        <f t="shared" si="145"/>
        <v>276.29854502841971</v>
      </c>
      <c r="C42" s="1475">
        <f t="shared" si="145"/>
        <v>229.79023709833027</v>
      </c>
      <c r="D42" s="1475">
        <f t="shared" si="133"/>
        <v>229.79023709833027</v>
      </c>
      <c r="E42" s="1475">
        <f t="shared" si="146"/>
        <v>379.78759731655936</v>
      </c>
      <c r="F42" s="1475">
        <f t="shared" si="146"/>
        <v>211.32953905659235</v>
      </c>
      <c r="G42" s="3281">
        <v>2011</v>
      </c>
      <c r="H42" s="1462">
        <v>1</v>
      </c>
      <c r="I42" s="1462">
        <v>2.65</v>
      </c>
      <c r="J42" s="1462">
        <v>3.76</v>
      </c>
      <c r="K42" s="1462">
        <v>1.89</v>
      </c>
      <c r="L42" s="1476">
        <v>7.95</v>
      </c>
      <c r="N42" s="1478">
        <f t="shared" si="135"/>
        <v>2.6499999999999999E-2</v>
      </c>
      <c r="O42" s="1479">
        <f t="shared" si="135"/>
        <v>3.7599999999999995E-2</v>
      </c>
      <c r="P42" s="1479">
        <f t="shared" si="135"/>
        <v>1.89E-2</v>
      </c>
      <c r="Q42" s="1479">
        <f t="shared" si="135"/>
        <v>7.9500000000000001E-2</v>
      </c>
      <c r="R42" s="1472"/>
      <c r="S42" s="1478">
        <f>B42/B43-1</f>
        <v>2.713213765211786E-2</v>
      </c>
      <c r="T42" s="1479">
        <f>C42/C43-1</f>
        <v>3.9774828499231862E-2</v>
      </c>
      <c r="U42" s="1479">
        <f>E42/E43-1</f>
        <v>1.8197311840641772E-2</v>
      </c>
      <c r="V42" s="1479">
        <f>F42/F43-1</f>
        <v>7.8211933962205826E-2</v>
      </c>
      <c r="X42" s="1458"/>
      <c r="Y42" s="1458"/>
      <c r="Z42" s="1458"/>
    </row>
    <row r="43" spans="1:26" ht="13.5" thickBot="1">
      <c r="A43" s="1459" t="s">
        <v>1170</v>
      </c>
      <c r="B43" s="1467">
        <v>269</v>
      </c>
      <c r="C43" s="1467">
        <v>221</v>
      </c>
      <c r="D43" s="1467">
        <f t="shared" si="133"/>
        <v>221</v>
      </c>
      <c r="E43" s="1467">
        <v>373</v>
      </c>
      <c r="F43" s="1468">
        <v>196</v>
      </c>
      <c r="G43" s="3279">
        <v>2010</v>
      </c>
      <c r="H43" s="1480">
        <v>4</v>
      </c>
      <c r="I43" s="1480">
        <v>5.72</v>
      </c>
      <c r="J43" s="1480">
        <v>6.57</v>
      </c>
      <c r="K43" s="1480">
        <v>5.72</v>
      </c>
      <c r="L43" s="1481">
        <v>2.72</v>
      </c>
      <c r="N43" s="1470">
        <f t="shared" si="135"/>
        <v>5.7200000000000001E-2</v>
      </c>
      <c r="O43" s="1471">
        <f t="shared" si="135"/>
        <v>6.5700000000000008E-2</v>
      </c>
      <c r="P43" s="1471">
        <f t="shared" si="135"/>
        <v>5.7200000000000001E-2</v>
      </c>
      <c r="Q43" s="1471">
        <f t="shared" si="135"/>
        <v>2.7200000000000002E-2</v>
      </c>
      <c r="R43" s="1472"/>
      <c r="S43" s="1473"/>
      <c r="T43" s="1474"/>
      <c r="U43" s="1474"/>
      <c r="V43" s="1474"/>
      <c r="X43" s="1474"/>
      <c r="Y43" s="1474"/>
      <c r="Z43" s="1474"/>
    </row>
    <row r="44" spans="1:26">
      <c r="A44" s="1459" t="s">
        <v>1171</v>
      </c>
      <c r="B44" s="1475">
        <f t="shared" ref="B44:C46" si="147">B43/(1+N43)</f>
        <v>254.44570563753314</v>
      </c>
      <c r="C44" s="1475">
        <f t="shared" si="147"/>
        <v>207.37543398705074</v>
      </c>
      <c r="D44" s="1475">
        <f t="shared" si="133"/>
        <v>207.37543398705074</v>
      </c>
      <c r="E44" s="1475">
        <f t="shared" ref="E44:F46" si="148">E43/(1+P43)</f>
        <v>352.81876655315932</v>
      </c>
      <c r="F44" s="1475">
        <f t="shared" si="148"/>
        <v>190.809968847352</v>
      </c>
      <c r="G44" s="3280">
        <v>2010</v>
      </c>
      <c r="H44" s="1485">
        <v>3</v>
      </c>
      <c r="I44" s="1485">
        <v>4.7300000000000004</v>
      </c>
      <c r="J44" s="1485">
        <v>3.9</v>
      </c>
      <c r="K44" s="1485">
        <v>5.03</v>
      </c>
      <c r="L44" s="1486">
        <v>4.21</v>
      </c>
      <c r="N44" s="1470">
        <f t="shared" si="135"/>
        <v>4.7300000000000002E-2</v>
      </c>
      <c r="O44" s="1471">
        <f t="shared" si="135"/>
        <v>3.9E-2</v>
      </c>
      <c r="P44" s="1471">
        <f t="shared" si="135"/>
        <v>5.0300000000000004E-2</v>
      </c>
      <c r="Q44" s="1471">
        <f t="shared" si="135"/>
        <v>4.2099999999999999E-2</v>
      </c>
      <c r="R44" s="1472"/>
      <c r="S44" s="1470"/>
      <c r="T44" s="1471"/>
      <c r="U44" s="1471"/>
      <c r="V44" s="1471"/>
    </row>
    <row r="45" spans="1:26">
      <c r="A45" s="1459" t="s">
        <v>1172</v>
      </c>
      <c r="B45" s="1475">
        <f t="shared" si="147"/>
        <v>242.95398227588385</v>
      </c>
      <c r="C45" s="1475">
        <f t="shared" si="147"/>
        <v>199.59137053614126</v>
      </c>
      <c r="D45" s="1475">
        <f t="shared" si="133"/>
        <v>199.59137053614126</v>
      </c>
      <c r="E45" s="1475">
        <f t="shared" si="148"/>
        <v>335.92189522342125</v>
      </c>
      <c r="F45" s="1475">
        <f t="shared" si="148"/>
        <v>183.10139991109489</v>
      </c>
      <c r="G45" s="3280">
        <v>2010</v>
      </c>
      <c r="H45" s="1463">
        <v>2</v>
      </c>
      <c r="I45" s="1463">
        <v>4.6900000000000004</v>
      </c>
      <c r="J45" s="1463">
        <v>3.55</v>
      </c>
      <c r="K45" s="1463">
        <v>5.07</v>
      </c>
      <c r="L45" s="1477">
        <v>4.2300000000000004</v>
      </c>
      <c r="N45" s="1470">
        <f t="shared" si="135"/>
        <v>4.6900000000000004E-2</v>
      </c>
      <c r="O45" s="1471">
        <f t="shared" si="135"/>
        <v>3.5499999999999997E-2</v>
      </c>
      <c r="P45" s="1471">
        <f t="shared" si="135"/>
        <v>5.0700000000000002E-2</v>
      </c>
      <c r="Q45" s="1471">
        <f t="shared" si="135"/>
        <v>4.2300000000000004E-2</v>
      </c>
      <c r="R45" s="1472"/>
      <c r="S45" s="1470"/>
      <c r="T45" s="1471"/>
      <c r="U45" s="1471"/>
      <c r="V45" s="1471"/>
    </row>
    <row r="46" spans="1:26" ht="13.5" thickBot="1">
      <c r="A46" s="1459" t="s">
        <v>1173</v>
      </c>
      <c r="B46" s="1475">
        <f t="shared" si="147"/>
        <v>232.06990378821649</v>
      </c>
      <c r="C46" s="1475">
        <f t="shared" si="147"/>
        <v>192.74878854286936</v>
      </c>
      <c r="D46" s="1475">
        <f t="shared" si="133"/>
        <v>192.74878854286936</v>
      </c>
      <c r="E46" s="1475">
        <f t="shared" si="148"/>
        <v>319.71247284992984</v>
      </c>
      <c r="F46" s="1475">
        <f t="shared" si="148"/>
        <v>175.67053622862409</v>
      </c>
      <c r="G46" s="3281">
        <v>2010</v>
      </c>
      <c r="H46" s="1462">
        <v>1</v>
      </c>
      <c r="I46" s="1462">
        <v>5.4</v>
      </c>
      <c r="J46" s="1462">
        <v>3.2</v>
      </c>
      <c r="K46" s="1462">
        <v>6.16</v>
      </c>
      <c r="L46" s="1476">
        <v>4.51</v>
      </c>
      <c r="N46" s="1470">
        <f t="shared" si="135"/>
        <v>5.4000000000000006E-2</v>
      </c>
      <c r="O46" s="1471">
        <f t="shared" si="135"/>
        <v>3.2000000000000001E-2</v>
      </c>
      <c r="P46" s="1471">
        <f t="shared" si="135"/>
        <v>6.1600000000000002E-2</v>
      </c>
      <c r="Q46" s="1471">
        <f t="shared" si="135"/>
        <v>4.5100000000000001E-2</v>
      </c>
      <c r="R46" s="1472"/>
      <c r="S46" s="1478">
        <f>B46/B47-1</f>
        <v>5.4863199037347599E-2</v>
      </c>
      <c r="T46" s="1479">
        <f>C46/C47-1</f>
        <v>3.0742184721226584E-2</v>
      </c>
      <c r="U46" s="1479">
        <f>E46/E47-1</f>
        <v>6.2167683886810154E-2</v>
      </c>
      <c r="V46" s="1479">
        <f>F46/F47-1</f>
        <v>4.5657953741810031E-2</v>
      </c>
      <c r="X46" s="1458"/>
      <c r="Y46" s="1458"/>
      <c r="Z46" s="1458"/>
    </row>
    <row r="47" spans="1:26" ht="13.5" thickBot="1">
      <c r="A47" s="1459" t="s">
        <v>1174</v>
      </c>
      <c r="B47" s="1467">
        <v>220</v>
      </c>
      <c r="C47" s="1467">
        <v>187</v>
      </c>
      <c r="D47" s="1467">
        <f t="shared" si="133"/>
        <v>187</v>
      </c>
      <c r="E47" s="1467">
        <v>301</v>
      </c>
      <c r="F47" s="1468">
        <v>168</v>
      </c>
      <c r="G47" s="3279">
        <v>2009</v>
      </c>
      <c r="H47" s="1480">
        <v>4</v>
      </c>
      <c r="I47" s="1480">
        <v>2.2999999999999998</v>
      </c>
      <c r="J47" s="1480">
        <v>1.04</v>
      </c>
      <c r="K47" s="1480">
        <v>2.84</v>
      </c>
      <c r="L47" s="1481">
        <v>0.67</v>
      </c>
      <c r="N47" s="1482">
        <f t="shared" si="135"/>
        <v>2.3E-2</v>
      </c>
      <c r="O47" s="1483">
        <f t="shared" si="135"/>
        <v>1.04E-2</v>
      </c>
      <c r="P47" s="1483">
        <f t="shared" si="135"/>
        <v>2.8399999999999998E-2</v>
      </c>
      <c r="Q47" s="1483">
        <f t="shared" si="135"/>
        <v>6.7000000000000002E-3</v>
      </c>
      <c r="R47" s="1472"/>
      <c r="S47" s="1473"/>
      <c r="T47" s="1474"/>
      <c r="U47" s="1474"/>
      <c r="V47" s="1474"/>
      <c r="X47" s="1474"/>
      <c r="Y47" s="1474"/>
      <c r="Z47" s="1474"/>
    </row>
    <row r="48" spans="1:26">
      <c r="A48" s="1459" t="s">
        <v>1175</v>
      </c>
      <c r="B48" s="1475">
        <f t="shared" ref="B48:C50" si="149">B47/(1+N47)</f>
        <v>215.05376344086022</v>
      </c>
      <c r="C48" s="1475">
        <f t="shared" si="149"/>
        <v>185.0752177355503</v>
      </c>
      <c r="D48" s="1475">
        <f t="shared" si="133"/>
        <v>185.0752177355503</v>
      </c>
      <c r="E48" s="1475">
        <f t="shared" ref="E48:F50" si="150">E47/(1+P47)</f>
        <v>292.68767016725008</v>
      </c>
      <c r="F48" s="1475">
        <f t="shared" si="150"/>
        <v>166.88189132810174</v>
      </c>
      <c r="G48" s="3280">
        <v>2009</v>
      </c>
      <c r="H48" s="1485">
        <v>3</v>
      </c>
      <c r="I48" s="1485">
        <v>2.1</v>
      </c>
      <c r="J48" s="1485">
        <v>1.86</v>
      </c>
      <c r="K48" s="1485">
        <v>2.29</v>
      </c>
      <c r="L48" s="1486">
        <v>0.85</v>
      </c>
      <c r="N48" s="1470">
        <f t="shared" si="135"/>
        <v>2.1000000000000001E-2</v>
      </c>
      <c r="O48" s="1487">
        <f t="shared" si="135"/>
        <v>1.8600000000000002E-2</v>
      </c>
      <c r="P48" s="1487">
        <f t="shared" si="135"/>
        <v>2.29E-2</v>
      </c>
      <c r="Q48" s="1487">
        <f t="shared" si="135"/>
        <v>8.5000000000000006E-3</v>
      </c>
      <c r="R48" s="1472"/>
      <c r="S48" s="1470"/>
      <c r="T48" s="1471"/>
      <c r="U48" s="1471"/>
      <c r="V48" s="1471"/>
    </row>
    <row r="49" spans="1:26">
      <c r="A49" s="1459" t="s">
        <v>1176</v>
      </c>
      <c r="B49" s="1475">
        <f t="shared" si="149"/>
        <v>210.630522469011</v>
      </c>
      <c r="C49" s="1475">
        <f t="shared" si="149"/>
        <v>181.69567812247232</v>
      </c>
      <c r="D49" s="1475">
        <f t="shared" si="133"/>
        <v>181.69567812247232</v>
      </c>
      <c r="E49" s="1475">
        <f t="shared" si="150"/>
        <v>286.13517466736738</v>
      </c>
      <c r="F49" s="1475">
        <f t="shared" si="150"/>
        <v>165.47535084591149</v>
      </c>
      <c r="G49" s="3280">
        <v>2009</v>
      </c>
      <c r="H49" s="1463">
        <v>2</v>
      </c>
      <c r="I49" s="1463">
        <v>0.86</v>
      </c>
      <c r="J49" s="1463">
        <v>-1.1299999999999999</v>
      </c>
      <c r="K49" s="1463">
        <v>1.79</v>
      </c>
      <c r="L49" s="1477">
        <v>-2.0699999999999998</v>
      </c>
      <c r="N49" s="1470">
        <f t="shared" si="135"/>
        <v>8.6E-3</v>
      </c>
      <c r="O49" s="1487">
        <f t="shared" si="135"/>
        <v>-1.1299999999999999E-2</v>
      </c>
      <c r="P49" s="1487">
        <f t="shared" si="135"/>
        <v>1.7899999999999999E-2</v>
      </c>
      <c r="Q49" s="1487">
        <f t="shared" si="135"/>
        <v>-2.07E-2</v>
      </c>
      <c r="R49" s="1472"/>
      <c r="S49" s="1470"/>
      <c r="T49" s="1471"/>
      <c r="U49" s="1471"/>
      <c r="V49" s="1471"/>
    </row>
    <row r="50" spans="1:26">
      <c r="A50" s="1459" t="s">
        <v>1177</v>
      </c>
      <c r="B50" s="1475">
        <f t="shared" si="149"/>
        <v>208.83454537875372</v>
      </c>
      <c r="C50" s="1475">
        <f t="shared" si="149"/>
        <v>183.77230517090351</v>
      </c>
      <c r="D50" s="1475">
        <f t="shared" si="133"/>
        <v>183.77230517090351</v>
      </c>
      <c r="E50" s="1475">
        <f t="shared" si="150"/>
        <v>281.10342338870947</v>
      </c>
      <c r="F50" s="1475">
        <f t="shared" si="150"/>
        <v>168.97309388942256</v>
      </c>
      <c r="G50" s="3281">
        <v>2009</v>
      </c>
      <c r="H50" s="1462">
        <v>1</v>
      </c>
      <c r="I50" s="1462">
        <v>-2.64</v>
      </c>
      <c r="J50" s="1462">
        <v>-2.5299999999999998</v>
      </c>
      <c r="K50" s="1462">
        <v>-3.02</v>
      </c>
      <c r="L50" s="1476">
        <v>1.52</v>
      </c>
      <c r="N50" s="1478">
        <f t="shared" si="135"/>
        <v>-2.64E-2</v>
      </c>
      <c r="O50" s="1479">
        <f t="shared" si="135"/>
        <v>-2.53E-2</v>
      </c>
      <c r="P50" s="1479">
        <f t="shared" si="135"/>
        <v>-3.0200000000000001E-2</v>
      </c>
      <c r="Q50" s="1479">
        <f t="shared" si="135"/>
        <v>1.52E-2</v>
      </c>
      <c r="R50" s="1472"/>
      <c r="S50" s="1478">
        <f>B50/B51-1</f>
        <v>-2.4137638417038754E-2</v>
      </c>
      <c r="T50" s="1479">
        <f>C50/C51-1</f>
        <v>-2.248773845264096E-2</v>
      </c>
      <c r="U50" s="1479">
        <f>E50/E51-1</f>
        <v>-2.7323794502735366E-2</v>
      </c>
      <c r="V50" s="1479">
        <f>F50/F51-1</f>
        <v>1.7910204153148035E-2</v>
      </c>
      <c r="X50" s="1458"/>
      <c r="Y50" s="1458"/>
      <c r="Z50" s="1458"/>
    </row>
    <row r="51" spans="1:26" ht="13.5" thickBot="1">
      <c r="A51" s="1459" t="s">
        <v>1178</v>
      </c>
      <c r="B51" s="1509">
        <v>214</v>
      </c>
      <c r="C51" s="1509">
        <v>188</v>
      </c>
      <c r="D51" s="1509">
        <f t="shared" si="133"/>
        <v>188</v>
      </c>
      <c r="E51" s="1509">
        <v>289</v>
      </c>
      <c r="F51" s="1510">
        <v>166</v>
      </c>
      <c r="G51" s="3279">
        <v>2008</v>
      </c>
      <c r="H51" s="1480">
        <v>4</v>
      </c>
      <c r="I51" s="1480">
        <v>1.73</v>
      </c>
      <c r="J51" s="1480">
        <v>0.03</v>
      </c>
      <c r="K51" s="1480">
        <v>2.59</v>
      </c>
      <c r="L51" s="1481">
        <v>-1.66</v>
      </c>
      <c r="N51" s="1470">
        <f t="shared" si="135"/>
        <v>1.7299999999999999E-2</v>
      </c>
      <c r="O51" s="1471">
        <f t="shared" si="135"/>
        <v>2.9999999999999997E-4</v>
      </c>
      <c r="P51" s="1471">
        <f t="shared" si="135"/>
        <v>2.5899999999999999E-2</v>
      </c>
      <c r="Q51" s="1471">
        <f t="shared" si="135"/>
        <v>-1.66E-2</v>
      </c>
      <c r="R51" s="1472"/>
      <c r="S51" s="1473"/>
      <c r="T51" s="1474"/>
      <c r="U51" s="1474"/>
      <c r="V51" s="1474"/>
      <c r="X51" s="1474"/>
      <c r="Y51" s="1474"/>
      <c r="Z51" s="1474"/>
    </row>
    <row r="52" spans="1:26">
      <c r="A52" s="1459" t="s">
        <v>1179</v>
      </c>
      <c r="B52" s="1475">
        <f t="shared" ref="B52:C54" si="151">B51/(1+N51)</f>
        <v>210.36075887152265</v>
      </c>
      <c r="C52" s="1475">
        <f t="shared" si="151"/>
        <v>187.94361691492554</v>
      </c>
      <c r="D52" s="1475">
        <f t="shared" si="133"/>
        <v>187.94361691492554</v>
      </c>
      <c r="E52" s="1475">
        <f t="shared" ref="E52:F54" si="152">E51/(1+P51)</f>
        <v>281.70386977288234</v>
      </c>
      <c r="F52" s="1475">
        <f t="shared" si="152"/>
        <v>168.80211511083994</v>
      </c>
      <c r="G52" s="3280">
        <v>2008</v>
      </c>
      <c r="H52" s="1485">
        <v>3</v>
      </c>
      <c r="I52" s="1485">
        <v>1.96</v>
      </c>
      <c r="J52" s="1485">
        <v>2.36</v>
      </c>
      <c r="K52" s="1485">
        <v>1.82</v>
      </c>
      <c r="L52" s="1486">
        <v>2.2200000000000002</v>
      </c>
      <c r="N52" s="1470">
        <f t="shared" si="135"/>
        <v>1.9599999999999999E-2</v>
      </c>
      <c r="O52" s="1471">
        <f t="shared" si="135"/>
        <v>2.3599999999999999E-2</v>
      </c>
      <c r="P52" s="1471">
        <f t="shared" si="135"/>
        <v>1.8200000000000001E-2</v>
      </c>
      <c r="Q52" s="1471">
        <f t="shared" si="135"/>
        <v>2.2200000000000001E-2</v>
      </c>
      <c r="R52" s="1472"/>
      <c r="S52" s="1470"/>
      <c r="T52" s="1471"/>
      <c r="U52" s="1471"/>
      <c r="V52" s="1471"/>
    </row>
    <row r="53" spans="1:26">
      <c r="A53" s="1459" t="s">
        <v>1180</v>
      </c>
      <c r="B53" s="1475">
        <f t="shared" si="151"/>
        <v>206.31694671589116</v>
      </c>
      <c r="C53" s="1475">
        <f t="shared" si="151"/>
        <v>183.61041121036101</v>
      </c>
      <c r="D53" s="1475">
        <f t="shared" si="133"/>
        <v>183.61041121036101</v>
      </c>
      <c r="E53" s="1475">
        <f t="shared" si="152"/>
        <v>276.66850301795557</v>
      </c>
      <c r="F53" s="1475">
        <f t="shared" si="152"/>
        <v>165.1360938278614</v>
      </c>
      <c r="G53" s="3280">
        <v>2008</v>
      </c>
      <c r="H53" s="1463">
        <v>2</v>
      </c>
      <c r="I53" s="1463">
        <v>4.93</v>
      </c>
      <c r="J53" s="1463">
        <v>7.38</v>
      </c>
      <c r="K53" s="1463">
        <v>3.98</v>
      </c>
      <c r="L53" s="1477">
        <v>6.86</v>
      </c>
      <c r="N53" s="1470">
        <f t="shared" si="135"/>
        <v>4.9299999999999997E-2</v>
      </c>
      <c r="O53" s="1471">
        <f t="shared" si="135"/>
        <v>7.3800000000000004E-2</v>
      </c>
      <c r="P53" s="1471">
        <f t="shared" si="135"/>
        <v>3.9800000000000002E-2</v>
      </c>
      <c r="Q53" s="1471">
        <f t="shared" si="135"/>
        <v>6.8600000000000008E-2</v>
      </c>
      <c r="R53" s="1472"/>
      <c r="S53" s="1470"/>
      <c r="T53" s="1471"/>
      <c r="U53" s="1471"/>
      <c r="V53" s="1471"/>
    </row>
    <row r="54" spans="1:26" s="1515" customFormat="1" ht="13.5" thickBot="1">
      <c r="A54" s="1459" t="s">
        <v>1181</v>
      </c>
      <c r="B54" s="1512">
        <f t="shared" si="151"/>
        <v>196.62341248059772</v>
      </c>
      <c r="C54" s="1512">
        <f t="shared" si="151"/>
        <v>170.99125648199012</v>
      </c>
      <c r="D54" s="1512">
        <f t="shared" si="133"/>
        <v>170.99125648199012</v>
      </c>
      <c r="E54" s="1512">
        <f t="shared" si="152"/>
        <v>266.07857570490052</v>
      </c>
      <c r="F54" s="1512">
        <f t="shared" si="152"/>
        <v>154.53499328828505</v>
      </c>
      <c r="G54" s="3281">
        <v>2008</v>
      </c>
      <c r="H54" s="1513">
        <v>1</v>
      </c>
      <c r="I54" s="1513">
        <v>4.1399999999999997</v>
      </c>
      <c r="J54" s="1513">
        <v>3.45</v>
      </c>
      <c r="K54" s="1513">
        <v>4.95</v>
      </c>
      <c r="L54" s="1514">
        <v>4.82</v>
      </c>
      <c r="N54" s="1516">
        <f t="shared" si="135"/>
        <v>4.1399999999999999E-2</v>
      </c>
      <c r="O54" s="1517">
        <f t="shared" si="135"/>
        <v>3.4500000000000003E-2</v>
      </c>
      <c r="P54" s="1517">
        <f t="shared" si="135"/>
        <v>4.9500000000000002E-2</v>
      </c>
      <c r="Q54" s="1517">
        <f t="shared" si="135"/>
        <v>4.82E-2</v>
      </c>
      <c r="R54" s="1518"/>
      <c r="S54" s="1516">
        <f>B54/B55-1</f>
        <v>4.5869215322328349E-2</v>
      </c>
      <c r="T54" s="1517">
        <f>C54/C55-1</f>
        <v>3.6310645345394743E-2</v>
      </c>
      <c r="U54" s="1517">
        <f>E54/E55-1</f>
        <v>4.7553447657088688E-2</v>
      </c>
      <c r="V54" s="1517">
        <f>F54/F55-1</f>
        <v>4.4155360055980086E-2</v>
      </c>
      <c r="X54" s="1519"/>
      <c r="Y54" s="1519"/>
      <c r="Z54" s="1519"/>
    </row>
    <row r="55" spans="1:26" ht="13.5" thickBot="1">
      <c r="A55" s="1459" t="s">
        <v>1182</v>
      </c>
      <c r="B55" s="1467">
        <v>188</v>
      </c>
      <c r="C55" s="1467">
        <v>165</v>
      </c>
      <c r="D55" s="1467">
        <f t="shared" si="133"/>
        <v>165</v>
      </c>
      <c r="E55" s="1467">
        <v>254</v>
      </c>
      <c r="F55" s="1468">
        <v>148</v>
      </c>
      <c r="G55" s="3279">
        <v>2007</v>
      </c>
      <c r="H55" s="1520">
        <v>4</v>
      </c>
      <c r="I55" s="1520">
        <v>5.51</v>
      </c>
      <c r="J55" s="1520">
        <v>4.8899999999999997</v>
      </c>
      <c r="K55" s="1520">
        <v>6.43</v>
      </c>
      <c r="L55" s="1521">
        <v>5.36</v>
      </c>
      <c r="N55" s="1522">
        <f t="shared" ref="N55:O58" si="153">B55/B56-1</f>
        <v>4.1339718365245526E-2</v>
      </c>
      <c r="O55" s="1523">
        <f t="shared" si="153"/>
        <v>4.0324492593776018E-2</v>
      </c>
      <c r="P55" s="1523">
        <f t="shared" ref="P55:Q58" si="154">E55/E56-1</f>
        <v>6.1625555347990968E-2</v>
      </c>
      <c r="Q55" s="1523">
        <f t="shared" si="154"/>
        <v>4.6757569250590603E-2</v>
      </c>
      <c r="R55" s="1472"/>
      <c r="S55" s="1473"/>
      <c r="T55" s="1474"/>
      <c r="U55" s="1474"/>
      <c r="V55" s="1474"/>
      <c r="X55" s="1474"/>
      <c r="Y55" s="1474"/>
      <c r="Z55" s="1474"/>
    </row>
    <row r="56" spans="1:26">
      <c r="A56" s="1459" t="s">
        <v>1183</v>
      </c>
      <c r="B56" s="1475">
        <f t="shared" ref="B56:C58" si="155">B57+(B$55-B$59)*I56/SUM(I$55:I$58)</f>
        <v>180.5366651097618</v>
      </c>
      <c r="C56" s="1475">
        <f t="shared" si="155"/>
        <v>158.60435967302453</v>
      </c>
      <c r="D56" s="1475">
        <f t="shared" si="133"/>
        <v>158.60435967302453</v>
      </c>
      <c r="E56" s="1475">
        <f t="shared" ref="E56:F58" si="156">E57+(E$55-E$59)*K56/SUM(K$55:K$58)</f>
        <v>239.25573260785075</v>
      </c>
      <c r="F56" s="1475">
        <f t="shared" si="156"/>
        <v>141.38899430740037</v>
      </c>
      <c r="G56" s="3280">
        <v>2007</v>
      </c>
      <c r="H56" s="1485">
        <v>3</v>
      </c>
      <c r="I56" s="1485">
        <v>8.65</v>
      </c>
      <c r="J56" s="1485">
        <v>8.06</v>
      </c>
      <c r="K56" s="1485">
        <v>9.94</v>
      </c>
      <c r="L56" s="1486">
        <v>5.8</v>
      </c>
      <c r="N56" s="1522">
        <f t="shared" si="153"/>
        <v>6.940217571740015E-2</v>
      </c>
      <c r="O56" s="1523">
        <f t="shared" si="153"/>
        <v>7.1197482471153428E-2</v>
      </c>
      <c r="P56" s="1523">
        <f t="shared" si="154"/>
        <v>0.10529679922579582</v>
      </c>
      <c r="Q56" s="1523">
        <f t="shared" si="154"/>
        <v>5.3292245059512133E-2</v>
      </c>
      <c r="R56" s="1472"/>
      <c r="S56" s="1470"/>
      <c r="T56" s="1471"/>
      <c r="U56" s="1471"/>
      <c r="V56" s="1471"/>
      <c r="X56" s="1524"/>
      <c r="Y56" s="1524"/>
      <c r="Z56" s="1524"/>
    </row>
    <row r="57" spans="1:26">
      <c r="A57" s="1459" t="s">
        <v>1184</v>
      </c>
      <c r="B57" s="1475">
        <f t="shared" si="155"/>
        <v>168.82017748715555</v>
      </c>
      <c r="C57" s="1475">
        <f t="shared" si="155"/>
        <v>148.06267029972753</v>
      </c>
      <c r="D57" s="1475">
        <f t="shared" si="133"/>
        <v>148.06267029972753</v>
      </c>
      <c r="E57" s="1475">
        <f t="shared" si="156"/>
        <v>216.46288379323747</v>
      </c>
      <c r="F57" s="1475">
        <f t="shared" si="156"/>
        <v>134.23529411764704</v>
      </c>
      <c r="G57" s="3280">
        <v>2007</v>
      </c>
      <c r="H57" s="1463">
        <v>2</v>
      </c>
      <c r="I57" s="1463">
        <v>3.67</v>
      </c>
      <c r="J57" s="1463">
        <v>2.3199999999999998</v>
      </c>
      <c r="K57" s="1463">
        <v>5.0199999999999996</v>
      </c>
      <c r="L57" s="1477">
        <v>6.71</v>
      </c>
      <c r="N57" s="1522">
        <f t="shared" si="153"/>
        <v>3.0339138143848032E-2</v>
      </c>
      <c r="O57" s="1523">
        <f t="shared" si="153"/>
        <v>2.0922341588790472E-2</v>
      </c>
      <c r="P57" s="1523">
        <f t="shared" si="154"/>
        <v>5.6164796592717003E-2</v>
      </c>
      <c r="Q57" s="1523">
        <f t="shared" si="154"/>
        <v>6.5704536723887319E-2</v>
      </c>
      <c r="R57" s="1472"/>
      <c r="S57" s="1470"/>
      <c r="T57" s="1471"/>
      <c r="U57" s="1471"/>
      <c r="V57" s="1471"/>
      <c r="X57" s="1524"/>
      <c r="Y57" s="1524"/>
      <c r="Z57" s="1524"/>
    </row>
    <row r="58" spans="1:26">
      <c r="A58" s="1459" t="s">
        <v>1185</v>
      </c>
      <c r="B58" s="1475">
        <f t="shared" si="155"/>
        <v>163.84913591779542</v>
      </c>
      <c r="C58" s="1475">
        <f t="shared" si="155"/>
        <v>145.0283378746594</v>
      </c>
      <c r="D58" s="1475">
        <f t="shared" si="133"/>
        <v>145.0283378746594</v>
      </c>
      <c r="E58" s="1475">
        <f t="shared" si="156"/>
        <v>204.95180722891567</v>
      </c>
      <c r="F58" s="1475">
        <f t="shared" si="156"/>
        <v>125.95920303605313</v>
      </c>
      <c r="G58" s="3281">
        <v>2007</v>
      </c>
      <c r="H58" s="1462">
        <v>1</v>
      </c>
      <c r="I58" s="1462">
        <v>3.58</v>
      </c>
      <c r="J58" s="1462">
        <v>3.08</v>
      </c>
      <c r="K58" s="1462">
        <v>4.34</v>
      </c>
      <c r="L58" s="1476">
        <v>3.21</v>
      </c>
      <c r="N58" s="1525">
        <f t="shared" si="153"/>
        <v>3.0497710174814063E-2</v>
      </c>
      <c r="O58" s="1526">
        <f t="shared" si="153"/>
        <v>2.8569772160704998E-2</v>
      </c>
      <c r="P58" s="1526">
        <f t="shared" si="154"/>
        <v>5.1034908866234296E-2</v>
      </c>
      <c r="Q58" s="1526">
        <f t="shared" si="154"/>
        <v>3.245248390207478E-2</v>
      </c>
      <c r="R58" s="1472"/>
      <c r="S58" s="1478">
        <f>B58/B59-1</f>
        <v>3.0497710174814063E-2</v>
      </c>
      <c r="T58" s="1479">
        <f>C58/C59-1</f>
        <v>2.8569772160704998E-2</v>
      </c>
      <c r="U58" s="1479">
        <f>E58/E59-1</f>
        <v>5.1034908866234296E-2</v>
      </c>
      <c r="V58" s="1479">
        <f>F58/F59-1</f>
        <v>3.245248390207478E-2</v>
      </c>
      <c r="X58" s="1524"/>
      <c r="Y58" s="1524"/>
      <c r="Z58" s="1524"/>
    </row>
    <row r="59" spans="1:26" ht="13.5" thickBot="1">
      <c r="A59" s="1459" t="s">
        <v>1186</v>
      </c>
      <c r="B59" s="1488">
        <v>159</v>
      </c>
      <c r="C59" s="1488">
        <v>141</v>
      </c>
      <c r="D59" s="1488">
        <f t="shared" si="133"/>
        <v>141</v>
      </c>
      <c r="E59" s="1488">
        <v>195</v>
      </c>
      <c r="F59" s="1489">
        <v>122</v>
      </c>
      <c r="G59" s="3279">
        <v>2006</v>
      </c>
      <c r="H59" s="1480">
        <v>4</v>
      </c>
      <c r="I59" s="1480">
        <v>3.79</v>
      </c>
      <c r="J59" s="1480">
        <v>2.21</v>
      </c>
      <c r="K59" s="1480">
        <v>5.65</v>
      </c>
      <c r="L59" s="1481">
        <v>5.41</v>
      </c>
      <c r="N59" s="1522">
        <f t="shared" ref="N59:O62" si="157">I59/SUM(I$59:I$62)*(B$59/B$63-1)</f>
        <v>7.245466462748526E-2</v>
      </c>
      <c r="O59" s="1523">
        <f t="shared" si="157"/>
        <v>2.3237230038062766E-2</v>
      </c>
      <c r="P59" s="1523">
        <f t="shared" ref="P59:Q62" si="158">K59/SUM(K$59:K$62)*(E$59/E$63-1)</f>
        <v>0.16146893866323722</v>
      </c>
      <c r="Q59" s="1523">
        <f t="shared" si="158"/>
        <v>5.0755230321793784E-2</v>
      </c>
      <c r="R59" s="1472"/>
      <c r="S59" s="1473"/>
      <c r="T59" s="1474"/>
      <c r="U59" s="1474"/>
      <c r="V59" s="1474"/>
      <c r="X59" s="1524"/>
      <c r="Y59" s="1524"/>
      <c r="Z59" s="1524"/>
    </row>
    <row r="60" spans="1:26">
      <c r="A60" s="1459" t="s">
        <v>1187</v>
      </c>
      <c r="B60" s="1475">
        <f t="shared" ref="B60:C62" si="159">B61+(B$59-B$63)*I60/SUM(I$59:I$62)</f>
        <v>149.00125628140702</v>
      </c>
      <c r="C60" s="1475">
        <f t="shared" si="159"/>
        <v>137.95592286501378</v>
      </c>
      <c r="D60" s="1475">
        <f t="shared" si="133"/>
        <v>137.95592286501378</v>
      </c>
      <c r="E60" s="1475">
        <f t="shared" ref="E60:F62" si="160">E61+(E$59-E$63)*K60/SUM(K$59:K$62)</f>
        <v>169.97231450719823</v>
      </c>
      <c r="F60" s="1475">
        <f t="shared" si="160"/>
        <v>116.21390374331551</v>
      </c>
      <c r="G60" s="3280">
        <v>2006</v>
      </c>
      <c r="H60" s="1485">
        <v>3</v>
      </c>
      <c r="I60" s="1485">
        <v>0.92</v>
      </c>
      <c r="J60" s="1485">
        <v>1.08</v>
      </c>
      <c r="K60" s="1485">
        <v>0.73</v>
      </c>
      <c r="L60" s="1486">
        <v>1.08</v>
      </c>
      <c r="N60" s="1522">
        <f t="shared" si="157"/>
        <v>1.7587939698492462E-2</v>
      </c>
      <c r="O60" s="1523">
        <f t="shared" si="157"/>
        <v>1.1355750425840628E-2</v>
      </c>
      <c r="P60" s="1523">
        <f t="shared" si="158"/>
        <v>2.0862358446754544E-2</v>
      </c>
      <c r="Q60" s="1523">
        <f t="shared" si="158"/>
        <v>1.0132282578103011E-2</v>
      </c>
      <c r="R60" s="1472"/>
      <c r="S60" s="1470"/>
      <c r="T60" s="1471"/>
      <c r="U60" s="1471"/>
      <c r="V60" s="1471"/>
      <c r="X60" s="1524"/>
      <c r="Y60" s="1524"/>
      <c r="Z60" s="1524"/>
    </row>
    <row r="61" spans="1:26">
      <c r="A61" s="1459" t="s">
        <v>1188</v>
      </c>
      <c r="B61" s="1475">
        <f t="shared" si="159"/>
        <v>146.57412060301507</v>
      </c>
      <c r="C61" s="1475">
        <f t="shared" si="159"/>
        <v>136.46831955922866</v>
      </c>
      <c r="D61" s="1475">
        <f t="shared" si="133"/>
        <v>136.46831955922866</v>
      </c>
      <c r="E61" s="1475">
        <f t="shared" si="160"/>
        <v>166.73864894795128</v>
      </c>
      <c r="F61" s="1475">
        <f t="shared" si="160"/>
        <v>115.05882352941177</v>
      </c>
      <c r="G61" s="3280">
        <v>2006</v>
      </c>
      <c r="H61" s="1463">
        <v>2</v>
      </c>
      <c r="I61" s="1463">
        <v>0.96</v>
      </c>
      <c r="J61" s="1463">
        <v>0.25</v>
      </c>
      <c r="K61" s="1463">
        <v>1.9</v>
      </c>
      <c r="L61" s="1477">
        <v>0.95</v>
      </c>
      <c r="N61" s="1522">
        <f t="shared" si="157"/>
        <v>1.8352632728861701E-2</v>
      </c>
      <c r="O61" s="1523">
        <f t="shared" si="157"/>
        <v>2.6286459319075526E-3</v>
      </c>
      <c r="P61" s="1523">
        <f t="shared" si="158"/>
        <v>5.4299289107991269E-2</v>
      </c>
      <c r="Q61" s="1523">
        <f t="shared" si="158"/>
        <v>8.9126559714794995E-3</v>
      </c>
      <c r="R61" s="1472"/>
      <c r="S61" s="1470"/>
      <c r="T61" s="1471"/>
      <c r="U61" s="1471"/>
      <c r="V61" s="1471"/>
      <c r="X61" s="1524"/>
      <c r="Y61" s="1524"/>
      <c r="Z61" s="1524"/>
    </row>
    <row r="62" spans="1:26">
      <c r="A62" s="1459" t="s">
        <v>1189</v>
      </c>
      <c r="B62" s="1475">
        <f t="shared" si="159"/>
        <v>144.04145728643215</v>
      </c>
      <c r="C62" s="1475">
        <f t="shared" si="159"/>
        <v>136.12396694214877</v>
      </c>
      <c r="D62" s="1475">
        <f t="shared" si="133"/>
        <v>136.12396694214877</v>
      </c>
      <c r="E62" s="1475">
        <f t="shared" si="160"/>
        <v>158.32225913621264</v>
      </c>
      <c r="F62" s="1475">
        <f t="shared" si="160"/>
        <v>114.04278074866311</v>
      </c>
      <c r="G62" s="3281">
        <v>2006</v>
      </c>
      <c r="H62" s="1462">
        <v>1</v>
      </c>
      <c r="I62" s="1462">
        <v>2.29</v>
      </c>
      <c r="J62" s="1462">
        <v>3.72</v>
      </c>
      <c r="K62" s="1462">
        <v>0.75</v>
      </c>
      <c r="L62" s="1476">
        <v>0.04</v>
      </c>
      <c r="N62" s="1525">
        <f t="shared" si="157"/>
        <v>4.3778675988638847E-2</v>
      </c>
      <c r="O62" s="1526">
        <f t="shared" si="157"/>
        <v>3.9114251466784385E-2</v>
      </c>
      <c r="P62" s="1526">
        <f t="shared" si="158"/>
        <v>2.1433929911049188E-2</v>
      </c>
      <c r="Q62" s="1526">
        <f t="shared" si="158"/>
        <v>3.7526972511492629E-4</v>
      </c>
      <c r="R62" s="1472"/>
      <c r="S62" s="1478">
        <f>B62/B63-1</f>
        <v>4.3778675988638716E-2</v>
      </c>
      <c r="T62" s="1479">
        <f>C62/C63-1</f>
        <v>3.91142514667846E-2</v>
      </c>
      <c r="U62" s="1479">
        <f>E62/E63-1</f>
        <v>2.143392991104931E-2</v>
      </c>
      <c r="V62" s="1479">
        <f>F62/F63-1</f>
        <v>3.7526972511492396E-4</v>
      </c>
      <c r="X62" s="1524"/>
      <c r="Y62" s="1524"/>
      <c r="Z62" s="1524"/>
    </row>
    <row r="63" spans="1:26" ht="13.5" thickBot="1">
      <c r="A63" s="1459" t="s">
        <v>1190</v>
      </c>
      <c r="B63" s="1488">
        <v>138</v>
      </c>
      <c r="C63" s="1488">
        <v>131</v>
      </c>
      <c r="D63" s="1488">
        <f t="shared" si="133"/>
        <v>131</v>
      </c>
      <c r="E63" s="1488">
        <v>155</v>
      </c>
      <c r="F63" s="1489">
        <v>114</v>
      </c>
      <c r="G63" s="3279">
        <v>2005</v>
      </c>
      <c r="H63" s="1480">
        <v>4</v>
      </c>
      <c r="I63" s="1480">
        <v>3.29</v>
      </c>
      <c r="J63" s="1480">
        <v>1.44</v>
      </c>
      <c r="K63" s="1480">
        <v>0.66</v>
      </c>
      <c r="L63" s="1481">
        <v>7.78</v>
      </c>
      <c r="N63" s="1522">
        <f t="shared" ref="N63:O66" si="161">I63/SUM(I$63:I$66)*(B$63/B$67-1)</f>
        <v>9.9404603216919935E-2</v>
      </c>
      <c r="O63" s="1523">
        <f t="shared" si="161"/>
        <v>4.7636550760861554E-2</v>
      </c>
      <c r="P63" s="1523">
        <f t="shared" ref="P63:Q66" si="162">K63/SUM(K$63:K$66)*(E$63/E$67-1)</f>
        <v>8.3756345177664976E-2</v>
      </c>
      <c r="Q63" s="1523">
        <f t="shared" si="162"/>
        <v>5.2148766661559584E-2</v>
      </c>
      <c r="R63" s="1472"/>
      <c r="S63" s="1473"/>
      <c r="T63" s="1474"/>
      <c r="U63" s="1474"/>
      <c r="V63" s="1474"/>
      <c r="X63" s="1524"/>
      <c r="Y63" s="1524"/>
      <c r="Z63" s="1524"/>
    </row>
    <row r="64" spans="1:26">
      <c r="A64" s="1459" t="s">
        <v>1191</v>
      </c>
      <c r="B64" s="1475">
        <f t="shared" ref="B64:C66" si="163">B65+(B$63-B$67)*I64/SUM(I$63:I$66)</f>
        <v>125.9720430107527</v>
      </c>
      <c r="C64" s="1475">
        <f t="shared" si="163"/>
        <v>125.1883408071749</v>
      </c>
      <c r="D64" s="1475">
        <f t="shared" si="133"/>
        <v>125.1883408071749</v>
      </c>
      <c r="E64" s="1475">
        <f t="shared" ref="E64:F66" si="164">E65+(E$63-E$67)*K64/SUM(K$63:K$66)</f>
        <v>144.61421319796952</v>
      </c>
      <c r="F64" s="1475">
        <f t="shared" si="164"/>
        <v>108.42008196721311</v>
      </c>
      <c r="G64" s="3280">
        <v>2005</v>
      </c>
      <c r="H64" s="1485">
        <v>3</v>
      </c>
      <c r="I64" s="1485">
        <v>0.46</v>
      </c>
      <c r="J64" s="1485">
        <v>0.32</v>
      </c>
      <c r="K64" s="1485">
        <v>0.42</v>
      </c>
      <c r="L64" s="1486">
        <v>0.64</v>
      </c>
      <c r="N64" s="1522">
        <f t="shared" si="161"/>
        <v>1.3898515951301874E-2</v>
      </c>
      <c r="O64" s="1523">
        <f t="shared" si="161"/>
        <v>1.0585900169080346E-2</v>
      </c>
      <c r="P64" s="1523">
        <f t="shared" si="162"/>
        <v>5.3299492385786795E-2</v>
      </c>
      <c r="Q64" s="1523">
        <f t="shared" si="162"/>
        <v>4.2898728359123568E-3</v>
      </c>
      <c r="R64" s="1472"/>
      <c r="S64" s="1470"/>
      <c r="T64" s="1471"/>
      <c r="U64" s="1471"/>
      <c r="V64" s="1471"/>
      <c r="X64" s="1524"/>
      <c r="Y64" s="1524"/>
      <c r="Z64" s="1524"/>
    </row>
    <row r="65" spans="1:26">
      <c r="A65" s="1459" t="s">
        <v>1192</v>
      </c>
      <c r="B65" s="1475">
        <f t="shared" si="163"/>
        <v>124.29032258064517</v>
      </c>
      <c r="C65" s="1475">
        <f t="shared" si="163"/>
        <v>123.8968609865471</v>
      </c>
      <c r="D65" s="1475">
        <f t="shared" si="133"/>
        <v>123.8968609865471</v>
      </c>
      <c r="E65" s="1475">
        <f t="shared" si="164"/>
        <v>138.00507614213197</v>
      </c>
      <c r="F65" s="1475">
        <f t="shared" si="164"/>
        <v>107.96106557377048</v>
      </c>
      <c r="G65" s="3280">
        <v>2005</v>
      </c>
      <c r="H65" s="1463">
        <v>2</v>
      </c>
      <c r="I65" s="1463">
        <v>0.47</v>
      </c>
      <c r="J65" s="1463">
        <v>0.1</v>
      </c>
      <c r="K65" s="1463">
        <v>0.52</v>
      </c>
      <c r="L65" s="1477">
        <v>0.79</v>
      </c>
      <c r="N65" s="1522">
        <f t="shared" si="161"/>
        <v>1.420065760241713E-2</v>
      </c>
      <c r="O65" s="1523">
        <f t="shared" si="161"/>
        <v>3.3080938028376083E-3</v>
      </c>
      <c r="P65" s="1523">
        <f t="shared" si="162"/>
        <v>6.598984771573603E-2</v>
      </c>
      <c r="Q65" s="1523">
        <f t="shared" si="162"/>
        <v>5.2953117818293153E-3</v>
      </c>
      <c r="R65" s="1472"/>
      <c r="S65" s="1470"/>
      <c r="T65" s="1471"/>
      <c r="U65" s="1471"/>
      <c r="V65" s="1471"/>
      <c r="X65" s="1524"/>
      <c r="Y65" s="1524"/>
      <c r="Z65" s="1524"/>
    </row>
    <row r="66" spans="1:26">
      <c r="A66" s="1459" t="s">
        <v>1193</v>
      </c>
      <c r="B66" s="1475">
        <f t="shared" si="163"/>
        <v>122.57204301075269</v>
      </c>
      <c r="C66" s="1475">
        <f t="shared" si="163"/>
        <v>123.4932735426009</v>
      </c>
      <c r="D66" s="1475">
        <f t="shared" si="133"/>
        <v>123.4932735426009</v>
      </c>
      <c r="E66" s="1475">
        <f t="shared" si="164"/>
        <v>129.82233502538071</v>
      </c>
      <c r="F66" s="1475">
        <f t="shared" si="164"/>
        <v>107.39446721311475</v>
      </c>
      <c r="G66" s="3281">
        <v>2005</v>
      </c>
      <c r="H66" s="1462">
        <v>1</v>
      </c>
      <c r="I66" s="1462">
        <v>0.43</v>
      </c>
      <c r="J66" s="1462">
        <v>0.37</v>
      </c>
      <c r="K66" s="1462">
        <v>0.37</v>
      </c>
      <c r="L66" s="1476">
        <v>0.55000000000000004</v>
      </c>
      <c r="N66" s="1525">
        <f t="shared" si="161"/>
        <v>1.2992090997956099E-2</v>
      </c>
      <c r="O66" s="1526">
        <f t="shared" si="161"/>
        <v>1.2239947070499151E-2</v>
      </c>
      <c r="P66" s="1526">
        <f t="shared" si="162"/>
        <v>4.6954314720812178E-2</v>
      </c>
      <c r="Q66" s="1526">
        <f t="shared" si="162"/>
        <v>3.6866094683621815E-3</v>
      </c>
      <c r="R66" s="1472"/>
      <c r="S66" s="1478">
        <f>B66/B67-1</f>
        <v>1.2992090997956174E-2</v>
      </c>
      <c r="T66" s="1479">
        <f>C66/C67-1</f>
        <v>1.2239947070499246E-2</v>
      </c>
      <c r="U66" s="1479">
        <f>E66/E67-1</f>
        <v>4.695431472081224E-2</v>
      </c>
      <c r="V66" s="1479">
        <f>F66/F67-1</f>
        <v>3.6866094683620787E-3</v>
      </c>
      <c r="X66" s="1524"/>
      <c r="Y66" s="1524"/>
      <c r="Z66" s="1524"/>
    </row>
    <row r="67" spans="1:26" ht="13.5" thickBot="1">
      <c r="A67" s="1459" t="s">
        <v>1194</v>
      </c>
      <c r="B67" s="1509">
        <v>121</v>
      </c>
      <c r="C67" s="1509">
        <v>122</v>
      </c>
      <c r="D67" s="1509">
        <f t="shared" si="133"/>
        <v>122</v>
      </c>
      <c r="E67" s="1509">
        <v>124</v>
      </c>
      <c r="F67" s="1510">
        <v>107</v>
      </c>
      <c r="G67" s="3279">
        <v>2004</v>
      </c>
      <c r="H67" s="1480">
        <v>4</v>
      </c>
      <c r="I67" s="1480">
        <v>0.33</v>
      </c>
      <c r="J67" s="1480">
        <v>0.5</v>
      </c>
      <c r="K67" s="1480">
        <v>0.5</v>
      </c>
      <c r="L67" s="1481">
        <v>0</v>
      </c>
      <c r="N67" s="1522">
        <f t="shared" ref="N67:O70" si="165">I67/SUM(I$67:I$70)*(B$67/B$71-1)</f>
        <v>1.3391770148526898E-2</v>
      </c>
      <c r="O67" s="1523">
        <f t="shared" si="165"/>
        <v>1.063264221158958E-2</v>
      </c>
      <c r="P67" s="1523">
        <f t="shared" ref="P67:Q70" si="166">K67/SUM(K$67:K$70)*(E$67/E$71-1)</f>
        <v>2.2244466688911134E-2</v>
      </c>
      <c r="Q67" s="1523">
        <f t="shared" si="166"/>
        <v>0</v>
      </c>
      <c r="R67" s="1472"/>
      <c r="S67" s="1473"/>
      <c r="T67" s="1474"/>
      <c r="U67" s="1474"/>
      <c r="V67" s="1474"/>
      <c r="X67" s="1524"/>
      <c r="Y67" s="1524"/>
      <c r="Z67" s="1524"/>
    </row>
    <row r="68" spans="1:26">
      <c r="A68" s="1459" t="s">
        <v>1195</v>
      </c>
      <c r="B68" s="1475">
        <f t="shared" ref="B68:C70" si="167">B69+(B$67-B$71)*I68/SUM(I$67:I$70)</f>
        <v>119.51351351351352</v>
      </c>
      <c r="C68" s="1475">
        <f t="shared" si="167"/>
        <v>120.7878787878788</v>
      </c>
      <c r="D68" s="1475">
        <f t="shared" si="133"/>
        <v>120.7878787878788</v>
      </c>
      <c r="E68" s="1475">
        <f t="shared" ref="E68:F70" si="168">E69+(E$67-E$71)*K68/SUM(K$67:K$70)</f>
        <v>121.5975975975976</v>
      </c>
      <c r="F68" s="1475">
        <f t="shared" si="168"/>
        <v>107</v>
      </c>
      <c r="G68" s="3280">
        <v>2004</v>
      </c>
      <c r="H68" s="1485">
        <v>3</v>
      </c>
      <c r="I68" s="1485">
        <v>0.56000000000000005</v>
      </c>
      <c r="J68" s="1485">
        <v>0.8</v>
      </c>
      <c r="K68" s="1485">
        <v>0.83</v>
      </c>
      <c r="L68" s="1486">
        <v>0.06</v>
      </c>
      <c r="N68" s="1522">
        <f t="shared" si="165"/>
        <v>2.2725428130833527E-2</v>
      </c>
      <c r="O68" s="1523">
        <f t="shared" si="165"/>
        <v>1.7012227538543329E-2</v>
      </c>
      <c r="P68" s="1523">
        <f t="shared" si="166"/>
        <v>3.6925814703592477E-2</v>
      </c>
      <c r="Q68" s="1523">
        <f t="shared" si="166"/>
        <v>2.8846153846153744E-2</v>
      </c>
      <c r="R68" s="1472"/>
      <c r="S68" s="1470"/>
      <c r="T68" s="1471"/>
      <c r="U68" s="1471"/>
      <c r="V68" s="1471"/>
      <c r="X68" s="1524"/>
      <c r="Y68" s="1524"/>
      <c r="Z68" s="1524"/>
    </row>
    <row r="69" spans="1:26">
      <c r="A69" s="1459" t="s">
        <v>1196</v>
      </c>
      <c r="B69" s="1475">
        <f t="shared" si="167"/>
        <v>116.99099099099099</v>
      </c>
      <c r="C69" s="1475">
        <f t="shared" si="167"/>
        <v>118.84848484848486</v>
      </c>
      <c r="D69" s="1475">
        <f t="shared" si="133"/>
        <v>118.84848484848486</v>
      </c>
      <c r="E69" s="1475">
        <f t="shared" si="168"/>
        <v>117.60960960960961</v>
      </c>
      <c r="F69" s="1475">
        <f t="shared" si="168"/>
        <v>104</v>
      </c>
      <c r="G69" s="3280">
        <v>2004</v>
      </c>
      <c r="H69" s="1463">
        <v>2</v>
      </c>
      <c r="I69" s="1463">
        <v>1</v>
      </c>
      <c r="J69" s="1463">
        <v>1.5</v>
      </c>
      <c r="K69" s="1463">
        <v>1.5</v>
      </c>
      <c r="L69" s="1477">
        <v>0</v>
      </c>
      <c r="N69" s="1522">
        <f t="shared" si="165"/>
        <v>4.0581121662202721E-2</v>
      </c>
      <c r="O69" s="1523">
        <f t="shared" si="165"/>
        <v>3.1897926634768738E-2</v>
      </c>
      <c r="P69" s="1523">
        <f t="shared" si="166"/>
        <v>6.6733400066733395E-2</v>
      </c>
      <c r="Q69" s="1523">
        <f t="shared" si="166"/>
        <v>0</v>
      </c>
      <c r="R69" s="1472"/>
      <c r="S69" s="1470"/>
      <c r="T69" s="1471"/>
      <c r="U69" s="1471"/>
      <c r="V69" s="1471"/>
      <c r="X69" s="1524"/>
      <c r="Y69" s="1524"/>
      <c r="Z69" s="1524"/>
    </row>
    <row r="70" spans="1:26" s="1515" customFormat="1" ht="13.5" thickBot="1">
      <c r="A70" s="1459" t="s">
        <v>1197</v>
      </c>
      <c r="B70" s="1512">
        <f t="shared" si="167"/>
        <v>112.48648648648648</v>
      </c>
      <c r="C70" s="1512">
        <f t="shared" si="167"/>
        <v>115.21212121212122</v>
      </c>
      <c r="D70" s="1512">
        <f t="shared" si="133"/>
        <v>115.21212121212122</v>
      </c>
      <c r="E70" s="1512">
        <f t="shared" si="168"/>
        <v>110.4024024024024</v>
      </c>
      <c r="F70" s="1512">
        <f t="shared" si="168"/>
        <v>104</v>
      </c>
      <c r="G70" s="3281">
        <v>2004</v>
      </c>
      <c r="H70" s="1513">
        <v>1</v>
      </c>
      <c r="I70" s="1513">
        <v>0.33</v>
      </c>
      <c r="J70" s="1513">
        <v>0.5</v>
      </c>
      <c r="K70" s="1513">
        <v>0.5</v>
      </c>
      <c r="L70" s="1514">
        <v>0</v>
      </c>
      <c r="N70" s="1527">
        <f t="shared" si="165"/>
        <v>1.3391770148526898E-2</v>
      </c>
      <c r="O70" s="1528">
        <f t="shared" si="165"/>
        <v>1.063264221158958E-2</v>
      </c>
      <c r="P70" s="1528">
        <f t="shared" si="166"/>
        <v>2.2244466688911134E-2</v>
      </c>
      <c r="Q70" s="1528">
        <f t="shared" si="166"/>
        <v>0</v>
      </c>
      <c r="R70" s="1518"/>
      <c r="S70" s="1516">
        <f>B70/B71-1</f>
        <v>1.3391770148526883E-2</v>
      </c>
      <c r="T70" s="1517">
        <f>C70/C71-1</f>
        <v>1.063264221158966E-2</v>
      </c>
      <c r="U70" s="1517">
        <f>E70/E71-1</f>
        <v>2.2244466688911224E-2</v>
      </c>
      <c r="V70" s="1517">
        <f>F70/F71-1</f>
        <v>0</v>
      </c>
      <c r="X70" s="1529"/>
      <c r="Y70" s="1529"/>
      <c r="Z70" s="1529"/>
    </row>
    <row r="71" spans="1:26" ht="13.5" thickBot="1">
      <c r="A71" s="1459" t="s">
        <v>1198</v>
      </c>
      <c r="B71" s="1530">
        <v>111</v>
      </c>
      <c r="C71" s="1530">
        <v>114</v>
      </c>
      <c r="D71" s="1530">
        <f t="shared" si="133"/>
        <v>114</v>
      </c>
      <c r="E71" s="1530">
        <v>108</v>
      </c>
      <c r="F71" s="1531">
        <v>104</v>
      </c>
      <c r="G71" s="3279">
        <v>2003</v>
      </c>
      <c r="H71" s="1520">
        <v>4</v>
      </c>
      <c r="I71" s="1532"/>
      <c r="J71" s="1532"/>
      <c r="K71" s="1532"/>
      <c r="L71" s="1532"/>
      <c r="N71" s="1533"/>
      <c r="O71" s="1532"/>
      <c r="P71" s="1532"/>
      <c r="Q71" s="1532"/>
      <c r="S71" s="1533"/>
      <c r="T71" s="1532"/>
      <c r="U71" s="1532"/>
      <c r="V71" s="1532"/>
      <c r="X71" s="1524"/>
      <c r="Y71" s="1524"/>
      <c r="Z71" s="1524"/>
    </row>
    <row r="72" spans="1:26">
      <c r="A72" s="1459" t="s">
        <v>1199</v>
      </c>
      <c r="B72" s="1534">
        <f t="shared" ref="B72:C74" si="169">B73+(B$71-B$75)/4</f>
        <v>109.75</v>
      </c>
      <c r="C72" s="1534">
        <f t="shared" si="169"/>
        <v>112.25</v>
      </c>
      <c r="D72" s="1534">
        <f t="shared" si="133"/>
        <v>112.25</v>
      </c>
      <c r="E72" s="1534">
        <f t="shared" ref="E72:F74" si="170">E73+(E$71-E$75)/4</f>
        <v>107.25</v>
      </c>
      <c r="F72" s="1534">
        <f t="shared" si="170"/>
        <v>103.5</v>
      </c>
      <c r="G72" s="3280">
        <v>2003</v>
      </c>
      <c r="H72" s="1485">
        <v>3</v>
      </c>
      <c r="I72" s="1532"/>
      <c r="J72" s="1532"/>
      <c r="K72" s="1532"/>
      <c r="L72" s="1532"/>
      <c r="X72" s="1524"/>
      <c r="Y72" s="1524"/>
      <c r="Z72" s="1524"/>
    </row>
    <row r="73" spans="1:26">
      <c r="A73" s="1459" t="s">
        <v>1200</v>
      </c>
      <c r="B73" s="1534">
        <f t="shared" si="169"/>
        <v>108.5</v>
      </c>
      <c r="C73" s="1534">
        <f t="shared" si="169"/>
        <v>110.5</v>
      </c>
      <c r="D73" s="1534">
        <f t="shared" si="133"/>
        <v>110.5</v>
      </c>
      <c r="E73" s="1534">
        <f t="shared" si="170"/>
        <v>106.5</v>
      </c>
      <c r="F73" s="1534">
        <f t="shared" si="170"/>
        <v>103</v>
      </c>
      <c r="G73" s="3280">
        <v>2003</v>
      </c>
      <c r="H73" s="1463">
        <v>2</v>
      </c>
      <c r="I73" s="1532"/>
      <c r="J73" s="1532"/>
      <c r="K73" s="1532"/>
      <c r="L73" s="1532"/>
      <c r="X73" s="1524"/>
      <c r="Y73" s="1524"/>
      <c r="Z73" s="1524"/>
    </row>
    <row r="74" spans="1:26" ht="13.5" thickBot="1">
      <c r="A74" s="1459" t="s">
        <v>1201</v>
      </c>
      <c r="B74" s="1534">
        <f t="shared" si="169"/>
        <v>107.25</v>
      </c>
      <c r="C74" s="1534">
        <f t="shared" si="169"/>
        <v>108.75</v>
      </c>
      <c r="D74" s="1534">
        <f t="shared" si="133"/>
        <v>108.75</v>
      </c>
      <c r="E74" s="1534">
        <f t="shared" si="170"/>
        <v>105.75</v>
      </c>
      <c r="F74" s="1534">
        <f t="shared" si="170"/>
        <v>102.5</v>
      </c>
      <c r="G74" s="3281">
        <v>2003</v>
      </c>
      <c r="H74" s="1535">
        <v>1</v>
      </c>
      <c r="I74" s="1532"/>
      <c r="J74" s="1532"/>
      <c r="K74" s="1532"/>
      <c r="L74" s="1532"/>
      <c r="S74" s="1470"/>
      <c r="T74" s="1471"/>
      <c r="U74" s="1471"/>
      <c r="X74" s="1524"/>
      <c r="Y74" s="1524"/>
      <c r="Z74" s="1524"/>
    </row>
    <row r="75" spans="1:26" ht="13.5" thickBot="1">
      <c r="A75" s="1459" t="s">
        <v>1202</v>
      </c>
      <c r="B75" s="1536">
        <v>106</v>
      </c>
      <c r="C75" s="1536">
        <v>107</v>
      </c>
      <c r="D75" s="1536">
        <f t="shared" si="133"/>
        <v>107</v>
      </c>
      <c r="E75" s="1536">
        <v>105</v>
      </c>
      <c r="F75" s="1537">
        <v>102</v>
      </c>
      <c r="G75" s="3279">
        <v>2002</v>
      </c>
      <c r="H75" s="1480">
        <v>4</v>
      </c>
      <c r="I75" s="1532"/>
      <c r="J75" s="1532"/>
      <c r="K75" s="1532"/>
      <c r="L75" s="1532"/>
      <c r="N75" s="1533"/>
      <c r="O75" s="1532"/>
      <c r="P75" s="1532"/>
      <c r="Q75" s="1532"/>
      <c r="S75" s="1533"/>
      <c r="T75" s="1532"/>
      <c r="U75" s="1532"/>
      <c r="V75" s="1532"/>
      <c r="X75" s="1524"/>
      <c r="Y75" s="1524"/>
      <c r="Z75" s="1524"/>
    </row>
    <row r="76" spans="1:26">
      <c r="A76" s="1459" t="s">
        <v>1203</v>
      </c>
      <c r="B76" s="1534">
        <f t="shared" ref="B76:C78" si="171">B77+(B$75-B$79)/4</f>
        <v>105</v>
      </c>
      <c r="C76" s="1534">
        <f t="shared" si="171"/>
        <v>106</v>
      </c>
      <c r="D76" s="1534">
        <f t="shared" si="133"/>
        <v>106</v>
      </c>
      <c r="E76" s="1534">
        <f t="shared" ref="E76:F78" si="172">E77+(E$75-E$79)/4</f>
        <v>104.5</v>
      </c>
      <c r="F76" s="1534">
        <f t="shared" si="172"/>
        <v>101.5</v>
      </c>
      <c r="G76" s="3280">
        <v>2002</v>
      </c>
      <c r="H76" s="1485">
        <v>3</v>
      </c>
      <c r="I76" s="1532"/>
      <c r="J76" s="1532"/>
      <c r="K76" s="1532"/>
      <c r="L76" s="1532"/>
      <c r="X76" s="1524"/>
      <c r="Y76" s="1524"/>
      <c r="Z76" s="1524"/>
    </row>
    <row r="77" spans="1:26">
      <c r="A77" s="1459" t="s">
        <v>1204</v>
      </c>
      <c r="B77" s="1534">
        <f t="shared" si="171"/>
        <v>104</v>
      </c>
      <c r="C77" s="1534">
        <f t="shared" si="171"/>
        <v>105</v>
      </c>
      <c r="D77" s="1534">
        <f t="shared" si="133"/>
        <v>105</v>
      </c>
      <c r="E77" s="1534">
        <f t="shared" si="172"/>
        <v>104</v>
      </c>
      <c r="F77" s="1534">
        <f t="shared" si="172"/>
        <v>101</v>
      </c>
      <c r="G77" s="3280">
        <v>2002</v>
      </c>
      <c r="H77" s="1463">
        <v>2</v>
      </c>
      <c r="I77" s="1532"/>
      <c r="J77" s="1532"/>
      <c r="K77" s="1532"/>
      <c r="L77" s="1532"/>
      <c r="X77" s="1524"/>
      <c r="Y77" s="1524"/>
      <c r="Z77" s="1524"/>
    </row>
    <row r="78" spans="1:26" s="1496" customFormat="1" ht="13.5" thickBot="1">
      <c r="A78" s="1492" t="s">
        <v>1205</v>
      </c>
      <c r="B78" s="1538">
        <f t="shared" si="171"/>
        <v>103</v>
      </c>
      <c r="C78" s="1538">
        <f t="shared" si="171"/>
        <v>104</v>
      </c>
      <c r="D78" s="1538">
        <f t="shared" si="133"/>
        <v>104</v>
      </c>
      <c r="E78" s="1538">
        <f t="shared" si="172"/>
        <v>103.5</v>
      </c>
      <c r="F78" s="1538">
        <f t="shared" si="172"/>
        <v>100.5</v>
      </c>
      <c r="G78" s="3281">
        <v>2002</v>
      </c>
      <c r="H78" s="1539">
        <v>1</v>
      </c>
      <c r="I78" s="1540"/>
      <c r="J78" s="1540"/>
      <c r="K78" s="1540"/>
      <c r="L78" s="1540"/>
      <c r="N78" s="1541"/>
      <c r="S78" s="1541"/>
      <c r="X78" s="1542"/>
      <c r="Y78" s="1542"/>
      <c r="Z78" s="1542"/>
    </row>
    <row r="79" spans="1:26" ht="13.5" thickBot="1">
      <c r="B79" s="1543">
        <v>102</v>
      </c>
      <c r="C79" s="1544">
        <v>103</v>
      </c>
      <c r="D79" s="1544">
        <f t="shared" si="133"/>
        <v>103</v>
      </c>
      <c r="E79" s="1544">
        <v>103</v>
      </c>
      <c r="F79" s="1545">
        <v>100</v>
      </c>
      <c r="I79" s="1532"/>
      <c r="J79" s="1532"/>
      <c r="K79" s="1532"/>
      <c r="L79" s="1532"/>
      <c r="N79" s="1533"/>
      <c r="O79" s="1532"/>
      <c r="P79" s="1532"/>
      <c r="Q79" s="1532"/>
      <c r="S79" s="1533"/>
      <c r="T79" s="1532"/>
      <c r="U79" s="1532"/>
      <c r="V79" s="1532"/>
      <c r="X79" s="1474"/>
      <c r="Y79" s="1474"/>
      <c r="Z79" s="1474"/>
    </row>
    <row r="81" spans="1:22" s="1547" customFormat="1">
      <c r="A81" s="1546" t="s">
        <v>1206</v>
      </c>
      <c r="G81" s="1548"/>
      <c r="N81" s="1548"/>
      <c r="S81" s="1548"/>
    </row>
    <row r="82" spans="1:22" s="1547" customFormat="1">
      <c r="A82" s="1547" t="s">
        <v>1207</v>
      </c>
      <c r="G82" s="1548"/>
      <c r="N82" s="1548"/>
      <c r="S82" s="1548"/>
    </row>
    <row r="83" spans="1:22" s="1547" customFormat="1">
      <c r="A83" s="1547" t="s">
        <v>1208</v>
      </c>
      <c r="G83" s="1548"/>
      <c r="I83" s="1549"/>
      <c r="J83" s="1549"/>
      <c r="K83" s="1549"/>
      <c r="L83" s="1549"/>
      <c r="N83" s="1550"/>
      <c r="O83" s="1549"/>
      <c r="P83" s="1549"/>
      <c r="Q83" s="1549"/>
      <c r="S83" s="1550"/>
      <c r="T83" s="1549"/>
      <c r="U83" s="1549"/>
      <c r="V83" s="1549"/>
    </row>
    <row r="84" spans="1:22" s="1547" customFormat="1">
      <c r="A84" s="1547" t="s">
        <v>1209</v>
      </c>
      <c r="G84" s="1548"/>
      <c r="N84" s="1548"/>
      <c r="S84" s="1548"/>
    </row>
    <row r="91" spans="1:22" ht="13.5" thickBot="1"/>
    <row r="92" spans="1:22">
      <c r="G92" s="1469"/>
      <c r="S92" s="1551" t="s">
        <v>1210</v>
      </c>
      <c r="T92" s="1552" t="s">
        <v>1211</v>
      </c>
      <c r="U92" s="1552" t="s">
        <v>1212</v>
      </c>
      <c r="V92" s="1552" t="s">
        <v>1213</v>
      </c>
    </row>
    <row r="93" spans="1:22">
      <c r="G93" s="1469"/>
      <c r="N93" s="1473"/>
      <c r="O93" s="1474"/>
      <c r="P93" s="1474"/>
      <c r="Q93" s="1474"/>
      <c r="S93" s="1553">
        <v>2006</v>
      </c>
      <c r="T93" s="1554">
        <v>15.1</v>
      </c>
      <c r="U93" s="1554">
        <v>7.43</v>
      </c>
      <c r="V93" s="1554">
        <v>26.26</v>
      </c>
    </row>
    <row r="94" spans="1:22">
      <c r="G94" s="1469"/>
      <c r="N94" s="1473"/>
      <c r="O94" s="1474"/>
      <c r="P94" s="1474"/>
      <c r="Q94" s="1474"/>
      <c r="S94" s="1555">
        <v>2005</v>
      </c>
      <c r="T94" s="1556">
        <v>13.9</v>
      </c>
      <c r="U94" s="1556">
        <v>7.49</v>
      </c>
      <c r="V94" s="1556">
        <v>24.92</v>
      </c>
    </row>
    <row r="95" spans="1:22">
      <c r="G95" s="1469"/>
      <c r="N95" s="1473"/>
      <c r="O95" s="1474"/>
      <c r="P95" s="1474"/>
      <c r="Q95" s="1474"/>
      <c r="S95" s="1553">
        <v>2004</v>
      </c>
      <c r="T95" s="1554">
        <v>9.48</v>
      </c>
      <c r="U95" s="1554">
        <v>7.2</v>
      </c>
      <c r="V95" s="1554">
        <v>14.68</v>
      </c>
    </row>
    <row r="96" spans="1:22">
      <c r="G96" s="1469"/>
      <c r="N96" s="1473"/>
      <c r="O96" s="1474"/>
      <c r="P96" s="1474"/>
      <c r="Q96" s="1474"/>
      <c r="S96" s="1555">
        <v>2003</v>
      </c>
      <c r="T96" s="1556">
        <v>4.5</v>
      </c>
      <c r="U96" s="1556">
        <v>6.12</v>
      </c>
      <c r="V96" s="1556">
        <v>2.34</v>
      </c>
    </row>
    <row r="97" spans="7:22" ht="13.5" thickBot="1">
      <c r="G97" s="1469"/>
      <c r="N97" s="1473"/>
      <c r="O97" s="1474"/>
      <c r="P97" s="1474"/>
      <c r="Q97" s="1474"/>
      <c r="S97" s="1557">
        <v>2002</v>
      </c>
      <c r="T97" s="1558">
        <v>3.59</v>
      </c>
      <c r="U97" s="1558">
        <v>4.54</v>
      </c>
      <c r="V97" s="1558">
        <v>2.5499999999999998</v>
      </c>
    </row>
    <row r="98" spans="7:22">
      <c r="G98" s="1469"/>
      <c r="N98" s="1473"/>
      <c r="O98" s="1474"/>
      <c r="P98" s="1474"/>
      <c r="Q98" s="1474"/>
    </row>
    <row r="99" spans="7:22">
      <c r="G99" s="1469"/>
      <c r="N99" s="1473"/>
      <c r="O99" s="1474"/>
      <c r="P99" s="1474"/>
      <c r="Q99" s="1474"/>
    </row>
    <row r="100" spans="7:22">
      <c r="G100" s="1469"/>
      <c r="N100" s="1473"/>
      <c r="O100" s="1474"/>
      <c r="P100" s="1474"/>
      <c r="Q100" s="1474"/>
    </row>
    <row r="101" spans="7:22">
      <c r="G101" s="1469"/>
      <c r="N101" s="1473"/>
      <c r="O101" s="1474"/>
      <c r="P101" s="1474"/>
      <c r="Q101" s="1474"/>
    </row>
    <row r="102" spans="7:22">
      <c r="G102" s="1469"/>
      <c r="N102" s="1473"/>
      <c r="O102" s="1474"/>
      <c r="P102" s="1474"/>
      <c r="Q102" s="1474"/>
    </row>
    <row r="103" spans="7:22">
      <c r="G103" s="1469"/>
      <c r="N103" s="1473"/>
      <c r="O103" s="1474"/>
      <c r="P103" s="1474"/>
      <c r="Q103" s="1474"/>
    </row>
    <row r="104" spans="7:22">
      <c r="G104" s="1469"/>
      <c r="N104" s="1473"/>
      <c r="O104" s="1474"/>
      <c r="P104" s="1474"/>
      <c r="Q104" s="1474"/>
    </row>
    <row r="105" spans="7:22">
      <c r="G105" s="1469"/>
      <c r="N105" s="1473"/>
      <c r="O105" s="1474"/>
      <c r="P105" s="1474"/>
      <c r="Q105" s="1474"/>
    </row>
    <row r="106" spans="7:22">
      <c r="G106" s="1469"/>
      <c r="N106" s="1473"/>
      <c r="O106" s="1474"/>
      <c r="P106" s="1474"/>
      <c r="Q106" s="1474"/>
    </row>
    <row r="107" spans="7:22">
      <c r="G107" s="1469"/>
      <c r="N107" s="1473"/>
      <c r="O107" s="1474"/>
      <c r="P107" s="1474"/>
      <c r="Q107" s="1474"/>
    </row>
    <row r="108" spans="7:22">
      <c r="G108" s="1469"/>
      <c r="N108" s="1473"/>
      <c r="O108" s="1474"/>
      <c r="P108" s="1474"/>
      <c r="Q108" s="1474"/>
      <c r="S108" s="1469"/>
    </row>
    <row r="109" spans="7:22">
      <c r="G109" s="1469"/>
      <c r="N109" s="1473"/>
      <c r="O109" s="1474"/>
      <c r="P109" s="1474"/>
      <c r="Q109" s="1474"/>
      <c r="S109" s="1469"/>
    </row>
    <row r="110" spans="7:22">
      <c r="G110" s="1469"/>
      <c r="N110" s="1473"/>
      <c r="O110" s="1474"/>
      <c r="P110" s="1474"/>
      <c r="Q110" s="1474"/>
      <c r="S110" s="1469"/>
    </row>
    <row r="111" spans="7:22">
      <c r="G111" s="1469"/>
      <c r="N111" s="1473"/>
      <c r="O111" s="1474"/>
      <c r="P111" s="1474"/>
      <c r="Q111" s="1474"/>
      <c r="S111" s="1469"/>
    </row>
    <row r="112" spans="7:22">
      <c r="G112" s="1469"/>
      <c r="N112" s="1473"/>
      <c r="O112" s="1474"/>
      <c r="P112" s="1474"/>
      <c r="Q112" s="1474"/>
      <c r="S112" s="1469"/>
    </row>
    <row r="113" spans="7:19">
      <c r="G113" s="1469"/>
      <c r="N113" s="1473"/>
      <c r="O113" s="1474"/>
      <c r="P113" s="1474"/>
      <c r="Q113" s="1474"/>
      <c r="S113" s="1469"/>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3002</v>
      </c>
      <c r="C1" s="3291" t="s">
        <v>3003</v>
      </c>
      <c r="D1" s="3292"/>
      <c r="E1" s="3292"/>
      <c r="F1" s="3292"/>
      <c r="G1" s="3292"/>
      <c r="H1" s="3292"/>
      <c r="I1" s="3292"/>
      <c r="J1" s="3292"/>
      <c r="K1" s="3292"/>
      <c r="L1" s="3292"/>
      <c r="M1" s="3292"/>
      <c r="N1" s="3292"/>
      <c r="O1" s="3292"/>
      <c r="P1" s="3292"/>
      <c r="Q1" s="3292"/>
      <c r="R1" s="3292"/>
      <c r="S1" s="3293"/>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59" t="s">
        <v>3006</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0" t="s">
        <v>3007</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0" t="s">
        <v>3008</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59" t="s">
        <v>3009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59" t="s">
        <v>3010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59" t="s">
        <v>3011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0" t="s">
        <v>3012</v>
      </c>
      <c r="B17" s="2901"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2" t="s">
        <v>3014</v>
      </c>
      <c r="E19" s="1782"/>
      <c r="F19" s="1782"/>
      <c r="G19" s="1782"/>
      <c r="H19" s="1278"/>
      <c r="I19" s="167"/>
      <c r="J19" s="167"/>
      <c r="K19" s="167"/>
      <c r="L19" s="167"/>
      <c r="M19" s="167"/>
      <c r="N19" s="167"/>
      <c r="O19" s="167"/>
      <c r="P19" s="167"/>
      <c r="Q19" s="167"/>
      <c r="R19" s="786"/>
      <c r="S19" s="137"/>
    </row>
    <row r="20" spans="1:45" ht="16.5" thickBot="1">
      <c r="A20" s="714" t="s">
        <v>3015</v>
      </c>
      <c r="B20" s="337" t="e">
        <f ca="1">IF(D20="——",S22,S22-F20)</f>
        <v>#REF!</v>
      </c>
      <c r="C20" s="167"/>
      <c r="D20" s="2903" t="s">
        <v>3016</v>
      </c>
      <c r="E20" s="1783"/>
      <c r="F20" s="1202" t="e">
        <f ca="1">SUMIF(INDIRECT("'"&amp;H20&amp;"'"&amp;"!A:A"),"承租人权益价值",INDIRECT("'"&amp;H20&amp;"'"&amp;"!c:c"))</f>
        <v>#REF!</v>
      </c>
      <c r="G20" s="1202" t="s">
        <v>3017</v>
      </c>
      <c r="H20" s="2904"/>
      <c r="I20" s="167"/>
      <c r="J20" s="167"/>
      <c r="K20" s="167"/>
      <c r="L20" s="167"/>
      <c r="M20" s="167"/>
      <c r="N20" s="167"/>
      <c r="O20" s="167"/>
      <c r="P20" s="167"/>
      <c r="Q20" s="167"/>
      <c r="R20" s="786"/>
      <c r="S20" s="137"/>
    </row>
    <row r="21" spans="1:45" ht="15.75">
      <c r="A21" s="714" t="s">
        <v>3018</v>
      </c>
      <c r="B21" s="337" t="e">
        <f ca="1">ROUND(B20*10000/B22,0)</f>
        <v>#REF!</v>
      </c>
      <c r="C21" s="167"/>
      <c r="D21" s="167"/>
      <c r="E21" s="167"/>
      <c r="F21" s="167"/>
      <c r="G21" s="167"/>
      <c r="H21" s="167"/>
      <c r="I21" s="167"/>
      <c r="J21" s="167"/>
      <c r="K21" s="167"/>
      <c r="L21" s="167"/>
      <c r="M21" s="167"/>
      <c r="N21" s="167"/>
      <c r="O21" s="167"/>
      <c r="P21" s="167"/>
      <c r="Q21" s="167"/>
      <c r="R21" s="786"/>
      <c r="S21" s="137"/>
    </row>
    <row r="22" spans="1:45">
      <c r="A22" s="360" t="s">
        <v>3019</v>
      </c>
      <c r="B22" s="24">
        <f>SUM(B24:B10000)</f>
        <v>100</v>
      </c>
      <c r="C22" s="3148" t="s">
        <v>33</v>
      </c>
      <c r="D22" s="3149"/>
      <c r="E22" s="3149"/>
      <c r="F22" s="3149"/>
      <c r="G22" s="3149"/>
      <c r="H22" s="3149"/>
      <c r="I22" s="3149"/>
      <c r="J22" s="3149"/>
      <c r="K22" s="3149"/>
      <c r="L22" s="3149"/>
      <c r="M22" s="3149"/>
      <c r="N22" s="3149"/>
      <c r="O22" s="3149"/>
      <c r="P22" s="3149"/>
      <c r="Q22" s="3290"/>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49875</v>
      </c>
      <c r="C2" s="2" t="s">
        <v>133</v>
      </c>
      <c r="D2" s="242"/>
      <c r="E2" s="242"/>
      <c r="F2" s="242"/>
      <c r="G2" s="242"/>
    </row>
    <row r="3" spans="1:7" s="243" customFormat="1" ht="18" customHeight="1" thickBot="1">
      <c r="A3" s="246" t="s">
        <v>85</v>
      </c>
      <c r="B3" s="247">
        <f ca="1">ROUND(B2*10000/'数据-汇总表'!E3,0)</f>
        <v>7445</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0</v>
      </c>
      <c r="D9" s="1030">
        <f>'数据-汇总表'!E5</f>
        <v>0</v>
      </c>
      <c r="E9" s="268">
        <f>'数据-取费表'!B27</f>
        <v>160</v>
      </c>
      <c r="F9" s="264"/>
      <c r="G9" s="269"/>
    </row>
    <row r="10" spans="1:7" s="257" customFormat="1" ht="13.5" customHeight="1">
      <c r="A10" s="948" t="s">
        <v>801</v>
      </c>
      <c r="B10" s="267" t="s">
        <v>94</v>
      </c>
      <c r="C10" s="268">
        <f>ROUND(D10*E10/10000,0)</f>
        <v>1340</v>
      </c>
      <c r="D10" s="1030">
        <f>'数据-汇总表'!E6</f>
        <v>66988.94</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1340</v>
      </c>
      <c r="D19" s="1034">
        <f>'数据-汇总表'!E3</f>
        <v>66988.94</v>
      </c>
      <c r="E19" s="254">
        <f>'数据-取费表'!B31</f>
        <v>200</v>
      </c>
      <c r="F19" s="274"/>
      <c r="G19" s="1" t="s">
        <v>1070</v>
      </c>
    </row>
    <row r="20" spans="1:7" s="257" customFormat="1" ht="13.5" customHeight="1">
      <c r="A20" s="946" t="s">
        <v>1053</v>
      </c>
      <c r="B20" s="253" t="s">
        <v>104</v>
      </c>
      <c r="C20" s="275">
        <f>ROUND((C5+C19)*F20,0)</f>
        <v>439</v>
      </c>
      <c r="D20" s="275"/>
      <c r="E20" s="275"/>
      <c r="F20" s="276">
        <f>'数据-取费表'!B37</f>
        <v>0.02</v>
      </c>
      <c r="G20" s="1287"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1599</v>
      </c>
      <c r="D22" s="278">
        <f ca="1">C26</f>
        <v>6.9999999999999999E-4</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1486</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97</v>
      </c>
      <c r="D24" s="281"/>
      <c r="E24" s="281"/>
      <c r="F24" s="282"/>
      <c r="G24" s="283" t="s">
        <v>109</v>
      </c>
    </row>
    <row r="25" spans="1:7" s="257" customFormat="1" ht="24">
      <c r="A25" s="949" t="s">
        <v>793</v>
      </c>
      <c r="B25" s="258" t="s">
        <v>1054</v>
      </c>
      <c r="C25" s="1353">
        <f ca="1">ROUND(IF('数据-取费表'!B22&lt;=1,C20*F22*'数据-取费表'!B23/2,C20*(POWER((1+F22),'数据-取费表'!B23/2)-1)),0)</f>
        <v>16</v>
      </c>
      <c r="D25" s="281"/>
      <c r="E25" s="284"/>
      <c r="F25" s="282"/>
      <c r="G25" s="285" t="s">
        <v>110</v>
      </c>
    </row>
    <row r="26" spans="1:7" s="257" customFormat="1">
      <c r="A26" s="949" t="s">
        <v>795</v>
      </c>
      <c r="B26" s="258" t="s">
        <v>1056</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3358</v>
      </c>
      <c r="D27" s="278">
        <f>C29</f>
        <v>3.0000000000000001E-3</v>
      </c>
      <c r="E27" s="279" t="s">
        <v>126</v>
      </c>
      <c r="F27" s="289">
        <f>'数据-取费表'!Q16</f>
        <v>0.15</v>
      </c>
      <c r="G27" s="290" t="s">
        <v>1065</v>
      </c>
    </row>
    <row r="28" spans="1:7" s="257" customFormat="1" ht="13.5" customHeight="1">
      <c r="A28" s="949" t="s">
        <v>794</v>
      </c>
      <c r="B28" s="291" t="s">
        <v>1058</v>
      </c>
      <c r="C28" s="292">
        <f>ROUND((C5+C19+C20)*F27*'数据-取费表'!B21/'数据-取费表'!B20,0)</f>
        <v>3358</v>
      </c>
      <c r="D28" s="278"/>
      <c r="E28" s="279"/>
      <c r="F28" s="289"/>
      <c r="G28" s="290"/>
    </row>
    <row r="29" spans="1:7" s="257" customFormat="1" ht="13.5" customHeight="1">
      <c r="A29" s="949" t="s">
        <v>792</v>
      </c>
      <c r="B29" s="291" t="s">
        <v>1059</v>
      </c>
      <c r="C29" s="281">
        <f>ROUND(C21*F27*'数据-取费表'!B21/'数据-取费表'!B20,4)</f>
        <v>3.0000000000000001E-3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29598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19175</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16747</v>
      </c>
      <c r="D34" s="260"/>
      <c r="E34" s="263"/>
      <c r="F34" s="300">
        <f>IF('数据-取费表'!B24=0,1,'数据-取费表'!N16)</f>
        <v>1</v>
      </c>
      <c r="G34" s="262" t="s">
        <v>116</v>
      </c>
    </row>
    <row r="35" spans="1:7" ht="13.5" customHeight="1">
      <c r="A35" s="949" t="s">
        <v>796</v>
      </c>
      <c r="B35" s="258" t="s">
        <v>60</v>
      </c>
      <c r="C35" s="263">
        <f>ROUND(C34*F35,0)</f>
        <v>837</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1340</v>
      </c>
      <c r="D37" s="260">
        <f>'数据-汇总表'!E3</f>
        <v>66988.94</v>
      </c>
      <c r="E37" s="292">
        <f>'数据-取费表'!B35</f>
        <v>200</v>
      </c>
      <c r="F37" s="302"/>
      <c r="G37" s="304" t="s">
        <v>119</v>
      </c>
    </row>
    <row r="38" spans="1:7" ht="13.5" customHeight="1">
      <c r="A38" s="949" t="s">
        <v>799</v>
      </c>
      <c r="B38" s="258" t="s">
        <v>63</v>
      </c>
      <c r="C38" s="263">
        <f>ROUND(C34*F38,0)</f>
        <v>251</v>
      </c>
      <c r="D38" s="263"/>
      <c r="E38" s="263"/>
      <c r="F38" s="302">
        <f>'数据-取费表'!B36</f>
        <v>1.4999999999999999E-2</v>
      </c>
      <c r="G38" s="262" t="s">
        <v>117</v>
      </c>
    </row>
    <row r="39" spans="1:7" s="257" customFormat="1" ht="13.5" customHeight="1">
      <c r="A39" s="946" t="s">
        <v>783</v>
      </c>
      <c r="B39" s="253" t="s">
        <v>104</v>
      </c>
      <c r="C39" s="275">
        <f>ROUND(C33*F20,0)</f>
        <v>384</v>
      </c>
      <c r="D39" s="275"/>
      <c r="E39" s="275"/>
      <c r="F39" s="276"/>
      <c r="G39" s="1287" t="s">
        <v>1067</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693</v>
      </c>
      <c r="D41" s="278">
        <f ca="1">C44</f>
        <v>6.9999999999999999E-4</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679</v>
      </c>
      <c r="D42" s="281"/>
      <c r="E42" s="281"/>
      <c r="F42" s="282"/>
      <c r="G42" s="3155" t="s">
        <v>121</v>
      </c>
    </row>
    <row r="43" spans="1:7" ht="13.5" customHeight="1">
      <c r="A43" s="949" t="s">
        <v>792</v>
      </c>
      <c r="B43" s="258" t="s">
        <v>1060</v>
      </c>
      <c r="C43" s="281">
        <f ca="1">ROUND(IF('数据-取费表'!B22&lt;=1,C39*F22*'数据-取费表'!B21/2,C39*(POWER((1+F22),'数据-取费表'!B21/2)-1)),0)</f>
        <v>14</v>
      </c>
      <c r="D43" s="281"/>
      <c r="E43" s="281"/>
      <c r="F43" s="282"/>
      <c r="G43" s="3156"/>
    </row>
    <row r="44" spans="1:7" ht="13.5" customHeight="1">
      <c r="A44" s="949" t="s">
        <v>793</v>
      </c>
      <c r="B44" s="258" t="s">
        <v>1062</v>
      </c>
      <c r="C44" s="281">
        <f ca="1">ROUND(IF('数据-取费表'!B22&lt;=1,C40*F22*'数据-取费表'!B21/2,C40*(POWER((1+F22),'数据-取费表'!B21/2)-1)),4)</f>
        <v>6.9999999999999999E-4</v>
      </c>
      <c r="D44" s="281"/>
      <c r="E44" s="281"/>
      <c r="F44" s="282"/>
      <c r="G44" s="3157"/>
    </row>
    <row r="45" spans="1:7" s="257" customFormat="1" ht="13.5" customHeight="1">
      <c r="A45" s="946" t="s">
        <v>786</v>
      </c>
      <c r="B45" s="287" t="s">
        <v>112</v>
      </c>
      <c r="C45" s="288">
        <f>C46</f>
        <v>2934</v>
      </c>
      <c r="D45" s="278">
        <f>C47</f>
        <v>3.0000000000000001E-3</v>
      </c>
      <c r="E45" s="279" t="s">
        <v>129</v>
      </c>
      <c r="F45" s="289"/>
      <c r="G45" s="290" t="s">
        <v>1068</v>
      </c>
    </row>
    <row r="46" spans="1:7" s="257" customFormat="1" ht="13.5" customHeight="1">
      <c r="A46" s="949" t="s">
        <v>794</v>
      </c>
      <c r="B46" s="291" t="s">
        <v>1061</v>
      </c>
      <c r="C46" s="292">
        <f>ROUND((C33+C39)*F27,0)</f>
        <v>2934</v>
      </c>
      <c r="D46" s="306"/>
      <c r="E46" s="279"/>
      <c r="F46" s="289"/>
      <c r="G46" s="290"/>
    </row>
    <row r="47" spans="1:7" s="257" customFormat="1" ht="13.5" customHeight="1">
      <c r="A47" s="949" t="s">
        <v>792</v>
      </c>
      <c r="B47" s="291" t="s">
        <v>1063</v>
      </c>
      <c r="C47" s="281">
        <f>ROUND(C40*F27,4)</f>
        <v>3.0000000000000001E-3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25095</v>
      </c>
      <c r="D49" s="275"/>
      <c r="E49" s="275"/>
      <c r="F49" s="307"/>
      <c r="G49" s="277" t="s">
        <v>1069</v>
      </c>
    </row>
    <row r="50" spans="1:7" s="301" customFormat="1" ht="24">
      <c r="A50" s="946" t="s">
        <v>789</v>
      </c>
      <c r="B50" s="253" t="s">
        <v>124</v>
      </c>
      <c r="C50" s="275"/>
      <c r="D50" s="275"/>
      <c r="E50" s="275"/>
      <c r="F50" s="307">
        <f>IF('数据-取费表'!B24=0,'数据-取费表'!N16,1)</f>
        <v>0.80800000000000005</v>
      </c>
      <c r="G50" s="290" t="s">
        <v>125</v>
      </c>
    </row>
    <row r="51" spans="1:7" ht="16.5" customHeight="1">
      <c r="A51" s="946" t="s">
        <v>790</v>
      </c>
      <c r="B51" s="253" t="s">
        <v>132</v>
      </c>
      <c r="C51" s="275">
        <f ca="1">ROUND(C49*F50,0)</f>
        <v>20277</v>
      </c>
      <c r="D51" s="275"/>
      <c r="E51" s="275"/>
      <c r="F51" s="307"/>
      <c r="G51" s="277" t="s">
        <v>64</v>
      </c>
    </row>
    <row r="52" spans="1:7" s="251" customFormat="1" ht="16.5" thickBot="1">
      <c r="A52" s="308" t="s">
        <v>65</v>
      </c>
      <c r="B52" s="309"/>
      <c r="C52" s="310">
        <f ca="1">C31+C51</f>
        <v>49875</v>
      </c>
      <c r="D52" s="309"/>
      <c r="E52" s="309"/>
      <c r="F52" s="309"/>
      <c r="G52" s="311"/>
    </row>
    <row r="55" spans="1:7" ht="15">
      <c r="B55" s="313" t="s">
        <v>66</v>
      </c>
      <c r="C55" s="314"/>
    </row>
    <row r="56" spans="1:7">
      <c r="B56" s="316" t="s">
        <v>67</v>
      </c>
      <c r="C56" s="317">
        <f ca="1">ROUND(C51/C52,3)</f>
        <v>0.40699999999999997</v>
      </c>
    </row>
    <row r="57" spans="1:7">
      <c r="B57" s="316" t="s">
        <v>68</v>
      </c>
      <c r="C57" s="318">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4" t="s">
        <v>156</v>
      </c>
      <c r="B1" s="3294"/>
      <c r="C1" s="3294"/>
      <c r="D1" s="3294"/>
      <c r="E1" s="3294"/>
      <c r="F1" s="329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5" t="s">
        <v>169</v>
      </c>
      <c r="B2" s="3295"/>
      <c r="C2" s="3295"/>
      <c r="D2" s="3295"/>
      <c r="E2" s="3295"/>
      <c r="F2" s="329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4" t="s">
        <v>867</v>
      </c>
      <c r="B1" s="3294"/>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44005</v>
      </c>
      <c r="D1" s="1698" t="s">
        <v>1296</v>
      </c>
      <c r="E1" s="1693">
        <f>'数据-取费表'!B22</f>
        <v>1.5</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2" t="s">
        <v>1632</v>
      </c>
      <c r="E3" s="1042" t="s">
        <v>1638</v>
      </c>
      <c r="F3" s="1042" t="s">
        <v>1632</v>
      </c>
      <c r="G3" s="1042" t="s">
        <v>1633</v>
      </c>
      <c r="H3" s="1042" t="s">
        <v>1632</v>
      </c>
      <c r="I3" s="1042" t="s">
        <v>1633</v>
      </c>
    </row>
    <row r="4" spans="1:9" ht="30">
      <c r="A4" s="1962" t="str">
        <f>项目基本情况!S2</f>
        <v>北京市房地产</v>
      </c>
      <c r="B4" s="1042">
        <f>项目基本情况!C17</f>
        <v>66988.94</v>
      </c>
      <c r="C4" s="1042">
        <f>项目基本情况!C18</f>
        <v>120628.8</v>
      </c>
      <c r="D4" s="1042" t="e">
        <f ca="1">结果表!D118</f>
        <v>#REF!</v>
      </c>
      <c r="E4" s="1042" t="e">
        <f ca="1">结果表!E118</f>
        <v>#REF!</v>
      </c>
      <c r="F4" s="1042" t="e">
        <f ca="1">结果表!F118</f>
        <v>#REF!</v>
      </c>
      <c r="G4" s="1042" t="e">
        <f ca="1">结果表!G118</f>
        <v>#REF!</v>
      </c>
      <c r="H4" s="1042">
        <f ca="1">结果表!H118</f>
        <v>39767</v>
      </c>
      <c r="I4" s="1042">
        <f ca="1">结果表!I118</f>
        <v>5936</v>
      </c>
    </row>
    <row r="5" spans="1:9" ht="30" customHeight="1">
      <c r="A5" s="2982" t="s">
        <v>1634</v>
      </c>
      <c r="B5" s="2982"/>
      <c r="C5" s="2982"/>
      <c r="D5" s="2983" t="e">
        <f ca="1">结果表!D119</f>
        <v>#REF!</v>
      </c>
      <c r="E5" s="2983"/>
      <c r="F5" s="2983" t="e">
        <f ca="1">结果表!F119</f>
        <v>#REF!</v>
      </c>
      <c r="G5" s="2983"/>
      <c r="H5" s="2983" t="str">
        <f ca="1">结果表!H119</f>
        <v>叁亿玖仟柒佰陆拾柒万元整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1634</v>
      </c>
      <c r="B7" s="2982"/>
      <c r="C7" s="2982"/>
      <c r="D7" s="2984" t="str">
        <f>结果表!D121</f>
        <v>零元整</v>
      </c>
      <c r="E7" s="2985"/>
      <c r="F7" s="2985"/>
      <c r="G7" s="2985"/>
      <c r="H7" s="2985"/>
      <c r="I7" s="2986"/>
    </row>
    <row r="8" spans="1:9" ht="15.75">
      <c r="A8" s="2981" t="str">
        <f>结果表!A122</f>
        <v>房地产抵押价值</v>
      </c>
      <c r="B8" s="2981"/>
      <c r="C8" s="2981"/>
      <c r="D8" s="2981">
        <f ca="1">结果表!D122</f>
        <v>39767</v>
      </c>
      <c r="E8" s="2981"/>
      <c r="F8" s="2981"/>
      <c r="G8" s="2981"/>
      <c r="H8" s="2981"/>
      <c r="I8" s="2981"/>
    </row>
    <row r="9" spans="1:9" ht="15">
      <c r="A9" s="2982" t="s">
        <v>1634</v>
      </c>
      <c r="B9" s="2982"/>
      <c r="C9" s="2982"/>
      <c r="D9" s="2983" t="str">
        <f ca="1">结果表!D123</f>
        <v>叁亿玖仟柒佰陆拾柒万元整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1634</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2995" t="s">
        <v>1656</v>
      </c>
      <c r="B1" s="2995"/>
      <c r="C1" s="2995"/>
      <c r="D1" s="2995"/>
    </row>
    <row r="2" spans="1:4" ht="18">
      <c r="A2" s="2996" t="s">
        <v>1640</v>
      </c>
      <c r="B2" s="2996"/>
      <c r="C2" s="2996"/>
      <c r="D2" s="2996"/>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2996" t="s">
        <v>1646</v>
      </c>
      <c r="B6" s="2996"/>
      <c r="C6" s="2996"/>
      <c r="D6" s="2996"/>
    </row>
    <row r="7" spans="1:4" ht="18.75">
      <c r="A7" s="1966" t="s">
        <v>1641</v>
      </c>
      <c r="B7" s="1968" t="s">
        <v>1647</v>
      </c>
      <c r="C7" s="1966" t="s">
        <v>1643</v>
      </c>
      <c r="D7" s="1966" t="s">
        <v>1644</v>
      </c>
    </row>
    <row r="8" spans="1:4" ht="56.25" customHeight="1">
      <c r="A8" s="1972" t="s">
        <v>865</v>
      </c>
      <c r="B8" s="1972" t="s">
        <v>1</v>
      </c>
      <c r="C8" s="1969"/>
      <c r="D8" s="1970" t="s">
        <v>1645</v>
      </c>
    </row>
    <row r="9" spans="1:4">
      <c r="A9" s="726"/>
      <c r="B9" s="726"/>
      <c r="C9" s="726"/>
      <c r="D9" s="726"/>
    </row>
    <row r="10" spans="1:4" ht="18.75">
      <c r="A10" s="1973" t="s">
        <v>1648</v>
      </c>
      <c r="B10" s="726"/>
      <c r="C10" s="726"/>
      <c r="D10" s="726"/>
    </row>
    <row r="11" spans="1:4" ht="30" customHeight="1">
      <c r="A11" s="2997"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1650</v>
      </c>
      <c r="B16" s="2991"/>
      <c r="C16" s="2991"/>
      <c r="D16" s="2991"/>
    </row>
    <row r="17" spans="1:4" ht="144" customHeight="1">
      <c r="A17" s="2991" t="s">
        <v>1651</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1652</v>
      </c>
      <c r="B22" s="2993"/>
      <c r="C22" s="2993"/>
      <c r="D22" s="2993"/>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03" t="s">
        <v>1663</v>
      </c>
      <c r="B15" s="2998" t="s">
        <v>136</v>
      </c>
      <c r="C15" s="2999"/>
    </row>
    <row r="16" spans="1:7" ht="13.5">
      <c r="A16" s="3004"/>
      <c r="B16" s="2998" t="s">
        <v>69</v>
      </c>
      <c r="C16" s="2999"/>
    </row>
    <row r="17" spans="1:3" ht="13.5">
      <c r="A17" s="3004"/>
      <c r="B17" s="3001" t="s">
        <v>1664</v>
      </c>
      <c r="C17" s="1989" t="s">
        <v>1663</v>
      </c>
    </row>
    <row r="18" spans="1:3" ht="13.5">
      <c r="A18" s="3004"/>
      <c r="B18" s="3001"/>
      <c r="C18" s="1989" t="s">
        <v>1665</v>
      </c>
    </row>
    <row r="19" spans="1:3" ht="13.5">
      <c r="A19" s="3004"/>
      <c r="B19" s="3001"/>
      <c r="C19" s="1989" t="s">
        <v>1666</v>
      </c>
    </row>
    <row r="20" spans="1:3" ht="13.5">
      <c r="A20" s="3005"/>
      <c r="B20" s="3000" t="s">
        <v>1667</v>
      </c>
      <c r="C20" s="2999"/>
    </row>
    <row r="21" spans="1:3" ht="13.5">
      <c r="A21" s="1990" t="s">
        <v>1668</v>
      </c>
      <c r="B21" s="1991"/>
      <c r="C21" s="1992"/>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89" t="s">
        <v>1674</v>
      </c>
    </row>
    <row r="26" spans="1:3" ht="13.5">
      <c r="A26" s="3002"/>
      <c r="B26" s="3001"/>
      <c r="C26" s="1989" t="s">
        <v>1675</v>
      </c>
    </row>
    <row r="27" spans="1:3" ht="13.5">
      <c r="A27" s="3002"/>
      <c r="B27" s="3001"/>
      <c r="C27" s="1989" t="s">
        <v>1676</v>
      </c>
    </row>
    <row r="28" spans="1:3" ht="13.5">
      <c r="A28" s="3002"/>
      <c r="B28" s="3001"/>
      <c r="C28" s="1989" t="s">
        <v>1677</v>
      </c>
    </row>
    <row r="29" spans="1:3" ht="13.5">
      <c r="A29" s="3002"/>
      <c r="B29" s="3001"/>
      <c r="C29" s="1989" t="s">
        <v>1678</v>
      </c>
    </row>
    <row r="30" spans="1:3" ht="13.5">
      <c r="A30" s="3002"/>
      <c r="B30" s="3001"/>
      <c r="C30" s="1989" t="s">
        <v>1679</v>
      </c>
    </row>
    <row r="31" spans="1:3" ht="13.5">
      <c r="A31" s="3002"/>
      <c r="B31" s="3001"/>
      <c r="C31" s="1989" t="s">
        <v>1680</v>
      </c>
    </row>
    <row r="32" spans="1:3" ht="13.5">
      <c r="A32" s="3002"/>
      <c r="B32" s="3001"/>
      <c r="C32" s="1989" t="s">
        <v>1681</v>
      </c>
    </row>
    <row r="33" spans="1:3" ht="13.5">
      <c r="A33" s="3002"/>
      <c r="B33" s="3001"/>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44005</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920">
        <v>44876</v>
      </c>
      <c r="D4" s="2341" t="s">
        <v>832</v>
      </c>
      <c r="E4" s="1020">
        <f ca="1">IF(F4&lt;B2,"已过期",96010014)</f>
        <v>96010014</v>
      </c>
      <c r="F4" s="1028">
        <v>47118</v>
      </c>
    </row>
    <row r="5" spans="1:6" ht="24" customHeight="1">
      <c r="A5" s="1700"/>
      <c r="B5" s="1020"/>
      <c r="C5" s="2338"/>
      <c r="D5" s="2341"/>
      <c r="E5" s="1020"/>
      <c r="F5" s="1028"/>
    </row>
    <row r="6" spans="1:6" ht="24" customHeight="1">
      <c r="A6" s="1700" t="s">
        <v>833</v>
      </c>
      <c r="B6" s="1020">
        <f ca="1">IF(C6&lt;B2,"已过期",1119970111)</f>
        <v>1119970111</v>
      </c>
      <c r="C6" s="2338">
        <v>44876</v>
      </c>
      <c r="D6" s="2341" t="s">
        <v>833</v>
      </c>
      <c r="E6" s="1020">
        <f ca="1">IF(F6&lt;B2,"已过期",94010078)</f>
        <v>94010078</v>
      </c>
      <c r="F6" s="1028">
        <v>46387</v>
      </c>
    </row>
    <row r="7" spans="1:6" ht="24" customHeight="1">
      <c r="A7" s="1700" t="s">
        <v>834</v>
      </c>
      <c r="B7" s="1020">
        <f ca="1">IF(C7&lt;B2,"已过期",1120050019)</f>
        <v>1120050019</v>
      </c>
      <c r="C7" s="2338">
        <v>44395</v>
      </c>
      <c r="D7" s="2341" t="s">
        <v>834</v>
      </c>
      <c r="E7" s="1020">
        <f ca="1">IF(F7&lt;B2,"已过期",2002110030)</f>
        <v>2002110030</v>
      </c>
      <c r="F7" s="1028">
        <v>46387</v>
      </c>
    </row>
    <row r="8" spans="1:6" ht="24" customHeight="1">
      <c r="A8" s="1700" t="s">
        <v>835</v>
      </c>
      <c r="B8" s="1020">
        <f ca="1">IF(C8&lt;B2,"已过期",1120000080)</f>
        <v>1120000080</v>
      </c>
      <c r="C8" s="2920">
        <v>44876</v>
      </c>
      <c r="D8" s="2341" t="s">
        <v>835</v>
      </c>
      <c r="E8" s="1020">
        <f ca="1">IF(F8&lt;B2,"已过期",2000110082)</f>
        <v>2000110082</v>
      </c>
      <c r="F8" s="1028">
        <v>46387</v>
      </c>
    </row>
    <row r="9" spans="1:6" ht="24" customHeight="1">
      <c r="A9" s="1700" t="s">
        <v>836</v>
      </c>
      <c r="B9" s="1020">
        <f ca="1">IF(C9&lt;B2,"已过期",1419970001)</f>
        <v>1419970001</v>
      </c>
      <c r="C9" s="2920">
        <v>44899</v>
      </c>
      <c r="D9" s="2341" t="s">
        <v>836</v>
      </c>
      <c r="E9" s="1020">
        <f ca="1">IF(F9&lt;B2,"已过期",2002110125)</f>
        <v>2002110125</v>
      </c>
      <c r="F9" s="1028">
        <v>47118</v>
      </c>
    </row>
    <row r="10" spans="1:6" ht="24" customHeight="1">
      <c r="A10" s="1700" t="s">
        <v>837</v>
      </c>
      <c r="B10" s="1020">
        <f ca="1">IF(C10&lt;B2,"已过期",1120060040)</f>
        <v>1120060040</v>
      </c>
      <c r="C10" s="2338">
        <v>44554</v>
      </c>
      <c r="D10" s="2341" t="s">
        <v>837</v>
      </c>
      <c r="E10" s="1020">
        <f ca="1">IF(F10&lt;B2,"已过期",2004110096)</f>
        <v>2004110096</v>
      </c>
      <c r="F10" s="1028">
        <v>47118</v>
      </c>
    </row>
    <row r="11" spans="1:6" ht="24" customHeight="1">
      <c r="A11" s="1700" t="s">
        <v>838</v>
      </c>
      <c r="B11" s="1020">
        <f ca="1">IF(C11&lt;B2,"已过期",1120100036)</f>
        <v>1120100036</v>
      </c>
      <c r="C11" s="2338">
        <v>44675</v>
      </c>
      <c r="D11" s="2341" t="s">
        <v>838</v>
      </c>
      <c r="E11" s="1020">
        <f ca="1">IF(F11&lt;B2,"已过期",2010110070)</f>
        <v>2010110070</v>
      </c>
      <c r="F11" s="1028">
        <v>47907</v>
      </c>
    </row>
    <row r="12" spans="1:6" ht="24" customHeight="1">
      <c r="A12" s="1700"/>
      <c r="B12" s="1020"/>
      <c r="C12" s="2920"/>
      <c r="D12" s="1700"/>
      <c r="E12" s="1020"/>
      <c r="F12" s="1028"/>
    </row>
    <row r="13" spans="1:6" ht="24" customHeight="1">
      <c r="A13" s="1700" t="s">
        <v>839</v>
      </c>
      <c r="B13" s="1020">
        <f ca="1">IF(C13&lt;B2,"已过期",1120070131)</f>
        <v>1120070131</v>
      </c>
      <c r="C13" s="2338">
        <v>44849</v>
      </c>
      <c r="D13" s="2341" t="s">
        <v>839</v>
      </c>
      <c r="E13" s="1020">
        <f ca="1">IF(F13&lt;B2,"已过期",2014110011)</f>
        <v>2014110011</v>
      </c>
      <c r="F13" s="1028">
        <v>49302</v>
      </c>
    </row>
    <row r="14" spans="1:6" ht="24" customHeight="1">
      <c r="A14" s="1700" t="s">
        <v>3043</v>
      </c>
      <c r="B14" s="1020">
        <f ca="1">IF(C14&lt;B2,"已过期",1120040230)</f>
        <v>1120040230</v>
      </c>
      <c r="C14" s="2338">
        <v>44864</v>
      </c>
      <c r="D14" s="2341" t="s">
        <v>3043</v>
      </c>
      <c r="E14" s="1020">
        <f ca="1">IF(F14&lt;B2,"已过期",98030020)</f>
        <v>98030020</v>
      </c>
      <c r="F14" s="1028">
        <v>47118</v>
      </c>
    </row>
    <row r="15" spans="1:6" ht="24" customHeight="1">
      <c r="A15" s="1701"/>
      <c r="B15" s="1020"/>
      <c r="C15" s="2338"/>
      <c r="D15" s="2342"/>
      <c r="E15" s="1020"/>
      <c r="F15" s="1021"/>
    </row>
    <row r="16" spans="1:6" ht="24" customHeight="1">
      <c r="A16" s="1700"/>
      <c r="B16" s="1020"/>
      <c r="C16" s="2920"/>
      <c r="D16" s="2341"/>
      <c r="E16" s="1020"/>
      <c r="F16" s="1028"/>
    </row>
    <row r="17" spans="1:7" ht="24" customHeight="1">
      <c r="A17" s="1700"/>
      <c r="B17" s="1020"/>
      <c r="C17" s="2338"/>
      <c r="D17" s="2341"/>
      <c r="E17" s="1020"/>
      <c r="F17" s="1028"/>
    </row>
    <row r="18" spans="1:7" ht="24" customHeight="1">
      <c r="A18" s="1700" t="s">
        <v>3050</v>
      </c>
      <c r="B18" s="1020">
        <v>1120190079</v>
      </c>
      <c r="C18" s="2920">
        <v>44826</v>
      </c>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840</v>
      </c>
      <c r="E21" s="1020">
        <f ca="1">IF(F21&lt;B2,"已过期",2011110090)</f>
        <v>2011110090</v>
      </c>
      <c r="F21" s="1028">
        <v>48302</v>
      </c>
    </row>
    <row r="22" spans="1:7" ht="24" customHeight="1">
      <c r="A22" s="1700" t="s">
        <v>841</v>
      </c>
      <c r="B22" s="1020">
        <f ca="1">IF(C22&lt;B2,"已过期",1120020033)</f>
        <v>1120020033</v>
      </c>
      <c r="C22" s="2920">
        <v>44339</v>
      </c>
      <c r="D22" s="2341" t="s">
        <v>841</v>
      </c>
      <c r="E22" s="1020">
        <f ca="1">IF(F22&lt;B2,"已过期",2000110137)</f>
        <v>2000110137</v>
      </c>
      <c r="F22" s="1028">
        <v>46387</v>
      </c>
    </row>
    <row r="23" spans="1:7" ht="24" customHeight="1">
      <c r="A23" s="1700" t="s">
        <v>3052</v>
      </c>
      <c r="B23" s="1020">
        <v>1119980106</v>
      </c>
      <c r="C23" s="2338">
        <v>44969</v>
      </c>
      <c r="D23" s="2341"/>
      <c r="E23" s="1020"/>
      <c r="F23" s="1020"/>
    </row>
    <row r="24" spans="1:7" s="1022" customFormat="1" ht="24" customHeight="1">
      <c r="A24" s="1701" t="s">
        <v>1328</v>
      </c>
      <c r="B24" s="1701" t="s">
        <v>1328</v>
      </c>
      <c r="C24" s="2339" t="s">
        <v>1328</v>
      </c>
      <c r="D24" s="2342" t="s">
        <v>1328</v>
      </c>
      <c r="E24" s="1701" t="s">
        <v>1328</v>
      </c>
      <c r="F24" s="1701" t="s">
        <v>1328</v>
      </c>
    </row>
    <row r="25" spans="1:7" ht="24" customHeight="1">
      <c r="A25" s="3006" t="s">
        <v>842</v>
      </c>
      <c r="B25" s="3006"/>
      <c r="C25" s="3006"/>
      <c r="D25" s="3006"/>
      <c r="E25" s="3006"/>
      <c r="F25" s="3006"/>
      <c r="G25" s="3006"/>
    </row>
    <row r="26" spans="1:7" s="1023" customFormat="1" ht="24" customHeight="1">
      <c r="A26" s="3007" t="s">
        <v>843</v>
      </c>
      <c r="B26" s="3007"/>
      <c r="C26" s="3008"/>
      <c r="D26" s="3009" t="s">
        <v>844</v>
      </c>
      <c r="E26" s="3007"/>
      <c r="F26" s="3007"/>
    </row>
    <row r="27" spans="1:7" s="1025" customFormat="1" ht="24" customHeight="1">
      <c r="A27" s="1024" t="s">
        <v>845</v>
      </c>
      <c r="B27" s="1019" t="s">
        <v>846</v>
      </c>
      <c r="C27" s="2337" t="s">
        <v>847</v>
      </c>
      <c r="D27" s="2344" t="s">
        <v>845</v>
      </c>
      <c r="E27" s="1019" t="s">
        <v>846</v>
      </c>
      <c r="F27" s="1019" t="s">
        <v>847</v>
      </c>
    </row>
    <row r="28" spans="1:7" s="1025" customFormat="1" ht="24" customHeight="1">
      <c r="A28" s="1026" t="s">
        <v>848</v>
      </c>
      <c r="B28" s="1027" t="s">
        <v>849</v>
      </c>
      <c r="C28" s="1028">
        <v>44820</v>
      </c>
      <c r="D28" s="2345" t="s">
        <v>850</v>
      </c>
      <c r="E28" s="1026" t="s">
        <v>851</v>
      </c>
      <c r="F28" s="1056">
        <v>44377</v>
      </c>
    </row>
    <row r="29" spans="1:7" s="1025" customFormat="1" ht="24" customHeight="1">
      <c r="A29" s="1026"/>
      <c r="B29" s="1026"/>
      <c r="C29" s="2343"/>
      <c r="D29" s="2345" t="s">
        <v>852</v>
      </c>
      <c r="E29" s="1200" t="s">
        <v>3051</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2020-06-23T06:00:40Z</dcterms:modified>
</cp:coreProperties>
</file>