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36" windowWidth="11568" windowHeight="9612"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不动产收益法-商业" sheetId="70" r:id="rId31"/>
    <sheet name="不动产收益法-车库"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 name="案例" sheetId="69"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6" i="1" l="1"/>
  <c r="F7" i="1"/>
  <c r="F8" i="1"/>
  <c r="O73" i="39" l="1"/>
  <c r="O70" i="39"/>
  <c r="O72" i="39"/>
  <c r="D27" i="9" l="1"/>
  <c r="D30" i="9" s="1"/>
  <c r="B30" i="9"/>
  <c r="B27" i="9"/>
  <c r="AF13" i="3" l="1"/>
  <c r="AN13" i="3" l="1"/>
  <c r="AD13" i="3"/>
  <c r="L8" i="1" l="1"/>
  <c r="L7" i="1"/>
  <c r="P75" i="70" l="1"/>
  <c r="Q73" i="70"/>
  <c r="P62" i="70"/>
  <c r="Q60" i="70"/>
  <c r="F60" i="70"/>
  <c r="D60" i="70"/>
  <c r="Q59" i="70"/>
  <c r="K59" i="70"/>
  <c r="F58" i="70"/>
  <c r="Q52" i="70"/>
  <c r="J50" i="70"/>
  <c r="M47" i="70"/>
  <c r="L46" i="70" s="1"/>
  <c r="F34" i="70"/>
  <c r="F33" i="70"/>
  <c r="F32" i="70"/>
  <c r="F59" i="70" s="1"/>
  <c r="F31" i="70"/>
  <c r="F28" i="70"/>
  <c r="F23" i="70"/>
  <c r="D24" i="70" s="1"/>
  <c r="D22" i="70"/>
  <c r="F21" i="70"/>
  <c r="M20" i="70"/>
  <c r="F20" i="70"/>
  <c r="M19" i="70"/>
  <c r="M18" i="70"/>
  <c r="F18" i="70"/>
  <c r="M17" i="70"/>
  <c r="F15" i="70"/>
  <c r="G1" i="70"/>
  <c r="L14" i="1"/>
  <c r="E104" i="21"/>
  <c r="F104" i="21"/>
  <c r="G104" i="21" s="1"/>
  <c r="H104" i="21" s="1"/>
  <c r="I104" i="21" s="1"/>
  <c r="J104" i="21" s="1"/>
  <c r="K104" i="21" s="1"/>
  <c r="D104" i="21"/>
  <c r="J103" i="21"/>
  <c r="K103" i="21"/>
  <c r="E103" i="21"/>
  <c r="F103" i="21" s="1"/>
  <c r="G103" i="21" s="1"/>
  <c r="H103" i="21" s="1"/>
  <c r="I103" i="21" s="1"/>
  <c r="D103" i="21"/>
  <c r="M22" i="70"/>
  <c r="M24" i="70"/>
  <c r="M28" i="70"/>
  <c r="F8" i="70"/>
  <c r="F42" i="70"/>
  <c r="F9" i="70"/>
  <c r="F36" i="70"/>
  <c r="L47" i="70"/>
  <c r="D23" i="70" l="1"/>
  <c r="F50" i="70"/>
  <c r="F63" i="70"/>
  <c r="F61" i="70"/>
  <c r="F13" i="70"/>
  <c r="J15" i="70"/>
  <c r="M27" i="70"/>
  <c r="F26" i="70"/>
  <c r="F16" i="70"/>
  <c r="M23" i="70"/>
  <c r="M26" i="70"/>
  <c r="F38" i="70"/>
  <c r="F37" i="70"/>
  <c r="F40" i="70"/>
  <c r="M9" i="70"/>
  <c r="M6" i="70"/>
  <c r="J36" i="70"/>
  <c r="F6" i="70"/>
  <c r="M8" i="70"/>
  <c r="F65" i="70" l="1"/>
  <c r="Q72" i="70"/>
  <c r="F67" i="70"/>
  <c r="F64" i="70"/>
  <c r="C27" i="70"/>
  <c r="N14" i="1"/>
  <c r="D73" i="39"/>
  <c r="E73" i="39" s="1"/>
  <c r="F73" i="39" s="1"/>
  <c r="G73" i="39" s="1"/>
  <c r="H73" i="39" s="1"/>
  <c r="I73" i="39" s="1"/>
  <c r="J73" i="39" s="1"/>
  <c r="K73" i="39" s="1"/>
  <c r="L73" i="39" s="1"/>
  <c r="M73" i="39" s="1"/>
  <c r="N73" i="39" s="1"/>
  <c r="B35" i="1"/>
  <c r="F17" i="70" s="1"/>
  <c r="S16" i="4"/>
  <c r="T16" i="4" s="1"/>
  <c r="C11" i="4"/>
  <c r="B7" i="4"/>
  <c r="F25" i="12"/>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N6" i="59"/>
  <c r="L3" i="59"/>
  <c r="AH3" i="59" s="1"/>
  <c r="K3" i="59"/>
  <c r="J3" i="59"/>
  <c r="AE3" i="59"/>
  <c r="AF3" i="59" s="1"/>
  <c r="I3" i="59"/>
  <c r="AH7" i="59"/>
  <c r="AG7" i="59"/>
  <c r="AE7" i="59"/>
  <c r="AF7" i="59"/>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s="1"/>
  <c r="AG10" i="59"/>
  <c r="AH10" i="59"/>
  <c r="AD10" i="59"/>
  <c r="Q10" i="59"/>
  <c r="P10" i="59"/>
  <c r="O10" i="59"/>
  <c r="N10" i="59"/>
  <c r="N11" i="59"/>
  <c r="Q11" i="59"/>
  <c r="P11" i="59"/>
  <c r="O11" i="59"/>
  <c r="K59" i="15"/>
  <c r="P62" i="15" s="1"/>
  <c r="P75" i="15"/>
  <c r="Q74" i="44"/>
  <c r="Q61" i="44"/>
  <c r="Q60" i="44"/>
  <c r="Q53" i="44"/>
  <c r="J51" i="44"/>
  <c r="J52" i="44"/>
  <c r="M48" i="44"/>
  <c r="A16" i="55"/>
  <c r="A15" i="55"/>
  <c r="B66" i="63"/>
  <c r="A10" i="55"/>
  <c r="B61" i="63" s="1"/>
  <c r="A9" i="55"/>
  <c r="B60" i="63" s="1"/>
  <c r="A8" i="55"/>
  <c r="A6" i="54"/>
  <c r="A8" i="54"/>
  <c r="A7" i="54"/>
  <c r="A28" i="51"/>
  <c r="B21" i="63" s="1"/>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8" i="59" s="1"/>
  <c r="D8" i="59" s="1"/>
  <c r="C3" i="65"/>
  <c r="C1" i="65"/>
  <c r="N1" i="65"/>
  <c r="T10" i="59"/>
  <c r="D10"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19" i="63"/>
  <c r="B49" i="50"/>
  <c r="B5" i="63"/>
  <c r="B40" i="50"/>
  <c r="B3" i="63" s="1"/>
  <c r="N4" i="63"/>
  <c r="B67" i="63"/>
  <c r="I19" i="46"/>
  <c r="Q14" i="59"/>
  <c r="P14" i="59"/>
  <c r="O14" i="59"/>
  <c r="C14" i="59" s="1"/>
  <c r="N14" i="59"/>
  <c r="D75" i="59"/>
  <c r="F74" i="59"/>
  <c r="F73" i="59" s="1"/>
  <c r="E74" i="59"/>
  <c r="E73" i="59"/>
  <c r="E72" i="59" s="1"/>
  <c r="C74" i="59"/>
  <c r="D74" i="59" s="1"/>
  <c r="B74" i="59"/>
  <c r="B73" i="59" s="1"/>
  <c r="F72" i="59"/>
  <c r="B72" i="59"/>
  <c r="D71" i="59"/>
  <c r="F70" i="59"/>
  <c r="F69" i="59" s="1"/>
  <c r="E70" i="59"/>
  <c r="E69" i="59"/>
  <c r="E68" i="59" s="1"/>
  <c r="C70" i="59"/>
  <c r="D70" i="59" s="1"/>
  <c r="B70" i="59"/>
  <c r="B69" i="59" s="1"/>
  <c r="F68" i="59"/>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B53" i="59"/>
  <c r="D51" i="59"/>
  <c r="Q50" i="59"/>
  <c r="P50" i="59"/>
  <c r="O50" i="59"/>
  <c r="N50" i="59"/>
  <c r="Q49" i="59"/>
  <c r="P49" i="59"/>
  <c r="O49" i="59"/>
  <c r="N49" i="59"/>
  <c r="Q48" i="59"/>
  <c r="P48" i="59"/>
  <c r="O48" i="59"/>
  <c r="N48" i="59"/>
  <c r="Q47" i="59"/>
  <c r="F48" i="59"/>
  <c r="P47" i="59"/>
  <c r="E48" i="59"/>
  <c r="E49" i="59" s="1"/>
  <c r="E50" i="59"/>
  <c r="U50" i="59" s="1"/>
  <c r="O47" i="59"/>
  <c r="C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c r="E46" i="59" s="1"/>
  <c r="U46" i="59" s="1"/>
  <c r="O43" i="59"/>
  <c r="C44" i="59"/>
  <c r="N43" i="59"/>
  <c r="B44" i="59"/>
  <c r="B45" i="59" s="1"/>
  <c r="B46" i="59"/>
  <c r="S46" i="59" s="1"/>
  <c r="D43" i="59"/>
  <c r="Q42" i="59"/>
  <c r="P42" i="59"/>
  <c r="O42" i="59"/>
  <c r="N42" i="59"/>
  <c r="Q41" i="59"/>
  <c r="P41" i="59"/>
  <c r="O41" i="59"/>
  <c r="N41" i="59"/>
  <c r="Q40" i="59"/>
  <c r="P40" i="59"/>
  <c r="O40" i="59"/>
  <c r="N40" i="59"/>
  <c r="Q39" i="59"/>
  <c r="F40" i="59"/>
  <c r="P39" i="59"/>
  <c r="E40" i="59"/>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Q27" i="59"/>
  <c r="F28" i="59"/>
  <c r="P27" i="59"/>
  <c r="E28" i="59"/>
  <c r="E29" i="59" s="1"/>
  <c r="E30" i="59"/>
  <c r="U30" i="59" s="1"/>
  <c r="O27" i="59"/>
  <c r="C28" i="59" s="1"/>
  <c r="N27" i="59"/>
  <c r="B28" i="59" s="1"/>
  <c r="B29" i="59" s="1"/>
  <c r="B30" i="59" s="1"/>
  <c r="S30" i="59" s="1"/>
  <c r="D27" i="59"/>
  <c r="Q26" i="59"/>
  <c r="P26" i="59"/>
  <c r="O26" i="59"/>
  <c r="N26" i="59"/>
  <c r="Q25" i="59"/>
  <c r="AB25" i="59" s="1"/>
  <c r="P25" i="59"/>
  <c r="O25" i="59"/>
  <c r="Y25" i="59"/>
  <c r="Z25" i="59" s="1"/>
  <c r="N25" i="59"/>
  <c r="X25" i="59" s="1"/>
  <c r="Q24" i="59"/>
  <c r="P24" i="59"/>
  <c r="AA24" i="59" s="1"/>
  <c r="O24" i="59"/>
  <c r="Y24" i="59" s="1"/>
  <c r="N24" i="59"/>
  <c r="X24" i="59" s="1"/>
  <c r="Q23" i="59"/>
  <c r="P23" i="59"/>
  <c r="O23" i="59"/>
  <c r="Y23" i="59" s="1"/>
  <c r="Z23" i="59" s="1"/>
  <c r="C24" i="59"/>
  <c r="N23" i="59"/>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c r="E21" i="59" s="1"/>
  <c r="E22" i="59" s="1"/>
  <c r="U22" i="59" s="1"/>
  <c r="O19" i="59"/>
  <c r="N19" i="59"/>
  <c r="D19" i="59"/>
  <c r="Q18" i="59"/>
  <c r="AB18" i="59" s="1"/>
  <c r="P18" i="59"/>
  <c r="AA18" i="59" s="1"/>
  <c r="O18" i="59"/>
  <c r="N18" i="59"/>
  <c r="X18" i="59" s="1"/>
  <c r="Q17" i="59"/>
  <c r="AB17" i="59" s="1"/>
  <c r="P17" i="59"/>
  <c r="AA17" i="59" s="1"/>
  <c r="O17" i="59"/>
  <c r="N17" i="59"/>
  <c r="X17" i="59" s="1"/>
  <c r="Q16" i="59"/>
  <c r="AB16" i="59" s="1"/>
  <c r="P16" i="59"/>
  <c r="AA16" i="59" s="1"/>
  <c r="O16" i="59"/>
  <c r="Y16" i="59" s="1"/>
  <c r="Z16" i="59" s="1"/>
  <c r="N16" i="59"/>
  <c r="X16" i="59" s="1"/>
  <c r="Q15" i="59"/>
  <c r="P15" i="59"/>
  <c r="AA15" i="59" s="1"/>
  <c r="O15" i="59"/>
  <c r="Y15" i="59" s="1"/>
  <c r="Z15" i="59" s="1"/>
  <c r="C16" i="59"/>
  <c r="N15" i="59"/>
  <c r="X15" i="59" s="1"/>
  <c r="B16" i="59"/>
  <c r="B17" i="59" s="1"/>
  <c r="D15" i="59"/>
  <c r="X3" i="59"/>
  <c r="X12" i="59"/>
  <c r="X14" i="59"/>
  <c r="AA11" i="59"/>
  <c r="AA13" i="59"/>
  <c r="Y11" i="59"/>
  <c r="Z11" i="59" s="1"/>
  <c r="Y12" i="59"/>
  <c r="Z12" i="59" s="1"/>
  <c r="Y13" i="59"/>
  <c r="Z13" i="59" s="1"/>
  <c r="Y14" i="59"/>
  <c r="Z14" i="59" s="1"/>
  <c r="Y3" i="59"/>
  <c r="Z3" i="59" s="1"/>
  <c r="AB14" i="59"/>
  <c r="AB11" i="59"/>
  <c r="AB13" i="59"/>
  <c r="B18" i="59"/>
  <c r="S18" i="59"/>
  <c r="E16" i="59"/>
  <c r="E17" i="59"/>
  <c r="E18" i="59" s="1"/>
  <c r="U18" i="59" s="1"/>
  <c r="B37" i="59"/>
  <c r="B38" i="59"/>
  <c r="S38" i="59" s="1"/>
  <c r="E37" i="59"/>
  <c r="E38" i="59" s="1"/>
  <c r="U38" i="59" s="1"/>
  <c r="S54" i="59"/>
  <c r="Z24" i="59"/>
  <c r="AA25" i="59"/>
  <c r="F21" i="59"/>
  <c r="F22" i="59"/>
  <c r="V22" i="59" s="1"/>
  <c r="F29" i="59"/>
  <c r="F30" i="59"/>
  <c r="V30" i="59" s="1"/>
  <c r="F33" i="59"/>
  <c r="F34" i="59" s="1"/>
  <c r="V34" i="59" s="1"/>
  <c r="F41" i="59"/>
  <c r="F42" i="59"/>
  <c r="V42" i="59" s="1"/>
  <c r="F45" i="59"/>
  <c r="F46" i="59" s="1"/>
  <c r="V46" i="59" s="1"/>
  <c r="F49" i="59"/>
  <c r="F50" i="59"/>
  <c r="V50" i="59" s="1"/>
  <c r="C17" i="59"/>
  <c r="D16" i="59"/>
  <c r="C25" i="59"/>
  <c r="D24" i="59"/>
  <c r="C29" i="59"/>
  <c r="D28" i="59"/>
  <c r="C33" i="59"/>
  <c r="D33" i="59" s="1"/>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Q16" i="4"/>
  <c r="P16" i="4" s="1"/>
  <c r="O16" i="4"/>
  <c r="M16" i="4"/>
  <c r="N16" i="4" s="1"/>
  <c r="K16" i="4"/>
  <c r="P51" i="59"/>
  <c r="P52" i="59"/>
  <c r="D73" i="59"/>
  <c r="C72" i="59"/>
  <c r="D72" i="59" s="1"/>
  <c r="D65" i="59"/>
  <c r="C64" i="59"/>
  <c r="D64" i="59"/>
  <c r="D57" i="59"/>
  <c r="C56" i="59"/>
  <c r="D56" i="59" s="1"/>
  <c r="C52" i="59"/>
  <c r="O52" i="59" s="1"/>
  <c r="O53" i="59"/>
  <c r="D53" i="59"/>
  <c r="D69" i="59"/>
  <c r="C68" i="59"/>
  <c r="D68" i="59" s="1"/>
  <c r="D61" i="59"/>
  <c r="C60" i="59"/>
  <c r="D60" i="59"/>
  <c r="N51" i="59"/>
  <c r="N52" i="59"/>
  <c r="C50" i="59"/>
  <c r="D49" i="59"/>
  <c r="D45" i="59"/>
  <c r="C46" i="59"/>
  <c r="T46" i="59" s="1"/>
  <c r="C42" i="59"/>
  <c r="D41" i="59"/>
  <c r="C38" i="59"/>
  <c r="D37" i="59"/>
  <c r="C30" i="59"/>
  <c r="D29" i="59"/>
  <c r="C26" i="59"/>
  <c r="D25" i="59"/>
  <c r="C18" i="59"/>
  <c r="D17" i="59"/>
  <c r="D46" i="59"/>
  <c r="T18" i="59"/>
  <c r="D18" i="59"/>
  <c r="T26" i="59"/>
  <c r="D26" i="59"/>
  <c r="T30" i="59"/>
  <c r="D30" i="59"/>
  <c r="T38" i="59"/>
  <c r="D38" i="59"/>
  <c r="T42" i="59"/>
  <c r="D42" i="59"/>
  <c r="T50" i="59"/>
  <c r="D50" i="59"/>
  <c r="D5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18" i="35"/>
  <c r="S21" i="37"/>
  <c r="S21" i="21"/>
  <c r="C27" i="40"/>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F11" i="1"/>
  <c r="AP11" i="1" s="1"/>
  <c r="F12" i="1"/>
  <c r="AP12" i="1" s="1"/>
  <c r="F13" i="1"/>
  <c r="AP13" i="1" s="1"/>
  <c r="D11" i="1"/>
  <c r="D12" i="1"/>
  <c r="D13" i="1"/>
  <c r="D6" i="1"/>
  <c r="D7" i="1"/>
  <c r="D8" i="1"/>
  <c r="D9" i="1"/>
  <c r="F10" i="1"/>
  <c r="AP10" i="1" s="1"/>
  <c r="D10" i="1"/>
  <c r="B2" i="1"/>
  <c r="J51" i="70" s="1"/>
  <c r="L59" i="70" s="1"/>
  <c r="Q62" i="70" s="1"/>
  <c r="A12" i="1"/>
  <c r="R12" i="1"/>
  <c r="A13" i="1"/>
  <c r="B13" i="1"/>
  <c r="E13" i="1" s="1"/>
  <c r="A7" i="1"/>
  <c r="A8" i="1"/>
  <c r="F3" i="35" s="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G19" i="46"/>
  <c r="P23"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D14" i="4"/>
  <c r="M4" i="9"/>
  <c r="L4" i="9"/>
  <c r="G36" i="4"/>
  <c r="K2" i="54"/>
  <c r="B23" i="63" s="1"/>
  <c r="A3" i="51"/>
  <c r="R41" i="4"/>
  <c r="Q41" i="4"/>
  <c r="P41" i="4"/>
  <c r="O41" i="4"/>
  <c r="N41" i="4"/>
  <c r="M41" i="4"/>
  <c r="L41" i="4"/>
  <c r="K40" i="4"/>
  <c r="T40" i="4" s="1"/>
  <c r="F23" i="4"/>
  <c r="AP6" i="1"/>
  <c r="I19" i="4"/>
  <c r="H19" i="4"/>
  <c r="F9" i="1"/>
  <c r="AP9" i="1" s="1"/>
  <c r="F19" i="4"/>
  <c r="AP8" i="1"/>
  <c r="B2" i="52"/>
  <c r="B15" i="52" s="1"/>
  <c r="I2" i="46"/>
  <c r="N12" i="46"/>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s="1"/>
  <c r="C35" i="4"/>
  <c r="F14" i="12"/>
  <c r="F15" i="12"/>
  <c r="F17" i="12"/>
  <c r="E19" i="12"/>
  <c r="E21" i="12"/>
  <c r="E22" i="12"/>
  <c r="F23" i="12"/>
  <c r="F24" i="12"/>
  <c r="C43" i="9"/>
  <c r="K47" i="9" s="1"/>
  <c r="A14" i="55" s="1"/>
  <c r="B65" i="63" s="1"/>
  <c r="I73" i="9"/>
  <c r="F73" i="9"/>
  <c r="P73" i="9" s="1"/>
  <c r="D107" i="9"/>
  <c r="C107" i="9" s="1"/>
  <c r="C105" i="9" s="1"/>
  <c r="C17" i="9"/>
  <c r="D17" i="9"/>
  <c r="F17" i="44"/>
  <c r="F22" i="44"/>
  <c r="F25" i="44"/>
  <c r="D25" i="44" s="1"/>
  <c r="F23" i="44"/>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c r="H11" i="39"/>
  <c r="AB11" i="39" s="1"/>
  <c r="H42" i="39"/>
  <c r="AB42" i="39" s="1"/>
  <c r="J10" i="39"/>
  <c r="AC10" i="39"/>
  <c r="J11" i="39"/>
  <c r="AC11"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N5" i="3" s="1"/>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L20" i="3" s="1"/>
  <c r="AZ20" i="3" s="1"/>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F46" i="36" s="1"/>
  <c r="G46" i="36" s="1"/>
  <c r="H46" i="36" s="1"/>
  <c r="I46" i="36" s="1"/>
  <c r="J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H27" i="21" s="1"/>
  <c r="B74" i="21"/>
  <c r="J14" i="21" s="1"/>
  <c r="B72" i="21"/>
  <c r="B70" i="21"/>
  <c r="F12" i="21" s="1"/>
  <c r="F10" i="21"/>
  <c r="AA10" i="21" s="1"/>
  <c r="C7" i="21"/>
  <c r="C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s="1"/>
  <c r="E13" i="11"/>
  <c r="E12" i="11"/>
  <c r="BB12" i="3"/>
  <c r="F9" i="12"/>
  <c r="G9" i="12"/>
  <c r="K5" i="3"/>
  <c r="F20" i="6" s="1"/>
  <c r="E20" i="6"/>
  <c r="K7" i="1" s="1"/>
  <c r="J5" i="3"/>
  <c r="BE10" i="3"/>
  <c r="BD13" i="3"/>
  <c r="BD5" i="3" s="1"/>
  <c r="BE13" i="3"/>
  <c r="BF13" i="3"/>
  <c r="BF5" i="3" s="1"/>
  <c r="BG13" i="3"/>
  <c r="BG5" i="3" s="1"/>
  <c r="BH13" i="3"/>
  <c r="BI13" i="3"/>
  <c r="BJ13" i="3"/>
  <c r="BK13" i="3"/>
  <c r="BM13" i="3"/>
  <c r="BM5" i="3" s="1"/>
  <c r="BN13" i="3"/>
  <c r="BO13" i="3"/>
  <c r="BO5" i="3" s="1"/>
  <c r="BP13" i="3"/>
  <c r="BP5" i="3" s="1"/>
  <c r="BS13" i="3"/>
  <c r="BT13" i="3"/>
  <c r="BT5" i="3" s="1"/>
  <c r="BB570" i="3"/>
  <c r="BC570" i="3"/>
  <c r="BD570" i="3"/>
  <c r="BE570" i="3"/>
  <c r="BA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G21" i="6" s="1"/>
  <c r="N5" i="3"/>
  <c r="O5" i="3"/>
  <c r="P5" i="3"/>
  <c r="Q5" i="3"/>
  <c r="R5" i="3"/>
  <c r="S5" i="3"/>
  <c r="T5" i="3"/>
  <c r="U5" i="3"/>
  <c r="V5" i="3"/>
  <c r="W5" i="3"/>
  <c r="X5" i="3"/>
  <c r="Y5" i="3"/>
  <c r="Z5" i="3"/>
  <c r="AA5" i="3"/>
  <c r="AB5" i="3"/>
  <c r="H570" i="3"/>
  <c r="G570" i="3"/>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c r="J40" i="21"/>
  <c r="W40" i="21" s="1"/>
  <c r="H35" i="21"/>
  <c r="AB35" i="21" s="1"/>
  <c r="J8" i="21"/>
  <c r="AC8" i="2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26" i="21"/>
  <c r="W26" i="21"/>
  <c r="F26" i="21"/>
  <c r="AA26" i="21"/>
  <c r="AB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W8" i="21"/>
  <c r="H39" i="37"/>
  <c r="AB39" i="37"/>
  <c r="AB27" i="35"/>
  <c r="S10" i="40"/>
  <c r="W10" i="40"/>
  <c r="S11" i="40"/>
  <c r="U11" i="40"/>
  <c r="S36" i="40"/>
  <c r="U36" i="40"/>
  <c r="AC35" i="21"/>
  <c r="C29" i="39"/>
  <c r="C23" i="39"/>
  <c r="S42" i="39"/>
  <c r="H32" i="33"/>
  <c r="AB32" i="33"/>
  <c r="F100" i="40"/>
  <c r="F86" i="40"/>
  <c r="G86" i="40" s="1"/>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L572" i="3"/>
  <c r="F14" i="21"/>
  <c r="AA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S46" i="21"/>
  <c r="AC30" i="21"/>
  <c r="W30" i="21"/>
  <c r="AB30" i="21"/>
  <c r="AA28" i="21"/>
  <c r="S46" i="33"/>
  <c r="U36" i="37"/>
  <c r="AC13" i="36"/>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AC12" i="35"/>
  <c r="AC23" i="37"/>
  <c r="U39" i="37"/>
  <c r="AC8" i="37"/>
  <c r="S25" i="37"/>
  <c r="AC36" i="34"/>
  <c r="AB8" i="34"/>
  <c r="AC37" i="33"/>
  <c r="AA13" i="33"/>
  <c r="AC45" i="33"/>
  <c r="U19" i="21"/>
  <c r="S39" i="33"/>
  <c r="F43" i="33"/>
  <c r="AA43" i="33" s="1"/>
  <c r="AA23" i="37"/>
  <c r="AB44" i="33"/>
  <c r="G107" i="37"/>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AZ162" i="3" s="1"/>
  <c r="G163" i="3"/>
  <c r="BA165" i="3"/>
  <c r="AZ165" i="3" s="1"/>
  <c r="BL166" i="3"/>
  <c r="G167" i="3"/>
  <c r="BA169" i="3"/>
  <c r="AZ169" i="3" s="1"/>
  <c r="BL170" i="3"/>
  <c r="AZ170" i="3" s="1"/>
  <c r="G171" i="3"/>
  <c r="BA173" i="3"/>
  <c r="AZ173" i="3" s="1"/>
  <c r="BL174" i="3"/>
  <c r="AZ174" i="3" s="1"/>
  <c r="G175" i="3"/>
  <c r="BA178" i="3"/>
  <c r="AZ178" i="3" s="1"/>
  <c r="BL179" i="3"/>
  <c r="AZ179" i="3" s="1"/>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66"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AB26" i="21"/>
  <c r="U26"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43" i="39"/>
  <c r="AA43" i="39" s="1"/>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AA32"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J33" i="39"/>
  <c r="AC33" i="39" s="1"/>
  <c r="F44" i="39"/>
  <c r="S44" i="39" s="1"/>
  <c r="H44" i="39"/>
  <c r="U44" i="39"/>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J29" i="35"/>
  <c r="AC29" i="35" s="1"/>
  <c r="F29" i="35"/>
  <c r="S29" i="35" s="1"/>
  <c r="W30" i="36"/>
  <c r="AC30" i="36"/>
  <c r="H37" i="39"/>
  <c r="U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F19" i="6" s="1"/>
  <c r="BL19" i="3"/>
  <c r="AZ19" i="3"/>
  <c r="BA18" i="3"/>
  <c r="F114" i="34"/>
  <c r="G114" i="34"/>
  <c r="H114" i="34" s="1"/>
  <c r="I114" i="34" s="1"/>
  <c r="J114" i="34" s="1"/>
  <c r="K114" i="34" s="1"/>
  <c r="L114" i="34" s="1"/>
  <c r="M114" i="34" s="1"/>
  <c r="H38" i="34"/>
  <c r="U38" i="34"/>
  <c r="H30" i="40"/>
  <c r="AB30" i="40"/>
  <c r="G100" i="40"/>
  <c r="J30" i="40"/>
  <c r="AC30" i="40" s="1"/>
  <c r="F38" i="40"/>
  <c r="AA38" i="40" s="1"/>
  <c r="AA36" i="34"/>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15" i="40"/>
  <c r="AA15" i="40"/>
  <c r="J15" i="40"/>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W40" i="40"/>
  <c r="F34" i="44"/>
  <c r="F66" i="9"/>
  <c r="P72" i="9" s="1"/>
  <c r="F72" i="9"/>
  <c r="AC14" i="40"/>
  <c r="W35" i="40"/>
  <c r="S33" i="40"/>
  <c r="AB32" i="40"/>
  <c r="U37" i="34"/>
  <c r="AB37" i="34"/>
  <c r="AC41" i="40"/>
  <c r="U41" i="40"/>
  <c r="J23" i="40"/>
  <c r="AC23" i="40"/>
  <c r="F23" i="40"/>
  <c r="S23" i="40" s="1"/>
  <c r="AC15" i="40"/>
  <c r="W15" i="40"/>
  <c r="AB16"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J29" i="39"/>
  <c r="AC29" i="39" s="1"/>
  <c r="AB33" i="36"/>
  <c r="AA11" i="36"/>
  <c r="AA14" i="35"/>
  <c r="S14" i="35"/>
  <c r="G99" i="37"/>
  <c r="F33" i="37"/>
  <c r="U46" i="34"/>
  <c r="AC30" i="34"/>
  <c r="AA14" i="34"/>
  <c r="W12" i="34"/>
  <c r="U29" i="33"/>
  <c r="AC13" i="33"/>
  <c r="U17" i="34"/>
  <c r="AA11" i="34"/>
  <c r="W32" i="33"/>
  <c r="H15" i="33"/>
  <c r="U15" i="33" s="1"/>
  <c r="AA11" i="33"/>
  <c r="U16" i="40"/>
  <c r="AB34" i="40"/>
  <c r="AB42" i="40"/>
  <c r="U42" i="40"/>
  <c r="AC16" i="40"/>
  <c r="W32" i="40"/>
  <c r="H25" i="40"/>
  <c r="AB25" i="40"/>
  <c r="F94" i="40"/>
  <c r="G94" i="40"/>
  <c r="J37" i="34"/>
  <c r="AC37" i="34"/>
  <c r="J36" i="33"/>
  <c r="W36" i="33"/>
  <c r="S41" i="40"/>
  <c r="AB23" i="40"/>
  <c r="J23" i="39"/>
  <c r="AC23" i="39" s="1"/>
  <c r="S15" i="34"/>
  <c r="AA15" i="34"/>
  <c r="AA41" i="33"/>
  <c r="AA34" i="33"/>
  <c r="F106" i="33"/>
  <c r="G106" i="33"/>
  <c r="H106" i="33" s="1"/>
  <c r="I106" i="33" s="1"/>
  <c r="J106" i="33" s="1"/>
  <c r="K106" i="33" s="1"/>
  <c r="L106" i="33" s="1"/>
  <c r="M106" i="33" s="1"/>
  <c r="J34" i="33"/>
  <c r="AC34" i="33"/>
  <c r="U30" i="40"/>
  <c r="W29" i="35"/>
  <c r="AA39" i="39"/>
  <c r="U34" i="39"/>
  <c r="AB46" i="39"/>
  <c r="AB44" i="39"/>
  <c r="W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11" i="37"/>
  <c r="AC16" i="35"/>
  <c r="AC13" i="40"/>
  <c r="J11" i="34"/>
  <c r="W11" i="34"/>
  <c r="AC36" i="33"/>
  <c r="F25" i="40"/>
  <c r="AA25" i="40"/>
  <c r="J11" i="33"/>
  <c r="W11" i="33"/>
  <c r="H33" i="37"/>
  <c r="AB33" i="37"/>
  <c r="AC15" i="34"/>
  <c r="U20" i="35"/>
  <c r="AB20" i="35"/>
  <c r="W23" i="40"/>
  <c r="D73" i="9"/>
  <c r="N73" i="9" s="1"/>
  <c r="B11" i="1"/>
  <c r="E11" i="1"/>
  <c r="K11" i="1"/>
  <c r="M11" i="1" s="1"/>
  <c r="O11" i="1" s="1"/>
  <c r="P11" i="1" s="1"/>
  <c r="B9" i="1"/>
  <c r="E9" i="1"/>
  <c r="K9" i="1"/>
  <c r="M9" i="1" s="1"/>
  <c r="O9" i="1" s="1"/>
  <c r="P9" i="1" s="1"/>
  <c r="B7" i="1"/>
  <c r="E7" i="1" s="1"/>
  <c r="C20" i="43"/>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28" i="21"/>
  <c r="AC46" i="21"/>
  <c r="AC26" i="21"/>
  <c r="F85" i="21"/>
  <c r="G85" i="21" s="1"/>
  <c r="J23" i="21"/>
  <c r="W23" i="21" s="1"/>
  <c r="F23" i="21"/>
  <c r="AA23" i="21" s="1"/>
  <c r="H23" i="21"/>
  <c r="AB23" i="21" s="1"/>
  <c r="F15" i="21"/>
  <c r="S15" i="21" s="1"/>
  <c r="F77" i="21"/>
  <c r="G77" i="21" s="1"/>
  <c r="J15" i="21"/>
  <c r="AC15" i="21" s="1"/>
  <c r="H15" i="21"/>
  <c r="AB15" i="21" s="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AB45" i="39"/>
  <c r="AB15" i="39"/>
  <c r="U11" i="39"/>
  <c r="U41" i="39"/>
  <c r="U31" i="39"/>
  <c r="AB31" i="39"/>
  <c r="S22" i="31"/>
  <c r="F28" i="15"/>
  <c r="BA16" i="3"/>
  <c r="BA17" i="3"/>
  <c r="AZ17" i="3"/>
  <c r="K1" i="43"/>
  <c r="G1" i="44"/>
  <c r="G3" i="46"/>
  <c r="H22" i="46" s="1"/>
  <c r="AZ15" i="3"/>
  <c r="BK5" i="3"/>
  <c r="BC5" i="3"/>
  <c r="E8" i="6" s="1"/>
  <c r="E58" i="39" s="1"/>
  <c r="BR5" i="3"/>
  <c r="G28" i="6" s="1"/>
  <c r="BS5" i="3"/>
  <c r="BQ5" i="3"/>
  <c r="BL16" i="3"/>
  <c r="H53" i="46"/>
  <c r="G28" i="12"/>
  <c r="G22" i="43"/>
  <c r="G26" i="12"/>
  <c r="D24"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c r="B67" i="46" s="1"/>
  <c r="E47" i="46"/>
  <c r="B45" i="46" s="1"/>
  <c r="E58" i="46"/>
  <c r="B56" i="46"/>
  <c r="A4" i="51"/>
  <c r="B6" i="63" s="1"/>
  <c r="H58" i="46"/>
  <c r="I100" i="46"/>
  <c r="C24" i="46"/>
  <c r="N100" i="46"/>
  <c r="H100" i="46"/>
  <c r="F108" i="46"/>
  <c r="H80" i="46"/>
  <c r="E100" i="46"/>
  <c r="G100" i="46"/>
  <c r="H84" i="46"/>
  <c r="C100" i="46"/>
  <c r="J100" i="46"/>
  <c r="M100" i="46"/>
  <c r="AA12" i="36"/>
  <c r="U12" i="35"/>
  <c r="AB12" i="35"/>
  <c r="W11" i="35"/>
  <c r="AA11" i="35"/>
  <c r="S14" i="37"/>
  <c r="U13" i="37"/>
  <c r="C24" i="9"/>
  <c r="C25" i="9"/>
  <c r="G9" i="1"/>
  <c r="I20" i="46"/>
  <c r="C20" i="46" s="1"/>
  <c r="B46" i="50"/>
  <c r="B4" i="63" s="1"/>
  <c r="C52" i="37"/>
  <c r="D52" i="37" s="1"/>
  <c r="E52" i="37" s="1"/>
  <c r="J7" i="33"/>
  <c r="AC7" i="33" s="1"/>
  <c r="V48" i="33" s="1"/>
  <c r="I48" i="33" s="1"/>
  <c r="O19" i="46"/>
  <c r="C19" i="46" s="1"/>
  <c r="H86" i="46"/>
  <c r="H82" i="46"/>
  <c r="H10" i="48"/>
  <c r="H87" i="46"/>
  <c r="H85" i="46"/>
  <c r="H83" i="46"/>
  <c r="K10" i="1"/>
  <c r="M10" i="1" s="1"/>
  <c r="O10" i="1" s="1"/>
  <c r="P10" i="1" s="1"/>
  <c r="S11" i="1"/>
  <c r="R11" i="1"/>
  <c r="S13" i="1"/>
  <c r="R13" i="1"/>
  <c r="B6" i="1"/>
  <c r="E6" i="1"/>
  <c r="B10" i="1"/>
  <c r="E10" i="1"/>
  <c r="S10" i="1"/>
  <c r="B8" i="1"/>
  <c r="E8" i="1" s="1"/>
  <c r="B12" i="1"/>
  <c r="E12" i="1" s="1"/>
  <c r="S12" i="1"/>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C37" i="21"/>
  <c r="AA29" i="21"/>
  <c r="W31" i="21"/>
  <c r="W29" i="21"/>
  <c r="G96" i="40"/>
  <c r="J27" i="40"/>
  <c r="W27" i="40" s="1"/>
  <c r="W37" i="40"/>
  <c r="S17" i="40"/>
  <c r="W30" i="40"/>
  <c r="S34" i="40"/>
  <c r="U17" i="40"/>
  <c r="U38" i="40"/>
  <c r="S40" i="40"/>
  <c r="S42" i="40"/>
  <c r="J31" i="39"/>
  <c r="AC31" i="39"/>
  <c r="S45" i="39"/>
  <c r="AB43" i="39"/>
  <c r="AC46" i="39"/>
  <c r="U14" i="39"/>
  <c r="S15" i="39"/>
  <c r="W45" i="39"/>
  <c r="AA46" i="39"/>
  <c r="W34" i="39"/>
  <c r="W10" i="39"/>
  <c r="S32" i="40"/>
  <c r="C27" i="39"/>
  <c r="C17" i="40"/>
  <c r="C19" i="40"/>
  <c r="C17" i="39"/>
  <c r="C19" i="39"/>
  <c r="C21" i="39"/>
  <c r="C23" i="40"/>
  <c r="B48" i="46"/>
  <c r="B51" i="46"/>
  <c r="B55" i="46"/>
  <c r="B59" i="46"/>
  <c r="B62" i="46"/>
  <c r="B66" i="46"/>
  <c r="B53" i="46"/>
  <c r="B64" i="4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T6" i="3"/>
  <c r="AZ16" i="3"/>
  <c r="J18" i="36"/>
  <c r="AC18" i="36" s="1"/>
  <c r="AE6" i="1"/>
  <c r="W18" i="36"/>
  <c r="AG6" i="1"/>
  <c r="L20" i="6"/>
  <c r="S9" i="1"/>
  <c r="R9" i="1"/>
  <c r="C45" i="9"/>
  <c r="H14" i="66" s="1"/>
  <c r="B7" i="66" s="1"/>
  <c r="K31" i="9"/>
  <c r="K32" i="9" s="1"/>
  <c r="N76" i="9"/>
  <c r="E21" i="6"/>
  <c r="E9" i="12" s="1"/>
  <c r="G27" i="6"/>
  <c r="D9" i="12"/>
  <c r="D58" i="21"/>
  <c r="E58" i="21" s="1"/>
  <c r="F58" i="21" s="1"/>
  <c r="F91" i="39"/>
  <c r="G91" i="39" s="1"/>
  <c r="H17" i="39"/>
  <c r="U17" i="39" s="1"/>
  <c r="F101" i="39"/>
  <c r="G101" i="39"/>
  <c r="F27" i="39"/>
  <c r="AA27" i="39" s="1"/>
  <c r="J27" i="39"/>
  <c r="AC27" i="39" s="1"/>
  <c r="H27" i="39"/>
  <c r="AB27" i="39" s="1"/>
  <c r="J17" i="39"/>
  <c r="W17" i="39" s="1"/>
  <c r="F17" i="39"/>
  <c r="AA17" i="39" s="1"/>
  <c r="F93" i="39"/>
  <c r="G93" i="39" s="1"/>
  <c r="H19" i="39"/>
  <c r="F19" i="39"/>
  <c r="S19" i="39"/>
  <c r="J19" i="39"/>
  <c r="W19" i="39"/>
  <c r="F95" i="39"/>
  <c r="G95" i="39"/>
  <c r="F21" i="39"/>
  <c r="J21" i="39"/>
  <c r="W21" i="39" s="1"/>
  <c r="H21" i="39"/>
  <c r="AB21" i="39" s="1"/>
  <c r="A30" i="51"/>
  <c r="B22" i="63" s="1"/>
  <c r="A30" i="64"/>
  <c r="U47" i="39"/>
  <c r="AC47" i="39"/>
  <c r="W31" i="39"/>
  <c r="W29" i="39"/>
  <c r="W25" i="39"/>
  <c r="S25" i="39"/>
  <c r="AB25" i="39"/>
  <c r="U21" i="39"/>
  <c r="AC19" i="39"/>
  <c r="AA19" i="39"/>
  <c r="W16" i="39"/>
  <c r="S14" i="39"/>
  <c r="S16" i="39"/>
  <c r="W15" i="39"/>
  <c r="W14" i="39"/>
  <c r="B54" i="46"/>
  <c r="D23" i="15"/>
  <c r="T41" i="4"/>
  <c r="A18" i="64"/>
  <c r="B74" i="63"/>
  <c r="C53" i="10"/>
  <c r="A25" i="51" s="1"/>
  <c r="B18" i="63" s="1"/>
  <c r="A18" i="51"/>
  <c r="B14" i="63" s="1"/>
  <c r="L5" i="54"/>
  <c r="B39" i="63" s="1"/>
  <c r="K5" i="54"/>
  <c r="C46" i="9"/>
  <c r="H1" i="65"/>
  <c r="H51" i="46"/>
  <c r="X7" i="46"/>
  <c r="E17" i="46"/>
  <c r="N17" i="46"/>
  <c r="O17" i="46"/>
  <c r="M17" i="46"/>
  <c r="L17" i="46"/>
  <c r="D59" i="34"/>
  <c r="E59" i="34" s="1"/>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7" i="59"/>
  <c r="C6" i="59"/>
  <c r="B7" i="59"/>
  <c r="B6" i="59" s="1"/>
  <c r="D7" i="59"/>
  <c r="P25" i="46"/>
  <c r="B73" i="39" s="1"/>
  <c r="P24" i="46"/>
  <c r="B68" i="40" s="1"/>
  <c r="M17" i="15"/>
  <c r="F33" i="44"/>
  <c r="F31" i="15"/>
  <c r="M19" i="44"/>
  <c r="F58" i="15"/>
  <c r="AC21" i="39"/>
  <c r="S21" i="39"/>
  <c r="AA21" i="39"/>
  <c r="U19" i="39"/>
  <c r="AB19" i="39"/>
  <c r="I14" i="66"/>
  <c r="B8" i="66"/>
  <c r="K33" i="9"/>
  <c r="K34" i="9" s="1"/>
  <c r="O41" i="9"/>
  <c r="R8" i="54" s="1"/>
  <c r="B54" i="63"/>
  <c r="I1" i="65"/>
  <c r="C7" i="46"/>
  <c r="G20" i="46"/>
  <c r="E41" i="46"/>
  <c r="C41" i="46" s="1"/>
  <c r="F9" i="67"/>
  <c r="B11" i="67"/>
  <c r="F8" i="44"/>
  <c r="M23" i="44"/>
  <c r="J4" i="65"/>
  <c r="B14" i="67"/>
  <c r="F7" i="70"/>
  <c r="E12" i="67"/>
  <c r="F28" i="44"/>
  <c r="E8" i="67"/>
  <c r="J5" i="65"/>
  <c r="N5" i="65"/>
  <c r="B8" i="67"/>
  <c r="F12" i="67"/>
  <c r="F9" i="44"/>
  <c r="F45" i="44"/>
  <c r="F11" i="67"/>
  <c r="F43" i="44"/>
  <c r="M25" i="44"/>
  <c r="B10" i="67"/>
  <c r="F40" i="44"/>
  <c r="B13" i="67"/>
  <c r="E13" i="67"/>
  <c r="N7" i="65"/>
  <c r="F37" i="44"/>
  <c r="I6" i="65"/>
  <c r="B12" i="67"/>
  <c r="E10" i="67"/>
  <c r="N4" i="65"/>
  <c r="M29" i="70"/>
  <c r="F8" i="67"/>
  <c r="F38" i="44"/>
  <c r="F13" i="67"/>
  <c r="J7" i="65"/>
  <c r="F39" i="44"/>
  <c r="M28" i="44"/>
  <c r="M26" i="44"/>
  <c r="E14" i="67"/>
  <c r="M8" i="44"/>
  <c r="N6" i="65"/>
  <c r="M29" i="44"/>
  <c r="M10" i="44"/>
  <c r="F11" i="44"/>
  <c r="F46" i="44"/>
  <c r="F10" i="44"/>
  <c r="F10" i="67"/>
  <c r="F14" i="67"/>
  <c r="L48" i="44"/>
  <c r="M31" i="44"/>
  <c r="B9" i="67"/>
  <c r="F15" i="44"/>
  <c r="M30" i="44"/>
  <c r="E11" i="67"/>
  <c r="M11" i="44"/>
  <c r="J17" i="44"/>
  <c r="J6" i="65"/>
  <c r="F18" i="44"/>
  <c r="N3" i="65"/>
  <c r="L49" i="44"/>
  <c r="M24" i="44"/>
  <c r="L48" i="70"/>
  <c r="E9" i="67"/>
  <c r="F43" i="70"/>
  <c r="Q75" i="70" l="1"/>
  <c r="P21" i="46"/>
  <c r="P22" i="46"/>
  <c r="C42" i="1"/>
  <c r="J51" i="15"/>
  <c r="C110" i="9"/>
  <c r="L57" i="70"/>
  <c r="L56" i="70"/>
  <c r="J53" i="70"/>
  <c r="F1" i="70" s="1"/>
  <c r="I54" i="70"/>
  <c r="L60" i="70"/>
  <c r="Q58" i="70" s="1"/>
  <c r="L58" i="70"/>
  <c r="Q74" i="70" s="1"/>
  <c r="J57" i="70"/>
  <c r="J55" i="70" s="1"/>
  <c r="J58" i="70" s="1"/>
  <c r="Q51" i="70" s="1"/>
  <c r="G7" i="1"/>
  <c r="BA13" i="3"/>
  <c r="BA5" i="3" s="1"/>
  <c r="E5" i="6"/>
  <c r="D21" i="12" s="1"/>
  <c r="C21" i="12" s="1"/>
  <c r="E16" i="43"/>
  <c r="F19" i="44"/>
  <c r="E16" i="12"/>
  <c r="D24" i="15"/>
  <c r="D26" i="44"/>
  <c r="H36" i="39"/>
  <c r="J36" i="39"/>
  <c r="F36" i="39"/>
  <c r="AB38" i="39"/>
  <c r="S38" i="39"/>
  <c r="AC38" i="39"/>
  <c r="AB37" i="39"/>
  <c r="J39" i="39"/>
  <c r="W39" i="39" s="1"/>
  <c r="U33" i="39"/>
  <c r="AB33" i="39"/>
  <c r="AB39" i="39"/>
  <c r="U39" i="39"/>
  <c r="S37" i="39"/>
  <c r="AA37" i="39"/>
  <c r="S31" i="39"/>
  <c r="S34" i="39"/>
  <c r="AC39" i="39"/>
  <c r="J37" i="39"/>
  <c r="M7" i="70"/>
  <c r="J6" i="70" s="1"/>
  <c r="F49" i="70"/>
  <c r="C48" i="70" s="1"/>
  <c r="C6" i="70"/>
  <c r="F70" i="70"/>
  <c r="M7" i="1"/>
  <c r="F97" i="39"/>
  <c r="G97" i="39" s="1"/>
  <c r="H23" i="39"/>
  <c r="U23" i="39" s="1"/>
  <c r="AB17" i="39"/>
  <c r="W41" i="39"/>
  <c r="AA44" i="39"/>
  <c r="W42" i="39"/>
  <c r="U42" i="39"/>
  <c r="S41" i="39"/>
  <c r="W43" i="39"/>
  <c r="W27" i="39"/>
  <c r="U27" i="39"/>
  <c r="S27" i="39"/>
  <c r="W23" i="39"/>
  <c r="AB23" i="39"/>
  <c r="W11" i="39"/>
  <c r="S11" i="39"/>
  <c r="Q53" i="70"/>
  <c r="G17" i="46"/>
  <c r="C16" i="46" s="1"/>
  <c r="AC38" i="21"/>
  <c r="AB37" i="21"/>
  <c r="U40" i="21"/>
  <c r="U38" i="21"/>
  <c r="AA37" i="21"/>
  <c r="AC34" i="21"/>
  <c r="W32" i="21"/>
  <c r="AC40" i="21"/>
  <c r="U39" i="21"/>
  <c r="U35" i="21"/>
  <c r="S35" i="21"/>
  <c r="W15" i="21"/>
  <c r="AA15" i="21"/>
  <c r="S19" i="21"/>
  <c r="W17" i="21"/>
  <c r="W43" i="21"/>
  <c r="U43" i="21"/>
  <c r="AA40" i="21"/>
  <c r="AA38" i="21"/>
  <c r="AA36" i="21"/>
  <c r="AB34" i="21"/>
  <c r="AB32" i="21"/>
  <c r="AC23" i="21"/>
  <c r="AC19" i="21"/>
  <c r="H17" i="21"/>
  <c r="AA17" i="21"/>
  <c r="U23" i="21"/>
  <c r="AB27" i="21"/>
  <c r="U27" i="21"/>
  <c r="AC27" i="21"/>
  <c r="W25" i="21"/>
  <c r="AB25" i="21"/>
  <c r="F27" i="21"/>
  <c r="S23" i="21"/>
  <c r="U15" i="21"/>
  <c r="AB31" i="21"/>
  <c r="AB10" i="21"/>
  <c r="S10" i="21"/>
  <c r="W10" i="21"/>
  <c r="W14" i="21"/>
  <c r="AC14" i="21"/>
  <c r="S13" i="21"/>
  <c r="S14" i="21"/>
  <c r="H14" i="21"/>
  <c r="U14" i="21" s="1"/>
  <c r="J12" i="21"/>
  <c r="G123" i="21"/>
  <c r="H123" i="21" s="1"/>
  <c r="I123" i="21" s="1"/>
  <c r="J123" i="21" s="1"/>
  <c r="K123" i="21" s="1"/>
  <c r="L123" i="21" s="1"/>
  <c r="M123" i="21" s="1"/>
  <c r="J42" i="21"/>
  <c r="AC42" i="21" s="1"/>
  <c r="H42" i="21"/>
  <c r="AB42" i="21" s="1"/>
  <c r="F42" i="21"/>
  <c r="AA42" i="21" s="1"/>
  <c r="U42" i="21"/>
  <c r="W9" i="21"/>
  <c r="S8" i="21"/>
  <c r="M20" i="15"/>
  <c r="F36" i="44"/>
  <c r="K8" i="1"/>
  <c r="G1" i="15"/>
  <c r="K1" i="12"/>
  <c r="BL18" i="3"/>
  <c r="AZ18" i="3" s="1"/>
  <c r="G29" i="6"/>
  <c r="G30" i="6" s="1"/>
  <c r="G31" i="6" s="1"/>
  <c r="E28" i="6"/>
  <c r="K14" i="1" s="1"/>
  <c r="M14" i="1" s="1"/>
  <c r="O14" i="1" s="1"/>
  <c r="B113" i="46"/>
  <c r="I115" i="46" s="1"/>
  <c r="J115" i="46" s="1"/>
  <c r="K115" i="46" s="1"/>
  <c r="L115" i="46" s="1"/>
  <c r="M115" i="46" s="1"/>
  <c r="F29" i="6"/>
  <c r="F30" i="6" s="1"/>
  <c r="C23" i="46"/>
  <c r="C21" i="46" s="1"/>
  <c r="AG11" i="46"/>
  <c r="AG13" i="46" s="1"/>
  <c r="M101" i="46"/>
  <c r="M107" i="46" s="1"/>
  <c r="F101" i="46"/>
  <c r="F104" i="46" s="1"/>
  <c r="B118" i="46"/>
  <c r="C118" i="46" s="1"/>
  <c r="AI11" i="46"/>
  <c r="AI13" i="46" s="1"/>
  <c r="E101" i="46"/>
  <c r="E105" i="46" s="1"/>
  <c r="AJ11" i="46"/>
  <c r="AJ13" i="46" s="1"/>
  <c r="Y11" i="46"/>
  <c r="Y13" i="46" s="1"/>
  <c r="AE11" i="46"/>
  <c r="AE13" i="46" s="1"/>
  <c r="AH11" i="46"/>
  <c r="AH13" i="46" s="1"/>
  <c r="K101" i="46"/>
  <c r="K107" i="46" s="1"/>
  <c r="L101" i="46"/>
  <c r="L109" i="46" s="1"/>
  <c r="G101" i="46"/>
  <c r="G102" i="46" s="1"/>
  <c r="AC11" i="46"/>
  <c r="AC13" i="46" s="1"/>
  <c r="G22" i="46"/>
  <c r="BL13" i="3"/>
  <c r="BL5" i="3" s="1"/>
  <c r="I4" i="6"/>
  <c r="E12" i="6"/>
  <c r="E59" i="40" s="1"/>
  <c r="A25" i="64"/>
  <c r="A3" i="55"/>
  <c r="B56" i="63" s="1"/>
  <c r="B38" i="63"/>
  <c r="L16" i="4"/>
  <c r="L76" i="9"/>
  <c r="H7" i="33"/>
  <c r="AB7" i="33" s="1"/>
  <c r="T48" i="33" s="1"/>
  <c r="G48" i="33" s="1"/>
  <c r="G53" i="33" s="1"/>
  <c r="H53" i="33" s="1"/>
  <c r="G8" i="1"/>
  <c r="C27" i="43"/>
  <c r="C72" i="39"/>
  <c r="D70" i="39"/>
  <c r="C51" i="10"/>
  <c r="AB11" i="46"/>
  <c r="AB13" i="46" s="1"/>
  <c r="AF11" i="46"/>
  <c r="AF13" i="46" s="1"/>
  <c r="AA11" i="46"/>
  <c r="AA13" i="46" s="1"/>
  <c r="Z11" i="46"/>
  <c r="Z13" i="46" s="1"/>
  <c r="E22" i="46"/>
  <c r="Z7" i="46"/>
  <c r="F22" i="46"/>
  <c r="N104" i="45"/>
  <c r="J101" i="46"/>
  <c r="J105" i="46" s="1"/>
  <c r="C101" i="46"/>
  <c r="C109" i="46" s="1"/>
  <c r="AD11" i="46"/>
  <c r="AD13" i="46" s="1"/>
  <c r="N101" i="46"/>
  <c r="N102" i="46" s="1"/>
  <c r="I101" i="46"/>
  <c r="I107" i="46" s="1"/>
  <c r="E11" i="6"/>
  <c r="E63" i="39" s="1"/>
  <c r="E15" i="6"/>
  <c r="E62" i="40" s="1"/>
  <c r="D101" i="46"/>
  <c r="D106" i="46" s="1"/>
  <c r="J22" i="46"/>
  <c r="H101" i="46"/>
  <c r="H102" i="46" s="1"/>
  <c r="G13" i="3"/>
  <c r="C18" i="9"/>
  <c r="D18" i="9" s="1"/>
  <c r="M44" i="9" s="1"/>
  <c r="AC17" i="39"/>
  <c r="S17" i="39"/>
  <c r="M18" i="15"/>
  <c r="D96" i="9"/>
  <c r="F30" i="44"/>
  <c r="C30" i="44" s="1"/>
  <c r="M20" i="44"/>
  <c r="F70" i="9"/>
  <c r="F32" i="15"/>
  <c r="F59" i="15" s="1"/>
  <c r="F71" i="9"/>
  <c r="E10" i="6"/>
  <c r="E13" i="6"/>
  <c r="E14" i="6"/>
  <c r="E8" i="52"/>
  <c r="G11" i="1"/>
  <c r="R16" i="4"/>
  <c r="E21" i="52"/>
  <c r="B10" i="52"/>
  <c r="E4" i="52"/>
  <c r="G13" i="1"/>
  <c r="G10" i="1"/>
  <c r="K17" i="4"/>
  <c r="A22" i="51" s="1"/>
  <c r="B16" i="63" s="1"/>
  <c r="B16" i="52"/>
  <c r="E17" i="52"/>
  <c r="B13" i="52"/>
  <c r="B5" i="52"/>
  <c r="E13" i="52"/>
  <c r="B4" i="52"/>
  <c r="E22" i="52"/>
  <c r="E5" i="52"/>
  <c r="E7" i="52"/>
  <c r="G52" i="33"/>
  <c r="H52" i="33" s="1"/>
  <c r="C67" i="40"/>
  <c r="D65" i="40"/>
  <c r="E10" i="52"/>
  <c r="B8" i="52"/>
  <c r="B9" i="52"/>
  <c r="E16" i="52"/>
  <c r="B14" i="52"/>
  <c r="E15" i="52"/>
  <c r="E11" i="52"/>
  <c r="E4" i="4" s="1"/>
  <c r="B21" i="55" s="1"/>
  <c r="B72" i="63" s="1"/>
  <c r="E9" i="52"/>
  <c r="B11" i="52"/>
  <c r="B22" i="52"/>
  <c r="B7" i="52"/>
  <c r="E6" i="52"/>
  <c r="B6" i="52"/>
  <c r="F7" i="33"/>
  <c r="S7" i="33" s="1"/>
  <c r="G6" i="1"/>
  <c r="AP7" i="1"/>
  <c r="E14" i="52"/>
  <c r="W7" i="33"/>
  <c r="G12" i="1"/>
  <c r="J22" i="44"/>
  <c r="M9" i="44"/>
  <c r="J8" i="44" s="1"/>
  <c r="C36" i="44"/>
  <c r="Q73" i="44"/>
  <c r="C8" i="44"/>
  <c r="J60" i="44"/>
  <c r="I55" i="44"/>
  <c r="J61" i="44"/>
  <c r="Q50" i="44" s="1"/>
  <c r="J58" i="44"/>
  <c r="J56" i="44" s="1"/>
  <c r="J59" i="44" s="1"/>
  <c r="Q52" i="44" s="1"/>
  <c r="L57" i="44"/>
  <c r="J54" i="44"/>
  <c r="C29" i="44"/>
  <c r="C4" i="65"/>
  <c r="B39" i="1" s="1"/>
  <c r="L59" i="44"/>
  <c r="L60" i="44"/>
  <c r="C5" i="46"/>
  <c r="D5" i="46"/>
  <c r="K46" i="36"/>
  <c r="L46" i="36" s="1"/>
  <c r="M46" i="36" s="1"/>
  <c r="N46" i="36" s="1"/>
  <c r="O46" i="36" s="1"/>
  <c r="J7" i="36"/>
  <c r="S6" i="59"/>
  <c r="B5" i="59"/>
  <c r="T6" i="59"/>
  <c r="C5" i="59"/>
  <c r="D5" i="59" s="1"/>
  <c r="G58" i="21"/>
  <c r="AA23" i="39"/>
  <c r="S23" i="39"/>
  <c r="F59" i="34"/>
  <c r="D6" i="59"/>
  <c r="F48" i="35"/>
  <c r="F52" i="37"/>
  <c r="A17" i="51"/>
  <c r="B13" i="63" s="1"/>
  <c r="A17" i="64"/>
  <c r="I52" i="33"/>
  <c r="J52" i="33" s="1"/>
  <c r="F27" i="6"/>
  <c r="E19" i="6"/>
  <c r="D3" i="21" s="1"/>
  <c r="E53" i="40"/>
  <c r="O40" i="9"/>
  <c r="R7" i="54" s="1"/>
  <c r="B52" i="63" s="1"/>
  <c r="F29" i="39"/>
  <c r="AA10" i="35"/>
  <c r="S10" i="35"/>
  <c r="AZ520" i="3"/>
  <c r="U27" i="33"/>
  <c r="AB27" i="33"/>
  <c r="AA28" i="34"/>
  <c r="S28" i="34"/>
  <c r="AC24" i="36"/>
  <c r="W24" i="36"/>
  <c r="U25" i="33"/>
  <c r="S17" i="34"/>
  <c r="W34" i="40"/>
  <c r="S47" i="39"/>
  <c r="AB14" i="40"/>
  <c r="H29" i="39"/>
  <c r="AZ370" i="3"/>
  <c r="AZ381" i="3"/>
  <c r="AZ323" i="3"/>
  <c r="AZ345" i="3"/>
  <c r="AZ329" i="3"/>
  <c r="AZ305" i="3"/>
  <c r="U31" i="37"/>
  <c r="W41" i="34"/>
  <c r="AC41" i="34"/>
  <c r="S12" i="21"/>
  <c r="AA12" i="21"/>
  <c r="AA31" i="33"/>
  <c r="S31" i="33"/>
  <c r="AB45" i="33"/>
  <c r="U45" i="33"/>
  <c r="W23" i="35"/>
  <c r="AC23" i="35"/>
  <c r="W39" i="37"/>
  <c r="AC39" i="37"/>
  <c r="G524" i="3"/>
  <c r="AZ389" i="3"/>
  <c r="AZ404" i="3"/>
  <c r="AZ421" i="3"/>
  <c r="AZ440" i="3"/>
  <c r="AZ368" i="3"/>
  <c r="AZ384" i="3"/>
  <c r="AZ386" i="3"/>
  <c r="AZ230" i="3"/>
  <c r="AZ234" i="3"/>
  <c r="S27" i="37"/>
  <c r="AC28" i="34"/>
  <c r="U28" i="21"/>
  <c r="S45" i="21"/>
  <c r="AA27" i="33"/>
  <c r="W31" i="34"/>
  <c r="AB14" i="21"/>
  <c r="U46" i="21"/>
  <c r="AB13" i="21"/>
  <c r="AB40" i="37"/>
  <c r="W46" i="33"/>
  <c r="W35" i="35"/>
  <c r="AB36" i="21"/>
  <c r="H12" i="21"/>
  <c r="F9" i="36"/>
  <c r="H9" i="36"/>
  <c r="H24" i="36"/>
  <c r="G553" i="3"/>
  <c r="G548" i="3"/>
  <c r="AZ396" i="3"/>
  <c r="AZ409" i="3"/>
  <c r="AZ412" i="3"/>
  <c r="AZ429" i="3"/>
  <c r="AZ445" i="3"/>
  <c r="AZ448" i="3"/>
  <c r="AZ472" i="3"/>
  <c r="AZ242" i="3"/>
  <c r="AZ254" i="3"/>
  <c r="AZ258" i="3"/>
  <c r="AZ264" i="3"/>
  <c r="AZ271" i="3"/>
  <c r="AZ275" i="3"/>
  <c r="AZ287" i="3"/>
  <c r="AZ291" i="3"/>
  <c r="AZ113" i="3"/>
  <c r="AZ116" i="3"/>
  <c r="AZ129" i="3"/>
  <c r="AZ132" i="3"/>
  <c r="AZ145" i="3"/>
  <c r="AZ148" i="3"/>
  <c r="AZ25" i="3"/>
  <c r="AZ30" i="3"/>
  <c r="AZ41" i="3"/>
  <c r="AZ46" i="3"/>
  <c r="AZ57" i="3"/>
  <c r="AZ62" i="3"/>
  <c r="AZ65" i="3"/>
  <c r="AZ68" i="3"/>
  <c r="AZ75" i="3"/>
  <c r="AZ81" i="3"/>
  <c r="AZ85" i="3"/>
  <c r="AZ88" i="3"/>
  <c r="AZ95" i="3"/>
  <c r="AZ101" i="3"/>
  <c r="AZ104" i="3"/>
  <c r="D1" i="57"/>
  <c r="E10" i="57" s="1"/>
  <c r="I21" i="57"/>
  <c r="C31" i="39"/>
  <c r="S27" i="40"/>
  <c r="S21" i="34"/>
  <c r="F16" i="59"/>
  <c r="F17" i="59" s="1"/>
  <c r="F18" i="59" s="1"/>
  <c r="V18" i="59" s="1"/>
  <c r="AB3" i="59"/>
  <c r="AB12" i="59"/>
  <c r="AB15" i="59"/>
  <c r="Y17" i="59"/>
  <c r="Z17" i="59" s="1"/>
  <c r="Y18" i="59"/>
  <c r="Z18" i="59" s="1"/>
  <c r="B20" i="59"/>
  <c r="B21" i="59" s="1"/>
  <c r="B22" i="59" s="1"/>
  <c r="S22" i="59" s="1"/>
  <c r="X19" i="59"/>
  <c r="AA19" i="59"/>
  <c r="AB22" i="59"/>
  <c r="X23" i="59"/>
  <c r="F24" i="59"/>
  <c r="F25" i="59" s="1"/>
  <c r="F26" i="59" s="1"/>
  <c r="V26" i="59" s="1"/>
  <c r="AB23" i="59"/>
  <c r="AB24" i="59"/>
  <c r="Q52" i="59"/>
  <c r="Q51" i="59"/>
  <c r="T14" i="59"/>
  <c r="C13" i="59"/>
  <c r="D14" i="59"/>
  <c r="AB10" i="59"/>
  <c r="V6" i="59"/>
  <c r="F5" i="59"/>
  <c r="AA10" i="59"/>
  <c r="Y9" i="59"/>
  <c r="Z9" i="59" s="1"/>
  <c r="AA9" i="59"/>
  <c r="X6" i="59"/>
  <c r="O51" i="59"/>
  <c r="Y19" i="59"/>
  <c r="Z19" i="59" s="1"/>
  <c r="C20" i="59"/>
  <c r="AA23" i="59"/>
  <c r="E24" i="59"/>
  <c r="E25" i="59" s="1"/>
  <c r="E26" i="59" s="1"/>
  <c r="U26" i="59" s="1"/>
  <c r="X11" i="59"/>
  <c r="X13" i="59"/>
  <c r="B14" i="59"/>
  <c r="E14" i="59"/>
  <c r="AA3" i="59"/>
  <c r="AA12" i="59"/>
  <c r="AA14" i="59"/>
  <c r="U6" i="59"/>
  <c r="E5" i="59"/>
  <c r="AB9" i="59"/>
  <c r="Y5" i="59"/>
  <c r="Z5" i="59" s="1"/>
  <c r="AB5" i="59"/>
  <c r="F14" i="59"/>
  <c r="Y10" i="59"/>
  <c r="Z10" i="59" s="1"/>
  <c r="X9" i="59"/>
  <c r="X8" i="59"/>
  <c r="X7" i="59"/>
  <c r="Y6" i="59"/>
  <c r="Z6" i="59" s="1"/>
  <c r="AA7" i="59"/>
  <c r="AB6" i="59"/>
  <c r="AB7" i="59"/>
  <c r="AA6" i="59"/>
  <c r="V10" i="59"/>
  <c r="K76" i="9"/>
  <c r="K77" i="9" s="1"/>
  <c r="K79" i="9" s="1"/>
  <c r="K81" i="9" s="1"/>
  <c r="X10" i="59"/>
  <c r="D9" i="59"/>
  <c r="Y8" i="59"/>
  <c r="Z8" i="59" s="1"/>
  <c r="Y7" i="59"/>
  <c r="Z7" i="59" s="1"/>
  <c r="AA8" i="59"/>
  <c r="AB8" i="59"/>
  <c r="X5" i="59"/>
  <c r="AA5" i="59"/>
  <c r="M9" i="15"/>
  <c r="F9" i="15"/>
  <c r="F36" i="15"/>
  <c r="M8" i="15"/>
  <c r="M27" i="15"/>
  <c r="M24" i="15"/>
  <c r="M28" i="15"/>
  <c r="F26" i="15"/>
  <c r="I4" i="65"/>
  <c r="F40" i="15"/>
  <c r="M6" i="15"/>
  <c r="C16" i="70"/>
  <c r="M26" i="15"/>
  <c r="C19" i="44"/>
  <c r="J3" i="65"/>
  <c r="F7" i="15"/>
  <c r="M22" i="15"/>
  <c r="F16" i="15"/>
  <c r="L47" i="15"/>
  <c r="F38" i="15"/>
  <c r="F13" i="15"/>
  <c r="J36" i="15"/>
  <c r="F37" i="15"/>
  <c r="I7" i="65"/>
  <c r="AE7" i="1"/>
  <c r="I5" i="65"/>
  <c r="F6" i="15"/>
  <c r="L48" i="15"/>
  <c r="I3" i="65"/>
  <c r="M23" i="15"/>
  <c r="J15" i="15"/>
  <c r="F43" i="15"/>
  <c r="M29" i="15"/>
  <c r="F42" i="15"/>
  <c r="C18" i="44"/>
  <c r="F8" i="15"/>
  <c r="AA7" i="33" l="1"/>
  <c r="R48" i="33" s="1"/>
  <c r="U7" i="33"/>
  <c r="C28" i="70"/>
  <c r="C28" i="15"/>
  <c r="C25" i="12"/>
  <c r="C31" i="43"/>
  <c r="Q67" i="70"/>
  <c r="Q61" i="70"/>
  <c r="D12" i="11"/>
  <c r="C12" i="11" s="1"/>
  <c r="AC36" i="39"/>
  <c r="W36" i="39"/>
  <c r="AA36" i="39"/>
  <c r="S36" i="39"/>
  <c r="AB36" i="39"/>
  <c r="U36" i="39"/>
  <c r="W37" i="39"/>
  <c r="AC37" i="39"/>
  <c r="M8" i="1"/>
  <c r="O8" i="1" s="1"/>
  <c r="P8" i="1" s="1"/>
  <c r="AO8" i="1"/>
  <c r="O7" i="1"/>
  <c r="P7" i="1" s="1"/>
  <c r="M11" i="70"/>
  <c r="J10" i="70" s="1"/>
  <c r="J5" i="70" s="1"/>
  <c r="F11" i="70"/>
  <c r="AB17" i="21"/>
  <c r="U17" i="21"/>
  <c r="AA27" i="21"/>
  <c r="S27" i="21"/>
  <c r="AC12" i="21"/>
  <c r="W12" i="21"/>
  <c r="W42" i="21"/>
  <c r="S42" i="21"/>
  <c r="C27" i="15"/>
  <c r="I54" i="15"/>
  <c r="J57" i="15"/>
  <c r="J55" i="15" s="1"/>
  <c r="J58" i="15" s="1"/>
  <c r="Q51" i="15" s="1"/>
  <c r="L56" i="15"/>
  <c r="J53" i="15"/>
  <c r="F1" i="15" s="1"/>
  <c r="Q72" i="15"/>
  <c r="C6" i="15"/>
  <c r="F63" i="15"/>
  <c r="L58" i="15"/>
  <c r="Q61" i="15" s="1"/>
  <c r="L59" i="15"/>
  <c r="Q62" i="15" s="1"/>
  <c r="F65" i="15"/>
  <c r="M7" i="15"/>
  <c r="J6" i="15" s="1"/>
  <c r="F49" i="15"/>
  <c r="F67" i="15"/>
  <c r="F50" i="15"/>
  <c r="F70" i="15"/>
  <c r="F64" i="15"/>
  <c r="D115" i="46"/>
  <c r="E115" i="46" s="1"/>
  <c r="F115" i="46" s="1"/>
  <c r="G115" i="46" s="1"/>
  <c r="H115" i="46" s="1"/>
  <c r="D118" i="46"/>
  <c r="E118" i="46" s="1"/>
  <c r="F118" i="46" s="1"/>
  <c r="E103" i="46"/>
  <c r="B115" i="46"/>
  <c r="C115" i="46" s="1"/>
  <c r="I118" i="46"/>
  <c r="J118" i="46" s="1"/>
  <c r="K118" i="46" s="1"/>
  <c r="L118" i="46" s="1"/>
  <c r="M118" i="46" s="1"/>
  <c r="B116" i="46"/>
  <c r="C116" i="46" s="1"/>
  <c r="E102" i="46"/>
  <c r="D117" i="46"/>
  <c r="E117" i="46" s="1"/>
  <c r="F117" i="46" s="1"/>
  <c r="G117" i="46" s="1"/>
  <c r="H117" i="46" s="1"/>
  <c r="B117" i="46"/>
  <c r="C117" i="46" s="1"/>
  <c r="I117" i="46"/>
  <c r="J117" i="46" s="1"/>
  <c r="K117" i="46" s="1"/>
  <c r="L117" i="46" s="1"/>
  <c r="M117" i="46" s="1"/>
  <c r="D116" i="46"/>
  <c r="E116" i="46" s="1"/>
  <c r="F116" i="46" s="1"/>
  <c r="G116" i="46" s="1"/>
  <c r="H116" i="46" s="1"/>
  <c r="I116" i="46"/>
  <c r="J116" i="46" s="1"/>
  <c r="K116" i="46" s="1"/>
  <c r="L116" i="46" s="1"/>
  <c r="M116" i="46" s="1"/>
  <c r="G118" i="46"/>
  <c r="H118" i="46" s="1"/>
  <c r="E29" i="6"/>
  <c r="K15" i="1" s="1"/>
  <c r="P14" i="1"/>
  <c r="F103" i="46"/>
  <c r="F109" i="46"/>
  <c r="F31" i="6"/>
  <c r="F107" i="46"/>
  <c r="F102" i="46"/>
  <c r="F106" i="46"/>
  <c r="L105" i="46"/>
  <c r="AZ13" i="3"/>
  <c r="AZ5" i="3" s="1"/>
  <c r="E3" i="6" s="1"/>
  <c r="C33" i="21" s="1"/>
  <c r="F105" i="46"/>
  <c r="D107" i="46"/>
  <c r="G105" i="46"/>
  <c r="K106" i="46"/>
  <c r="G104" i="46"/>
  <c r="K109" i="46"/>
  <c r="M104" i="46"/>
  <c r="M103" i="46"/>
  <c r="K104" i="46"/>
  <c r="M106" i="46"/>
  <c r="E104" i="46"/>
  <c r="L104" i="46"/>
  <c r="L107" i="46"/>
  <c r="E107" i="46"/>
  <c r="E106" i="46"/>
  <c r="M102" i="46"/>
  <c r="E109" i="46"/>
  <c r="M109" i="46"/>
  <c r="M105" i="46"/>
  <c r="K102" i="46"/>
  <c r="G103" i="46"/>
  <c r="G107" i="46"/>
  <c r="G106" i="46"/>
  <c r="K105" i="46"/>
  <c r="K103" i="46"/>
  <c r="G109" i="46"/>
  <c r="L103" i="46"/>
  <c r="L106" i="46"/>
  <c r="L102" i="46"/>
  <c r="E30" i="6"/>
  <c r="E64" i="39"/>
  <c r="E27" i="6"/>
  <c r="K21" i="6" s="1"/>
  <c r="H103" i="46"/>
  <c r="C107" i="46"/>
  <c r="E58" i="40"/>
  <c r="H109" i="46"/>
  <c r="D109" i="46"/>
  <c r="C105" i="46"/>
  <c r="N106" i="46"/>
  <c r="E16" i="6"/>
  <c r="H106" i="46"/>
  <c r="H107" i="46"/>
  <c r="D102" i="46"/>
  <c r="C102" i="46"/>
  <c r="S2" i="46" s="1"/>
  <c r="T2" i="46" s="1"/>
  <c r="V2" i="46" s="1"/>
  <c r="N104" i="46"/>
  <c r="C4" i="4"/>
  <c r="B20" i="55" s="1"/>
  <c r="B70" i="63" s="1"/>
  <c r="E70" i="39"/>
  <c r="D72" i="39"/>
  <c r="A9" i="51"/>
  <c r="B9" i="63" s="1"/>
  <c r="A9" i="64"/>
  <c r="I102" i="46"/>
  <c r="I106" i="46"/>
  <c r="I104" i="46"/>
  <c r="I105" i="46"/>
  <c r="J106" i="46"/>
  <c r="J107" i="46"/>
  <c r="J103" i="46"/>
  <c r="J109" i="46"/>
  <c r="J102" i="46"/>
  <c r="D22" i="46"/>
  <c r="E67" i="39"/>
  <c r="I109" i="46"/>
  <c r="I103" i="46"/>
  <c r="J104" i="46"/>
  <c r="H105" i="46"/>
  <c r="H104" i="46"/>
  <c r="D105" i="46"/>
  <c r="D103" i="46"/>
  <c r="D104" i="46"/>
  <c r="N105" i="46"/>
  <c r="N109" i="46"/>
  <c r="N107" i="46"/>
  <c r="N103" i="46"/>
  <c r="C103" i="46"/>
  <c r="C106" i="46"/>
  <c r="C104" i="46"/>
  <c r="M43" i="9"/>
  <c r="K23" i="6"/>
  <c r="M23" i="6" s="1"/>
  <c r="I23" i="6" s="1"/>
  <c r="S23" i="6" s="1"/>
  <c r="E66" i="39"/>
  <c r="E61" i="40"/>
  <c r="E65" i="39"/>
  <c r="E68" i="39" s="1"/>
  <c r="E60" i="40"/>
  <c r="E65" i="40"/>
  <c r="D67" i="40"/>
  <c r="H7" i="36"/>
  <c r="U7" i="36" s="1"/>
  <c r="F7" i="36"/>
  <c r="S7" i="36" s="1"/>
  <c r="L47" i="44"/>
  <c r="E20" i="46"/>
  <c r="J1" i="65"/>
  <c r="B13" i="59"/>
  <c r="B12" i="59" s="1"/>
  <c r="S14" i="59"/>
  <c r="AB9" i="36"/>
  <c r="U9" i="36"/>
  <c r="U12" i="21"/>
  <c r="AB12" i="21"/>
  <c r="G48" i="35"/>
  <c r="R49" i="33"/>
  <c r="E48" i="33"/>
  <c r="G59" i="34"/>
  <c r="H59" i="34" s="1"/>
  <c r="I59" i="34" s="1"/>
  <c r="J59" i="34" s="1"/>
  <c r="K59" i="34" s="1"/>
  <c r="L59" i="34" s="1"/>
  <c r="M59" i="34" s="1"/>
  <c r="N59" i="34" s="1"/>
  <c r="O59" i="34" s="1"/>
  <c r="H7" i="34"/>
  <c r="AA7" i="36"/>
  <c r="R36" i="36" s="1"/>
  <c r="C34" i="46"/>
  <c r="C33" i="46"/>
  <c r="C36" i="46"/>
  <c r="C38" i="46"/>
  <c r="C39" i="46"/>
  <c r="C37" i="46"/>
  <c r="C35" i="46"/>
  <c r="Q63" i="44"/>
  <c r="Q76" i="44"/>
  <c r="M11" i="15"/>
  <c r="J10" i="15" s="1"/>
  <c r="M13" i="44"/>
  <c r="J12" i="44" s="1"/>
  <c r="J7" i="44" s="1"/>
  <c r="F11" i="15"/>
  <c r="F13" i="44"/>
  <c r="C12" i="44" s="1"/>
  <c r="C7" i="44" s="1"/>
  <c r="C12" i="59"/>
  <c r="D12" i="59" s="1"/>
  <c r="D13" i="59"/>
  <c r="AA29" i="39"/>
  <c r="S29" i="39"/>
  <c r="H58" i="21"/>
  <c r="I58" i="21" s="1"/>
  <c r="J58" i="21" s="1"/>
  <c r="K58" i="21" s="1"/>
  <c r="L58" i="21" s="1"/>
  <c r="M58" i="21" s="1"/>
  <c r="N58" i="21" s="1"/>
  <c r="O58" i="21" s="1"/>
  <c r="V14" i="59"/>
  <c r="F13" i="59"/>
  <c r="F12" i="59" s="1"/>
  <c r="U14" i="59"/>
  <c r="E13" i="59"/>
  <c r="E12" i="59" s="1"/>
  <c r="D20" i="59"/>
  <c r="C21" i="59"/>
  <c r="U24" i="36"/>
  <c r="AB24" i="36"/>
  <c r="AA9" i="36"/>
  <c r="S9" i="36"/>
  <c r="G5" i="3"/>
  <c r="B3" i="3" s="1"/>
  <c r="E548" i="3" s="1"/>
  <c r="U29" i="39"/>
  <c r="AB29" i="39"/>
  <c r="F7" i="21"/>
  <c r="E32" i="6"/>
  <c r="K6" i="1"/>
  <c r="C9" i="12"/>
  <c r="G52" i="37"/>
  <c r="K25" i="6"/>
  <c r="M25" i="6" s="1"/>
  <c r="I25" i="6" s="1"/>
  <c r="S25" i="6" s="1"/>
  <c r="J7" i="34"/>
  <c r="AB7" i="36"/>
  <c r="T36" i="36" s="1"/>
  <c r="G36" i="36" s="1"/>
  <c r="W7" i="36"/>
  <c r="AC7" i="36"/>
  <c r="V36" i="36" s="1"/>
  <c r="I36" i="36" s="1"/>
  <c r="T9" i="46"/>
  <c r="V9" i="46" s="1"/>
  <c r="T16" i="46"/>
  <c r="V16" i="46" s="1"/>
  <c r="T15" i="46"/>
  <c r="V15" i="46" s="1"/>
  <c r="T14" i="46"/>
  <c r="V14" i="46" s="1"/>
  <c r="C29" i="46"/>
  <c r="T12" i="46"/>
  <c r="V12" i="46" s="1"/>
  <c r="T13" i="46"/>
  <c r="V13" i="46" s="1"/>
  <c r="T10" i="46"/>
  <c r="V10" i="46" s="1"/>
  <c r="T8" i="46"/>
  <c r="V8" i="46" s="1"/>
  <c r="T11" i="46"/>
  <c r="V11" i="46" s="1"/>
  <c r="Q62" i="44"/>
  <c r="Q75" i="44"/>
  <c r="F1" i="44"/>
  <c r="Q54" i="44"/>
  <c r="C16" i="15"/>
  <c r="AE8" i="1"/>
  <c r="F41" i="70"/>
  <c r="E2" i="65"/>
  <c r="E3" i="65"/>
  <c r="C48" i="15" l="1"/>
  <c r="K20" i="6"/>
  <c r="K19" i="6"/>
  <c r="S6" i="1" s="1"/>
  <c r="K26" i="6"/>
  <c r="M26" i="6" s="1"/>
  <c r="I26" i="6" s="1"/>
  <c r="S26" i="6" s="1"/>
  <c r="J33" i="21"/>
  <c r="F33" i="21"/>
  <c r="H33" i="21"/>
  <c r="F68" i="70"/>
  <c r="C52" i="70"/>
  <c r="C47" i="70" s="1"/>
  <c r="C10" i="70"/>
  <c r="C5" i="70" s="1"/>
  <c r="J24" i="70"/>
  <c r="J18" i="70"/>
  <c r="J26" i="70"/>
  <c r="J29" i="70" s="1"/>
  <c r="Q53" i="15"/>
  <c r="Q75" i="15"/>
  <c r="J5" i="15"/>
  <c r="J26" i="15" s="1"/>
  <c r="Q74" i="15"/>
  <c r="M20" i="6"/>
  <c r="I20" i="6" s="1"/>
  <c r="S20" i="6" s="1"/>
  <c r="S7" i="1"/>
  <c r="K24" i="6"/>
  <c r="M24" i="6" s="1"/>
  <c r="I24" i="6" s="1"/>
  <c r="S24" i="6" s="1"/>
  <c r="K22" i="6"/>
  <c r="M22" i="6" s="1"/>
  <c r="I22" i="6" s="1"/>
  <c r="S22" i="6" s="1"/>
  <c r="M21" i="6"/>
  <c r="I21" i="6" s="1"/>
  <c r="S21" i="6" s="1"/>
  <c r="S8" i="1"/>
  <c r="E31" i="6"/>
  <c r="L19" i="6"/>
  <c r="L27" i="6" s="1"/>
  <c r="S3" i="46"/>
  <c r="T3" i="46" s="1"/>
  <c r="V3" i="46" s="1"/>
  <c r="S6" i="46"/>
  <c r="T6" i="46" s="1"/>
  <c r="V6" i="46" s="1"/>
  <c r="S7" i="46"/>
  <c r="T7" i="46" s="1"/>
  <c r="V7" i="46" s="1"/>
  <c r="D113" i="46"/>
  <c r="S5" i="46"/>
  <c r="T5" i="46" s="1"/>
  <c r="V5" i="46" s="1"/>
  <c r="S4" i="46"/>
  <c r="T4" i="46" s="1"/>
  <c r="V4" i="46" s="1"/>
  <c r="F70" i="39"/>
  <c r="E72" i="39"/>
  <c r="B40" i="1"/>
  <c r="J7" i="21"/>
  <c r="AC7" i="21" s="1"/>
  <c r="E67" i="40"/>
  <c r="F65" i="40"/>
  <c r="F17" i="11"/>
  <c r="C17" i="11" s="1"/>
  <c r="J28" i="44"/>
  <c r="J31" i="44" s="1"/>
  <c r="J26" i="44"/>
  <c r="J20" i="44"/>
  <c r="E29" i="46"/>
  <c r="C30" i="46"/>
  <c r="E30" i="46" s="1"/>
  <c r="G41" i="36"/>
  <c r="H41" i="36" s="1"/>
  <c r="G40" i="36"/>
  <c r="H40" i="36" s="1"/>
  <c r="C34" i="44"/>
  <c r="C40" i="44"/>
  <c r="H52" i="37"/>
  <c r="E524" i="3"/>
  <c r="C52" i="15"/>
  <c r="C10" i="15"/>
  <c r="C5" i="15" s="1"/>
  <c r="G37" i="46"/>
  <c r="I37" i="46" s="1"/>
  <c r="E37" i="46"/>
  <c r="E38" i="46"/>
  <c r="G38" i="46"/>
  <c r="I38" i="46" s="1"/>
  <c r="E33" i="46"/>
  <c r="G33" i="46"/>
  <c r="I33" i="46" s="1"/>
  <c r="E36" i="36"/>
  <c r="I41" i="36" s="1"/>
  <c r="J41" i="36" s="1"/>
  <c r="R37" i="36"/>
  <c r="AB7" i="34"/>
  <c r="T49" i="34" s="1"/>
  <c r="G49" i="34" s="1"/>
  <c r="U7" i="34"/>
  <c r="F7" i="34"/>
  <c r="C49" i="33"/>
  <c r="B3" i="33" s="1"/>
  <c r="B2" i="33" s="1"/>
  <c r="C48" i="33"/>
  <c r="H48" i="35"/>
  <c r="D16" i="12"/>
  <c r="D10" i="11"/>
  <c r="C21" i="4"/>
  <c r="O5" i="54" s="1"/>
  <c r="B45" i="63" s="1"/>
  <c r="D16" i="43"/>
  <c r="C16" i="43" s="1"/>
  <c r="E6" i="6"/>
  <c r="D46" i="9"/>
  <c r="L38" i="9"/>
  <c r="B14" i="66" s="1"/>
  <c r="B1" i="66" s="1"/>
  <c r="D45" i="9"/>
  <c r="I40" i="36"/>
  <c r="J40" i="36" s="1"/>
  <c r="W7" i="34"/>
  <c r="AC7" i="34"/>
  <c r="V49" i="34" s="1"/>
  <c r="I49" i="34" s="1"/>
  <c r="M6" i="1"/>
  <c r="H16" i="1"/>
  <c r="Q16" i="1"/>
  <c r="K16" i="1"/>
  <c r="G16" i="1"/>
  <c r="AP16" i="1"/>
  <c r="F22" i="11" s="1"/>
  <c r="AA7" i="21"/>
  <c r="S7" i="21"/>
  <c r="E15" i="3"/>
  <c r="E322" i="3"/>
  <c r="E26" i="3"/>
  <c r="E329" i="3"/>
  <c r="E567" i="3"/>
  <c r="E371" i="3"/>
  <c r="E512" i="3"/>
  <c r="E514" i="3"/>
  <c r="E312" i="3"/>
  <c r="E267" i="3"/>
  <c r="E182" i="3"/>
  <c r="E35" i="3"/>
  <c r="E212" i="3"/>
  <c r="E19" i="3"/>
  <c r="E546" i="3"/>
  <c r="E569" i="3"/>
  <c r="E319" i="3"/>
  <c r="E256" i="3"/>
  <c r="E458" i="3"/>
  <c r="E61" i="3"/>
  <c r="E400" i="3"/>
  <c r="E417" i="3"/>
  <c r="E203" i="3"/>
  <c r="E247" i="3"/>
  <c r="E131" i="3"/>
  <c r="E304" i="3"/>
  <c r="E441" i="3"/>
  <c r="E28" i="3"/>
  <c r="E407" i="3"/>
  <c r="E533" i="3"/>
  <c r="E37" i="3"/>
  <c r="E303" i="3"/>
  <c r="L6" i="3"/>
  <c r="E429" i="3"/>
  <c r="E116" i="3"/>
  <c r="E372" i="3"/>
  <c r="E465" i="3"/>
  <c r="E154" i="3"/>
  <c r="E243" i="3"/>
  <c r="E309" i="3"/>
  <c r="E448" i="3"/>
  <c r="E74" i="3"/>
  <c r="E121" i="3"/>
  <c r="E224" i="3"/>
  <c r="E123" i="3"/>
  <c r="E302" i="3"/>
  <c r="E66" i="3"/>
  <c r="E386" i="3"/>
  <c r="E76" i="3"/>
  <c r="E287" i="3"/>
  <c r="E24" i="3"/>
  <c r="E188" i="3"/>
  <c r="E271" i="3"/>
  <c r="E306" i="3"/>
  <c r="E508" i="3"/>
  <c r="E180" i="3"/>
  <c r="E493" i="3"/>
  <c r="E551" i="3"/>
  <c r="E108" i="3"/>
  <c r="E246" i="3"/>
  <c r="E81" i="3"/>
  <c r="E16" i="3"/>
  <c r="E277" i="3"/>
  <c r="E385" i="3"/>
  <c r="E297" i="3"/>
  <c r="E209" i="3"/>
  <c r="E237" i="3"/>
  <c r="E100" i="3"/>
  <c r="E223" i="3"/>
  <c r="E399" i="3"/>
  <c r="E317" i="3"/>
  <c r="E179" i="3"/>
  <c r="E444" i="3"/>
  <c r="E455"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438" i="3"/>
  <c r="E48" i="3"/>
  <c r="J6" i="3"/>
  <c r="E178" i="3"/>
  <c r="E75" i="3"/>
  <c r="E60" i="3"/>
  <c r="E426" i="3"/>
  <c r="E292" i="3"/>
  <c r="E463" i="3"/>
  <c r="I3" i="6"/>
  <c r="E460" i="3"/>
  <c r="E549" i="3"/>
  <c r="E249" i="3"/>
  <c r="E149" i="3"/>
  <c r="E161" i="3"/>
  <c r="E27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02" i="3"/>
  <c r="E414" i="3"/>
  <c r="E92" i="3"/>
  <c r="E418" i="3"/>
  <c r="E41" i="3"/>
  <c r="E41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200" i="3"/>
  <c r="Z6" i="3"/>
  <c r="E62" i="3"/>
  <c r="E454" i="3"/>
  <c r="E389" i="3"/>
  <c r="E520" i="3"/>
  <c r="E230" i="3"/>
  <c r="AK6" i="3"/>
  <c r="E143" i="3"/>
  <c r="E17" i="3"/>
  <c r="E30" i="3"/>
  <c r="E560" i="3"/>
  <c r="E402" i="3"/>
  <c r="E145" i="3"/>
  <c r="E58" i="3"/>
  <c r="E239" i="3"/>
  <c r="E128" i="3"/>
  <c r="E554" i="3"/>
  <c r="K6" i="3"/>
  <c r="E50" i="3"/>
  <c r="E432" i="3"/>
  <c r="E153" i="3"/>
  <c r="E339" i="3"/>
  <c r="E14" i="3"/>
  <c r="E118" i="3"/>
  <c r="E378" i="3"/>
  <c r="E364" i="3"/>
  <c r="E342" i="3"/>
  <c r="E522" i="3"/>
  <c r="E572" i="3"/>
  <c r="E516" i="3"/>
  <c r="E227" i="3"/>
  <c r="E488" i="3"/>
  <c r="E71" i="3"/>
  <c r="E240" i="3"/>
  <c r="E450" i="3"/>
  <c r="E165" i="3"/>
  <c r="E190" i="3"/>
  <c r="E39" i="3"/>
  <c r="E88" i="3"/>
  <c r="E453" i="3"/>
  <c r="E290" i="3"/>
  <c r="E40" i="3"/>
  <c r="E228" i="3"/>
  <c r="E334" i="3"/>
  <c r="E396" i="3"/>
  <c r="E392" i="3"/>
  <c r="E373" i="3"/>
  <c r="E360" i="3"/>
  <c r="T6" i="3"/>
  <c r="E144" i="3"/>
  <c r="E219" i="3"/>
  <c r="E506" i="3"/>
  <c r="E571" i="3"/>
  <c r="E497" i="3"/>
  <c r="E566" i="3"/>
  <c r="E273" i="3"/>
  <c r="E563" i="3"/>
  <c r="E112" i="3"/>
  <c r="E268" i="3"/>
  <c r="E301" i="3"/>
  <c r="E382" i="3"/>
  <c r="E484" i="3"/>
  <c r="E326" i="3"/>
  <c r="E356" i="3"/>
  <c r="E481" i="3"/>
  <c r="E383" i="3"/>
  <c r="E107" i="3"/>
  <c r="E480" i="3"/>
  <c r="AQ6" i="3"/>
  <c r="E440" i="3"/>
  <c r="E362" i="3"/>
  <c r="E314" i="3"/>
  <c r="E489" i="3"/>
  <c r="E183" i="3"/>
  <c r="E474" i="3"/>
  <c r="E251" i="3"/>
  <c r="E56" i="3"/>
  <c r="E122" i="3"/>
  <c r="E208" i="3"/>
  <c r="E485" i="3"/>
  <c r="E483" i="3"/>
  <c r="E532" i="3"/>
  <c r="E340" i="3"/>
  <c r="E521" i="3"/>
  <c r="E130" i="3"/>
  <c r="E461" i="3"/>
  <c r="E328" i="3"/>
  <c r="E155" i="3"/>
  <c r="E316" i="3"/>
  <c r="E175" i="3"/>
  <c r="E318" i="3"/>
  <c r="E565" i="3"/>
  <c r="E380" i="3"/>
  <c r="E503" i="3"/>
  <c r="E511" i="3"/>
  <c r="S6" i="3"/>
  <c r="AB6" i="3"/>
  <c r="E487" i="3"/>
  <c r="E310" i="3"/>
  <c r="E384" i="3"/>
  <c r="E501" i="3"/>
  <c r="E159" i="3"/>
  <c r="E323" i="3"/>
  <c r="E315" i="3"/>
  <c r="E361" i="3"/>
  <c r="E298" i="3"/>
  <c r="E498" i="3"/>
  <c r="E95" i="3"/>
  <c r="AJ6" i="3"/>
  <c r="E456" i="3"/>
  <c r="E491" i="3"/>
  <c r="E29" i="3"/>
  <c r="E87" i="3"/>
  <c r="E197" i="3"/>
  <c r="E279" i="3"/>
  <c r="E172" i="3"/>
  <c r="E111" i="3"/>
  <c r="E80" i="3"/>
  <c r="E404" i="3"/>
  <c r="E415" i="3"/>
  <c r="E168" i="3"/>
  <c r="E550" i="3"/>
  <c r="E189" i="3"/>
  <c r="E507" i="3"/>
  <c r="E275" i="3"/>
  <c r="E467" i="3"/>
  <c r="E67" i="3"/>
  <c r="E214" i="3"/>
  <c r="E486" i="3"/>
  <c r="E543" i="3"/>
  <c r="E264" i="3"/>
  <c r="E369" i="3"/>
  <c r="V6" i="3"/>
  <c r="E105" i="3"/>
  <c r="AG6" i="3"/>
  <c r="E505" i="3"/>
  <c r="E419" i="3"/>
  <c r="E229" i="3"/>
  <c r="E433" i="3"/>
  <c r="E120" i="3"/>
  <c r="E529" i="3"/>
  <c r="E191" i="3"/>
  <c r="E300" i="3"/>
  <c r="E555" i="3"/>
  <c r="E379" i="3"/>
  <c r="E355" i="3"/>
  <c r="E530" i="3"/>
  <c r="E499" i="3"/>
  <c r="E538" i="3"/>
  <c r="E558" i="3"/>
  <c r="E403" i="3"/>
  <c r="E173" i="3"/>
  <c r="E217" i="3"/>
  <c r="E436" i="3"/>
  <c r="E177" i="3"/>
  <c r="E260" i="3"/>
  <c r="E307" i="3"/>
  <c r="E395" i="3"/>
  <c r="E59" i="3"/>
  <c r="E36" i="3"/>
  <c r="E428" i="3"/>
  <c r="E374" i="3"/>
  <c r="E205" i="3"/>
  <c r="E478" i="3"/>
  <c r="E357" i="3"/>
  <c r="AS6"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97" i="3"/>
  <c r="E500" i="3"/>
  <c r="E119" i="3"/>
  <c r="Q6" i="3"/>
  <c r="E33" i="3"/>
  <c r="E447" i="3"/>
  <c r="E547" i="3"/>
  <c r="E32" i="3"/>
  <c r="E274" i="3"/>
  <c r="E170" i="3"/>
  <c r="E201" i="3"/>
  <c r="E89" i="3"/>
  <c r="E492" i="3"/>
  <c r="E280" i="3"/>
  <c r="E535" i="3"/>
  <c r="E381" i="3"/>
  <c r="E427" i="3"/>
  <c r="E278" i="3"/>
  <c r="E94" i="3"/>
  <c r="E376" i="3"/>
  <c r="E294" i="3"/>
  <c r="E21" i="3"/>
  <c r="E64" i="3"/>
  <c r="E140" i="3"/>
  <c r="E343" i="3"/>
  <c r="E142" i="3"/>
  <c r="E410" i="3"/>
  <c r="E468" i="3"/>
  <c r="E109" i="3"/>
  <c r="E185" i="3"/>
  <c r="E148" i="3"/>
  <c r="E27" i="3"/>
  <c r="E412" i="3"/>
  <c r="E469" i="3"/>
  <c r="E293" i="3"/>
  <c r="E238" i="3"/>
  <c r="E471" i="3"/>
  <c r="E86" i="3"/>
  <c r="E68" i="3"/>
  <c r="E135" i="3"/>
  <c r="E147" i="3"/>
  <c r="E22" i="3"/>
  <c r="E439" i="3"/>
  <c r="E459" i="3"/>
  <c r="E117" i="3"/>
  <c r="E231" i="3"/>
  <c r="E528" i="3"/>
  <c r="E470" i="3"/>
  <c r="E349" i="3"/>
  <c r="E186" i="3"/>
  <c r="E311" i="3"/>
  <c r="E263" i="3"/>
  <c r="E424" i="3"/>
  <c r="E82" i="3"/>
  <c r="E164" i="3"/>
  <c r="E99" i="3"/>
  <c r="E262" i="3"/>
  <c r="E101" i="3"/>
  <c r="E464" i="3"/>
  <c r="E261" i="3"/>
  <c r="E347" i="3"/>
  <c r="E234" i="3"/>
  <c r="E525" i="3"/>
  <c r="E236" i="3"/>
  <c r="E210" i="3"/>
  <c r="E169" i="3"/>
  <c r="E163" i="3"/>
  <c r="AL6" i="3"/>
  <c r="E510" i="3"/>
  <c r="E406" i="3"/>
  <c r="E137" i="3"/>
  <c r="E141" i="3"/>
  <c r="E288" i="3"/>
  <c r="E162" i="3"/>
  <c r="E559" i="3"/>
  <c r="E325" i="3"/>
  <c r="E45" i="3"/>
  <c r="E42" i="3"/>
  <c r="E269" i="3"/>
  <c r="E562" i="3"/>
  <c r="E167" i="3"/>
  <c r="E494" i="3"/>
  <c r="E254" i="3"/>
  <c r="E377" i="3"/>
  <c r="E358" i="3"/>
  <c r="E20" i="3"/>
  <c r="E367" i="3"/>
  <c r="E393" i="3"/>
  <c r="E235" i="3"/>
  <c r="E150" i="3"/>
  <c r="E286" i="3"/>
  <c r="E171" i="3"/>
  <c r="E531" i="3"/>
  <c r="E344" i="3"/>
  <c r="E366" i="3"/>
  <c r="E350" i="3"/>
  <c r="E352" i="3"/>
  <c r="E519" i="3"/>
  <c r="E346" i="3"/>
  <c r="E541" i="3"/>
  <c r="E557" i="3"/>
  <c r="E295" i="3"/>
  <c r="E157" i="3"/>
  <c r="E283" i="3"/>
  <c r="E156" i="3"/>
  <c r="E49" i="3"/>
  <c r="E193" i="3"/>
  <c r="E104" i="3"/>
  <c r="E534" i="3"/>
  <c r="E387" i="3"/>
  <c r="R6" i="3"/>
  <c r="E125" i="3"/>
  <c r="AH6" i="3"/>
  <c r="P6" i="3"/>
  <c r="E84" i="3"/>
  <c r="AP6" i="3"/>
  <c r="E431" i="3"/>
  <c r="E70" i="3"/>
  <c r="E38" i="3"/>
  <c r="E151" i="3"/>
  <c r="E313" i="3"/>
  <c r="E53" i="3"/>
  <c r="E405" i="3"/>
  <c r="W6" i="3"/>
  <c r="E44" i="3"/>
  <c r="E408" i="3"/>
  <c r="E250" i="3"/>
  <c r="E476" i="3"/>
  <c r="E192" i="3"/>
  <c r="E114" i="3"/>
  <c r="E348" i="3"/>
  <c r="E93" i="3"/>
  <c r="E394" i="3"/>
  <c r="E55" i="3"/>
  <c r="E282" i="3"/>
  <c r="E570" i="3"/>
  <c r="E375" i="3"/>
  <c r="E409" i="3"/>
  <c r="E83" i="3"/>
  <c r="E124" i="3"/>
  <c r="E222" i="3"/>
  <c r="E388" i="3"/>
  <c r="E430" i="3"/>
  <c r="E146" i="3"/>
  <c r="E77" i="3"/>
  <c r="E434" i="3"/>
  <c r="E552" i="3"/>
  <c r="E57" i="3"/>
  <c r="E34" i="3"/>
  <c r="E255" i="3"/>
  <c r="E285" i="3"/>
  <c r="E176" i="3"/>
  <c r="E353" i="3"/>
  <c r="E90" i="3"/>
  <c r="E106" i="3"/>
  <c r="E226" i="3"/>
  <c r="E351" i="3"/>
  <c r="E368" i="3"/>
  <c r="E504" i="3"/>
  <c r="E244" i="3"/>
  <c r="AN6" i="3"/>
  <c r="E233" i="3"/>
  <c r="E220" i="3"/>
  <c r="AF6" i="3"/>
  <c r="E324" i="3"/>
  <c r="E216" i="3"/>
  <c r="E284" i="3"/>
  <c r="E181" i="3"/>
  <c r="E338" i="3"/>
  <c r="E518" i="3"/>
  <c r="E515" i="3"/>
  <c r="E542" i="3"/>
  <c r="E341" i="3"/>
  <c r="E18" i="3"/>
  <c r="E509" i="3"/>
  <c r="E564" i="3"/>
  <c r="E420" i="3"/>
  <c r="E517" i="3"/>
  <c r="E331" i="3"/>
  <c r="E502" i="3"/>
  <c r="E320" i="3"/>
  <c r="E354" i="3"/>
  <c r="E495" i="3"/>
  <c r="E335" i="3"/>
  <c r="E330" i="3"/>
  <c r="E496" i="3"/>
  <c r="E138" i="3"/>
  <c r="E252" i="3"/>
  <c r="E544" i="3"/>
  <c r="E523" i="3"/>
  <c r="E13" i="3"/>
  <c r="C22" i="59"/>
  <c r="D21" i="59"/>
  <c r="H7" i="21"/>
  <c r="E553" i="3"/>
  <c r="G35" i="46"/>
  <c r="I35" i="46" s="1"/>
  <c r="E35" i="46"/>
  <c r="G39" i="46"/>
  <c r="I39" i="46" s="1"/>
  <c r="E39" i="46"/>
  <c r="G36" i="46"/>
  <c r="I36" i="46" s="1"/>
  <c r="E36" i="46"/>
  <c r="E34" i="46"/>
  <c r="G34" i="46"/>
  <c r="I34" i="46" s="1"/>
  <c r="E52" i="33"/>
  <c r="F52" i="33" s="1"/>
  <c r="E53" i="33"/>
  <c r="F53" i="33" s="1"/>
  <c r="I53" i="33"/>
  <c r="J53" i="33" s="1"/>
  <c r="AY6" i="3"/>
  <c r="P28" i="46"/>
  <c r="N28" i="46"/>
  <c r="O28" i="46"/>
  <c r="M28" i="46"/>
  <c r="F7" i="67"/>
  <c r="C17" i="15"/>
  <c r="C17" i="70"/>
  <c r="F41" i="15"/>
  <c r="L52" i="44"/>
  <c r="C47" i="15" l="1"/>
  <c r="C59" i="15" s="1"/>
  <c r="K27" i="6"/>
  <c r="F68" i="15"/>
  <c r="J29" i="15"/>
  <c r="M19" i="6"/>
  <c r="M27" i="6" s="1"/>
  <c r="S33" i="21"/>
  <c r="AA33" i="21"/>
  <c r="U33" i="21"/>
  <c r="AB33" i="21"/>
  <c r="W33" i="21"/>
  <c r="AC33" i="21"/>
  <c r="C65" i="70"/>
  <c r="C59" i="70"/>
  <c r="C60" i="70"/>
  <c r="F21" i="43"/>
  <c r="C23" i="43" s="1"/>
  <c r="D21" i="43" s="1"/>
  <c r="F24" i="70"/>
  <c r="C33" i="70"/>
  <c r="C32" i="70"/>
  <c r="C38" i="70"/>
  <c r="F26" i="12"/>
  <c r="C27" i="12" s="1"/>
  <c r="D26" i="12" s="1"/>
  <c r="C32" i="12" s="1"/>
  <c r="D30" i="12" s="1"/>
  <c r="J24" i="15"/>
  <c r="J18" i="15"/>
  <c r="F26" i="44"/>
  <c r="C26" i="44" s="1"/>
  <c r="W7" i="21"/>
  <c r="G70" i="39"/>
  <c r="F72" i="39"/>
  <c r="F24" i="15"/>
  <c r="C24" i="15" s="1"/>
  <c r="G65" i="40"/>
  <c r="F67" i="40"/>
  <c r="Q69" i="44"/>
  <c r="L58" i="44"/>
  <c r="L61" i="44" s="1"/>
  <c r="E4" i="67"/>
  <c r="C65" i="15"/>
  <c r="AB7" i="21"/>
  <c r="U7" i="21"/>
  <c r="T22" i="59"/>
  <c r="D22" i="59"/>
  <c r="M20" i="46" s="1"/>
  <c r="AC6" i="3"/>
  <c r="H12" i="39"/>
  <c r="J12" i="39"/>
  <c r="F12" i="40"/>
  <c r="H12" i="40"/>
  <c r="F12" i="39"/>
  <c r="J12" i="40"/>
  <c r="F33" i="12"/>
  <c r="C34" i="12" s="1"/>
  <c r="D33" i="12" s="1"/>
  <c r="F18" i="11"/>
  <c r="C18" i="11" s="1"/>
  <c r="C19" i="11" s="1"/>
  <c r="F24" i="43"/>
  <c r="C26" i="43" s="1"/>
  <c r="D24" i="43" s="1"/>
  <c r="O6" i="1"/>
  <c r="O16" i="1" s="1"/>
  <c r="C15" i="43"/>
  <c r="M16" i="1"/>
  <c r="I53" i="34"/>
  <c r="J53" i="34" s="1"/>
  <c r="D22" i="12"/>
  <c r="C22" i="12" s="1"/>
  <c r="C20" i="12" s="1"/>
  <c r="D13" i="11"/>
  <c r="C13" i="11" s="1"/>
  <c r="D19" i="12"/>
  <c r="C19" i="12" s="1"/>
  <c r="C16" i="12"/>
  <c r="I48" i="35"/>
  <c r="E40" i="36"/>
  <c r="F40" i="36" s="1"/>
  <c r="E41" i="36"/>
  <c r="F41" i="36" s="1"/>
  <c r="I52" i="37"/>
  <c r="C27" i="46"/>
  <c r="Q58" i="44"/>
  <c r="Q49" i="44"/>
  <c r="Q55" i="44" s="1"/>
  <c r="Q67" i="44"/>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7" i="3"/>
  <c r="AY128" i="3"/>
  <c r="AY182" i="3"/>
  <c r="AY175" i="3"/>
  <c r="AY264" i="3"/>
  <c r="AY467" i="3"/>
  <c r="AY202" i="3"/>
  <c r="AY364" i="3"/>
  <c r="AY398" i="3"/>
  <c r="AY169" i="3"/>
  <c r="AY348" i="3"/>
  <c r="AY72" i="3"/>
  <c r="AY241" i="3"/>
  <c r="AY230" i="3"/>
  <c r="AY132" i="3"/>
  <c r="AY420" i="3"/>
  <c r="AY188" i="3"/>
  <c r="AY157" i="3"/>
  <c r="AY528" i="3"/>
  <c r="AY516" i="3"/>
  <c r="AY36" i="3"/>
  <c r="AY333" i="3"/>
  <c r="AY374" i="3"/>
  <c r="AY123" i="3"/>
  <c r="AY337" i="3"/>
  <c r="AY341" i="3"/>
  <c r="AY76" i="3"/>
  <c r="AY465" i="3"/>
  <c r="AY86" i="3"/>
  <c r="AY428" i="3"/>
  <c r="AY42" i="3"/>
  <c r="AY218" i="3"/>
  <c r="AY392" i="3"/>
  <c r="AY44" i="3"/>
  <c r="AY318" i="3"/>
  <c r="AY561" i="3"/>
  <c r="AY22" i="3"/>
  <c r="AY406" i="3"/>
  <c r="AY552" i="3"/>
  <c r="AY461" i="3"/>
  <c r="AY66" i="3"/>
  <c r="AY186" i="3"/>
  <c r="AY222" i="3"/>
  <c r="AY540" i="3"/>
  <c r="AY17" i="3"/>
  <c r="AY68" i="3"/>
  <c r="AY133" i="3"/>
  <c r="AY276" i="3"/>
  <c r="AY113" i="3"/>
  <c r="AY387" i="3"/>
  <c r="AY410" i="3"/>
  <c r="AY512" i="3"/>
  <c r="AY125" i="3"/>
  <c r="AY421" i="3"/>
  <c r="AY252" i="3"/>
  <c r="AY423" i="3"/>
  <c r="AY18" i="3"/>
  <c r="AY488" i="3"/>
  <c r="AY451" i="3"/>
  <c r="AY460" i="3"/>
  <c r="AY134" i="3"/>
  <c r="BG6" i="3"/>
  <c r="AY165" i="3"/>
  <c r="AY255" i="3"/>
  <c r="AY354" i="3"/>
  <c r="AY508" i="3"/>
  <c r="AY82" i="3"/>
  <c r="AY41" i="3"/>
  <c r="AY203" i="3"/>
  <c r="AY95" i="3"/>
  <c r="AY504" i="3"/>
  <c r="AY83" i="3"/>
  <c r="AY45" i="3"/>
  <c r="AY277" i="3"/>
  <c r="AY384" i="3"/>
  <c r="AY425" i="3"/>
  <c r="AY479" i="3"/>
  <c r="AY139" i="3"/>
  <c r="AY286" i="3"/>
  <c r="AY70" i="3"/>
  <c r="AY238" i="3"/>
  <c r="BK6" i="3"/>
  <c r="AY115" i="3"/>
  <c r="AY435" i="3"/>
  <c r="AY30" i="3"/>
  <c r="AY542" i="3"/>
  <c r="AY382" i="3"/>
  <c r="AY555" i="3"/>
  <c r="AY143" i="3"/>
  <c r="AY308" i="3"/>
  <c r="AY236" i="3"/>
  <c r="AY52" i="3"/>
  <c r="AY246" i="3"/>
  <c r="AY408" i="3"/>
  <c r="AY117" i="3"/>
  <c r="AY183" i="3"/>
  <c r="AY25" i="3"/>
  <c r="AY197" i="3"/>
  <c r="AY321" i="3"/>
  <c r="BH6" i="3"/>
  <c r="AY431" i="3"/>
  <c r="AY526" i="3"/>
  <c r="AY34" i="3"/>
  <c r="AY309" i="3"/>
  <c r="AY176" i="3"/>
  <c r="AY356" i="3"/>
  <c r="AY288" i="3"/>
  <c r="AY147" i="3"/>
  <c r="AY162" i="3"/>
  <c r="AY562" i="3"/>
  <c r="AY303" i="3"/>
  <c r="AY127" i="3"/>
  <c r="AY498" i="3"/>
  <c r="AY407" i="3"/>
  <c r="AY140" i="3"/>
  <c r="AY527" i="3"/>
  <c r="AY519" i="3"/>
  <c r="AY325" i="3"/>
  <c r="BF6" i="3"/>
  <c r="AY390" i="3"/>
  <c r="AY484" i="3"/>
  <c r="AY505" i="3"/>
  <c r="AY563" i="3"/>
  <c r="AY357" i="3"/>
  <c r="AY84" i="3"/>
  <c r="AY436" i="3"/>
  <c r="AY192" i="3"/>
  <c r="AY56" i="3"/>
  <c r="AY313" i="3"/>
  <c r="AY362" i="3"/>
  <c r="AY205" i="3"/>
  <c r="BM6" i="3"/>
  <c r="AY260" i="3"/>
  <c r="AY228" i="3"/>
  <c r="AY566" i="3"/>
  <c r="AY568" i="3"/>
  <c r="AY54" i="3"/>
  <c r="AY312" i="3"/>
  <c r="AY444" i="3"/>
  <c r="AY261" i="3"/>
  <c r="AY196" i="3"/>
  <c r="AY570" i="3"/>
  <c r="AY521" i="3"/>
  <c r="BE6" i="3"/>
  <c r="AY121" i="3"/>
  <c r="H6" i="3"/>
  <c r="C8" i="66"/>
  <c r="C7" i="66"/>
  <c r="S7" i="34"/>
  <c r="AA7" i="34"/>
  <c r="R49" i="34" s="1"/>
  <c r="G54" i="34"/>
  <c r="H54" i="34" s="1"/>
  <c r="G53" i="34"/>
  <c r="H53" i="34" s="1"/>
  <c r="C37" i="36"/>
  <c r="B3" i="36" s="1"/>
  <c r="B2" i="36" s="1"/>
  <c r="C36" i="36"/>
  <c r="C38" i="15"/>
  <c r="C32" i="15"/>
  <c r="I19" i="6"/>
  <c r="S16" i="1"/>
  <c r="C26" i="46"/>
  <c r="E7" i="67"/>
  <c r="E6" i="3" l="1"/>
  <c r="C24" i="70"/>
  <c r="G72" i="39"/>
  <c r="H70" i="39"/>
  <c r="G67" i="40"/>
  <c r="H65" i="40"/>
  <c r="E3" i="67"/>
  <c r="C20" i="11"/>
  <c r="C21" i="11" s="1"/>
  <c r="C22" i="11" s="1"/>
  <c r="C23" i="11" s="1"/>
  <c r="B2" i="11" s="1"/>
  <c r="B2" i="46"/>
  <c r="T9" i="1"/>
  <c r="T10" i="1"/>
  <c r="T11" i="1"/>
  <c r="T13" i="1"/>
  <c r="T12" i="1"/>
  <c r="T8" i="1"/>
  <c r="T7" i="1"/>
  <c r="I27" i="6"/>
  <c r="S19" i="6"/>
  <c r="S27" i="6" s="1"/>
  <c r="E49" i="34"/>
  <c r="R50" i="34"/>
  <c r="J52" i="37"/>
  <c r="Q68" i="44"/>
  <c r="Q77" i="44" s="1"/>
  <c r="Q59" i="44"/>
  <c r="Q64" i="44" s="1"/>
  <c r="L16" i="1"/>
  <c r="N16" i="1"/>
  <c r="C29" i="43" s="1"/>
  <c r="C13" i="43"/>
  <c r="AA12" i="39"/>
  <c r="S12" i="39"/>
  <c r="AA12" i="40"/>
  <c r="S12" i="40"/>
  <c r="AB12" i="39"/>
  <c r="U12" i="39"/>
  <c r="T6" i="1"/>
  <c r="C22" i="4"/>
  <c r="D21" i="6"/>
  <c r="D10" i="6"/>
  <c r="H21" i="6"/>
  <c r="D6" i="6"/>
  <c r="D14" i="6"/>
  <c r="D20" i="6"/>
  <c r="H23" i="6"/>
  <c r="F45" i="9"/>
  <c r="K38" i="9"/>
  <c r="C14" i="66" s="1"/>
  <c r="B2" i="66" s="1"/>
  <c r="D26" i="6"/>
  <c r="D11" i="6"/>
  <c r="H20" i="6"/>
  <c r="D9" i="6"/>
  <c r="D29" i="6"/>
  <c r="D15" i="6"/>
  <c r="F46" i="9"/>
  <c r="E63" i="40"/>
  <c r="D25" i="6"/>
  <c r="H24" i="6"/>
  <c r="D28" i="6"/>
  <c r="D30" i="6" s="1"/>
  <c r="E45" i="9"/>
  <c r="D22" i="6"/>
  <c r="H25" i="6"/>
  <c r="H22" i="6"/>
  <c r="E46" i="9"/>
  <c r="D19" i="6"/>
  <c r="D13" i="6"/>
  <c r="D23" i="6"/>
  <c r="C40" i="39"/>
  <c r="D8" i="6"/>
  <c r="D24" i="6"/>
  <c r="R24" i="6" s="1"/>
  <c r="D12" i="6"/>
  <c r="D5" i="6"/>
  <c r="H26" i="6"/>
  <c r="H19" i="6"/>
  <c r="J48" i="35"/>
  <c r="P6" i="1"/>
  <c r="W12" i="40"/>
  <c r="AC12" i="40"/>
  <c r="U12" i="40"/>
  <c r="AB12" i="40"/>
  <c r="W12" i="39"/>
  <c r="AC12" i="39"/>
  <c r="C16" i="44"/>
  <c r="B7" i="67"/>
  <c r="C14" i="15"/>
  <c r="C14" i="70"/>
  <c r="C15" i="70" l="1"/>
  <c r="C18" i="70"/>
  <c r="R23" i="6"/>
  <c r="I70" i="39"/>
  <c r="H72" i="39"/>
  <c r="T16" i="1"/>
  <c r="R25" i="6"/>
  <c r="H67" i="40"/>
  <c r="I65" i="40"/>
  <c r="C17" i="44"/>
  <c r="C20" i="44"/>
  <c r="C15" i="15"/>
  <c r="C18" i="15"/>
  <c r="B2" i="67"/>
  <c r="B4" i="11"/>
  <c r="B5" i="11"/>
  <c r="B3" i="11"/>
  <c r="D16" i="6"/>
  <c r="R19" i="6"/>
  <c r="D27" i="6"/>
  <c r="D31" i="6" s="1"/>
  <c r="R22" i="6"/>
  <c r="D8" i="66"/>
  <c r="D7" i="66"/>
  <c r="R21" i="6"/>
  <c r="R8" i="1" s="1"/>
  <c r="K52" i="37"/>
  <c r="E54" i="34"/>
  <c r="F54" i="34" s="1"/>
  <c r="E53" i="34"/>
  <c r="F53" i="34" s="1"/>
  <c r="I54" i="34"/>
  <c r="J54" i="34" s="1"/>
  <c r="C15" i="12"/>
  <c r="P16" i="1"/>
  <c r="C13" i="12" s="1"/>
  <c r="K48" i="35"/>
  <c r="H27" i="6"/>
  <c r="F40" i="39"/>
  <c r="J40" i="39"/>
  <c r="H40" i="39"/>
  <c r="R26" i="6"/>
  <c r="R20" i="6"/>
  <c r="R7" i="1" s="1"/>
  <c r="A6" i="51"/>
  <c r="B7" i="63" s="1"/>
  <c r="A6" i="64"/>
  <c r="A20" i="51"/>
  <c r="B15" i="63" s="1"/>
  <c r="N5" i="54"/>
  <c r="B43" i="63" s="1"/>
  <c r="A20" i="64"/>
  <c r="C17" i="43"/>
  <c r="C14" i="43"/>
  <c r="C50" i="34"/>
  <c r="B3" i="34" s="1"/>
  <c r="B2" i="34" s="1"/>
  <c r="C49" i="34"/>
  <c r="B4" i="46"/>
  <c r="D4" i="46"/>
  <c r="B3" i="46"/>
  <c r="F35" i="15"/>
  <c r="M21" i="70"/>
  <c r="M21" i="15"/>
  <c r="F35" i="70"/>
  <c r="C19" i="70" l="1"/>
  <c r="C20" i="70" s="1"/>
  <c r="C26" i="70" s="1"/>
  <c r="F62" i="15"/>
  <c r="C61" i="15" s="1"/>
  <c r="C34" i="15"/>
  <c r="J20" i="15"/>
  <c r="J20" i="70"/>
  <c r="C34" i="70"/>
  <c r="C31" i="70" s="1"/>
  <c r="F62" i="70"/>
  <c r="C61" i="70" s="1"/>
  <c r="C58" i="70" s="1"/>
  <c r="I72" i="39"/>
  <c r="J70" i="39"/>
  <c r="C19" i="15"/>
  <c r="C20" i="15" s="1"/>
  <c r="C23" i="15" s="1"/>
  <c r="C21" i="44"/>
  <c r="C22" i="44" s="1"/>
  <c r="C25" i="44" s="1"/>
  <c r="C18" i="43"/>
  <c r="C19" i="43" s="1"/>
  <c r="C25" i="43" s="1"/>
  <c r="C24" i="43" s="1"/>
  <c r="I67" i="40"/>
  <c r="J65" i="40"/>
  <c r="AA40" i="39"/>
  <c r="S40" i="39"/>
  <c r="AC40" i="39"/>
  <c r="W40" i="39"/>
  <c r="C14" i="12"/>
  <c r="C17" i="12"/>
  <c r="L52" i="37"/>
  <c r="R6" i="1"/>
  <c r="R16" i="1" s="1"/>
  <c r="R27" i="6"/>
  <c r="AB40" i="39"/>
  <c r="U40" i="39"/>
  <c r="L48" i="35"/>
  <c r="I6" i="6"/>
  <c r="I5" i="6"/>
  <c r="B4" i="67"/>
  <c r="B3" i="67"/>
  <c r="C13" i="39" l="1"/>
  <c r="C11" i="21"/>
  <c r="C23" i="70"/>
  <c r="C29" i="70" s="1"/>
  <c r="J72" i="39"/>
  <c r="K70" i="39"/>
  <c r="F13" i="39"/>
  <c r="H13" i="39"/>
  <c r="J13" i="39"/>
  <c r="C18" i="12"/>
  <c r="C23" i="12" s="1"/>
  <c r="C26" i="15"/>
  <c r="C29" i="15" s="1"/>
  <c r="C28" i="44"/>
  <c r="C31" i="44" s="1"/>
  <c r="K65" i="40"/>
  <c r="J67" i="40"/>
  <c r="C22" i="43"/>
  <c r="C21" i="43" s="1"/>
  <c r="C28" i="43" s="1"/>
  <c r="C30" i="43" s="1"/>
  <c r="C32" i="43" s="1"/>
  <c r="B2" i="43" s="1"/>
  <c r="M48" i="35"/>
  <c r="M52" i="37"/>
  <c r="N52" i="37" s="1"/>
  <c r="O52" i="37" s="1"/>
  <c r="F7" i="37" s="1"/>
  <c r="J7" i="37"/>
  <c r="H7" i="37"/>
  <c r="C56" i="70" l="1"/>
  <c r="C63" i="70" s="1"/>
  <c r="C13" i="70"/>
  <c r="J59" i="70"/>
  <c r="J60" i="70" s="1"/>
  <c r="Q49" i="70" s="1"/>
  <c r="C36" i="70"/>
  <c r="J19" i="70"/>
  <c r="J17" i="70" s="1"/>
  <c r="Q50" i="70"/>
  <c r="J14" i="70"/>
  <c r="J11" i="21"/>
  <c r="H11" i="21"/>
  <c r="F11" i="21"/>
  <c r="K72" i="39"/>
  <c r="L70" i="39"/>
  <c r="AB13" i="39"/>
  <c r="U13" i="39"/>
  <c r="AC13" i="39"/>
  <c r="W13" i="39"/>
  <c r="AA13" i="39"/>
  <c r="S13" i="39"/>
  <c r="C15" i="44"/>
  <c r="C39" i="44" s="1"/>
  <c r="J16" i="44"/>
  <c r="J15" i="44" s="1"/>
  <c r="J25" i="44" s="1"/>
  <c r="J21" i="44"/>
  <c r="J19" i="44" s="1"/>
  <c r="Q51" i="44"/>
  <c r="C35" i="44"/>
  <c r="C33" i="44" s="1"/>
  <c r="C38" i="44"/>
  <c r="C13" i="15"/>
  <c r="C37" i="15" s="1"/>
  <c r="C56" i="15"/>
  <c r="C60" i="15" s="1"/>
  <c r="C58" i="15" s="1"/>
  <c r="J14" i="15"/>
  <c r="J13" i="15" s="1"/>
  <c r="J23" i="15" s="1"/>
  <c r="J59" i="15"/>
  <c r="J60" i="15" s="1"/>
  <c r="L46" i="15" s="1"/>
  <c r="C36" i="15"/>
  <c r="C33" i="15"/>
  <c r="C31" i="15" s="1"/>
  <c r="J19" i="15"/>
  <c r="J17" i="15" s="1"/>
  <c r="Q50" i="15"/>
  <c r="K67" i="40"/>
  <c r="L65" i="40"/>
  <c r="S7" i="37"/>
  <c r="AA7" i="37"/>
  <c r="R42" i="37" s="1"/>
  <c r="B4" i="43"/>
  <c r="B3" i="43"/>
  <c r="B5" i="43"/>
  <c r="W7" i="37"/>
  <c r="AC7" i="37"/>
  <c r="V42" i="37" s="1"/>
  <c r="I42" i="37" s="1"/>
  <c r="AB7" i="37"/>
  <c r="T42" i="37" s="1"/>
  <c r="G42" i="37" s="1"/>
  <c r="U7" i="37"/>
  <c r="N48" i="35"/>
  <c r="S11" i="21" l="1"/>
  <c r="AA11" i="21"/>
  <c r="R48" i="21" s="1"/>
  <c r="W11" i="21"/>
  <c r="AC11" i="21"/>
  <c r="V48" i="21" s="1"/>
  <c r="I48" i="21" s="1"/>
  <c r="I52" i="21" s="1"/>
  <c r="J52" i="21" s="1"/>
  <c r="C55" i="70"/>
  <c r="C64" i="70" s="1"/>
  <c r="C57" i="70" s="1"/>
  <c r="C66" i="70" s="1"/>
  <c r="C67" i="70" s="1"/>
  <c r="C70" i="70" s="1"/>
  <c r="J35" i="70"/>
  <c r="C37" i="70"/>
  <c r="C30" i="70" s="1"/>
  <c r="C39" i="70" s="1"/>
  <c r="Q71" i="70"/>
  <c r="U11" i="21"/>
  <c r="AB11" i="21"/>
  <c r="T48" i="21" s="1"/>
  <c r="G48" i="21" s="1"/>
  <c r="J22" i="70"/>
  <c r="J13" i="70"/>
  <c r="J23" i="70" s="1"/>
  <c r="J22" i="15"/>
  <c r="J16" i="15" s="1"/>
  <c r="J25" i="15" s="1"/>
  <c r="Q49" i="15"/>
  <c r="L72" i="39"/>
  <c r="M70" i="39"/>
  <c r="Q72" i="44"/>
  <c r="Q71" i="15"/>
  <c r="C55" i="15"/>
  <c r="C64" i="15" s="1"/>
  <c r="C32" i="44"/>
  <c r="C42" i="44" s="1"/>
  <c r="Q71" i="44" s="1"/>
  <c r="C43" i="44"/>
  <c r="J35" i="15"/>
  <c r="J24" i="44"/>
  <c r="J18" i="44" s="1"/>
  <c r="J27" i="44" s="1"/>
  <c r="C63" i="15"/>
  <c r="C30" i="15"/>
  <c r="C39" i="15" s="1"/>
  <c r="Q70" i="15" s="1"/>
  <c r="M65" i="40"/>
  <c r="L67" i="40"/>
  <c r="O48" i="35"/>
  <c r="H7" i="35"/>
  <c r="G46" i="37"/>
  <c r="H46" i="37" s="1"/>
  <c r="G47" i="37"/>
  <c r="H47" i="37" s="1"/>
  <c r="E42" i="37"/>
  <c r="R43" i="37"/>
  <c r="I46" i="37"/>
  <c r="J46" i="37" s="1"/>
  <c r="I47" i="37"/>
  <c r="J47" i="37" s="1"/>
  <c r="L51" i="70"/>
  <c r="J16" i="70" l="1"/>
  <c r="J25" i="70" s="1"/>
  <c r="Q68" i="70"/>
  <c r="Q70" i="70"/>
  <c r="Q69" i="70" s="1"/>
  <c r="C40" i="70"/>
  <c r="E48" i="21"/>
  <c r="R49" i="21"/>
  <c r="G52" i="21"/>
  <c r="H52" i="21" s="1"/>
  <c r="G53" i="21"/>
  <c r="H53" i="21" s="1"/>
  <c r="J39" i="70"/>
  <c r="J40" i="70" s="1"/>
  <c r="Q69" i="15"/>
  <c r="N70" i="39"/>
  <c r="N72" i="39" s="1"/>
  <c r="M72" i="39"/>
  <c r="J39" i="15"/>
  <c r="J40" i="15" s="1"/>
  <c r="Q70" i="44"/>
  <c r="C40" i="15"/>
  <c r="C43" i="15" s="1"/>
  <c r="C57" i="15"/>
  <c r="C66" i="15" s="1"/>
  <c r="C67" i="15" s="1"/>
  <c r="C70" i="15" s="1"/>
  <c r="C44" i="44"/>
  <c r="C45" i="44" s="1"/>
  <c r="B2" i="44" s="1"/>
  <c r="B3" i="44" s="1"/>
  <c r="M67" i="40"/>
  <c r="N65" i="40"/>
  <c r="N67" i="40" s="1"/>
  <c r="L57" i="15"/>
  <c r="L60" i="15" s="1"/>
  <c r="C42" i="37"/>
  <c r="C43" i="37"/>
  <c r="B3" i="37" s="1"/>
  <c r="B2" i="37" s="1"/>
  <c r="J7" i="35"/>
  <c r="F7" i="35"/>
  <c r="E47" i="37"/>
  <c r="F47" i="37" s="1"/>
  <c r="E46" i="37"/>
  <c r="F46" i="37" s="1"/>
  <c r="U7" i="35"/>
  <c r="AB7" i="35"/>
  <c r="T38" i="35" s="1"/>
  <c r="G38" i="35" s="1"/>
  <c r="L51" i="15"/>
  <c r="I53" i="21" l="1"/>
  <c r="J53" i="21" s="1"/>
  <c r="E52" i="21"/>
  <c r="F52" i="21" s="1"/>
  <c r="E53" i="21"/>
  <c r="F53" i="21" s="1"/>
  <c r="C48" i="21"/>
  <c r="C49" i="21"/>
  <c r="B3" i="21" s="1"/>
  <c r="C46" i="70"/>
  <c r="J42" i="70"/>
  <c r="J43" i="70" s="1"/>
  <c r="C43" i="70"/>
  <c r="B2" i="70"/>
  <c r="Q66" i="70"/>
  <c r="Q76" i="70" s="1"/>
  <c r="Q57" i="70"/>
  <c r="Q63" i="70" s="1"/>
  <c r="Q48" i="70"/>
  <c r="Q54" i="70" s="1"/>
  <c r="Q68" i="15"/>
  <c r="H9" i="39"/>
  <c r="F9" i="39"/>
  <c r="J9" i="39"/>
  <c r="Q48" i="15"/>
  <c r="Q54" i="15" s="1"/>
  <c r="J42" i="15"/>
  <c r="J43" i="15" s="1"/>
  <c r="Q66" i="15"/>
  <c r="B4" i="44"/>
  <c r="Q57" i="15"/>
  <c r="B2" i="15"/>
  <c r="C46" i="15"/>
  <c r="B5" i="44"/>
  <c r="H9" i="40"/>
  <c r="J9" i="40"/>
  <c r="F9" i="40"/>
  <c r="AA7" i="35"/>
  <c r="R38" i="35" s="1"/>
  <c r="S7" i="35"/>
  <c r="Q67" i="15"/>
  <c r="Q58" i="15"/>
  <c r="G42" i="35"/>
  <c r="H42" i="35" s="1"/>
  <c r="W7" i="35"/>
  <c r="AC7" i="35"/>
  <c r="V38" i="35" s="1"/>
  <c r="I38" i="35" s="1"/>
  <c r="D10" i="12" l="1"/>
  <c r="B3" i="70"/>
  <c r="D8" i="12" s="1"/>
  <c r="C8" i="12"/>
  <c r="B2" i="21"/>
  <c r="C10" i="12" s="1"/>
  <c r="B3" i="15"/>
  <c r="E8" i="12" s="1"/>
  <c r="E10" i="12"/>
  <c r="L10" i="12" s="1"/>
  <c r="Q76" i="15"/>
  <c r="S9" i="39"/>
  <c r="AA9" i="39"/>
  <c r="R49" i="39" s="1"/>
  <c r="AC9" i="39"/>
  <c r="V49" i="39" s="1"/>
  <c r="I49" i="39" s="1"/>
  <c r="I53" i="39" s="1"/>
  <c r="J53" i="39" s="1"/>
  <c r="W9" i="39"/>
  <c r="AB9" i="39"/>
  <c r="T49" i="39" s="1"/>
  <c r="G49" i="39" s="1"/>
  <c r="U9" i="39"/>
  <c r="Q63" i="15"/>
  <c r="AC9" i="40"/>
  <c r="V44" i="40" s="1"/>
  <c r="I44" i="40" s="1"/>
  <c r="I48" i="40" s="1"/>
  <c r="J48" i="40" s="1"/>
  <c r="W9" i="40"/>
  <c r="AA9" i="40"/>
  <c r="R44" i="40" s="1"/>
  <c r="S9" i="40"/>
  <c r="AB9" i="40"/>
  <c r="T44" i="40" s="1"/>
  <c r="G44" i="40" s="1"/>
  <c r="U9" i="40"/>
  <c r="I42" i="35"/>
  <c r="J42" i="35" s="1"/>
  <c r="G43" i="35"/>
  <c r="H43" i="35" s="1"/>
  <c r="R39" i="35"/>
  <c r="E38" i="35"/>
  <c r="C6" i="12" l="1"/>
  <c r="R50" i="39"/>
  <c r="E49" i="39"/>
  <c r="G53" i="39"/>
  <c r="H53" i="39" s="1"/>
  <c r="G54" i="39"/>
  <c r="H54" i="39" s="1"/>
  <c r="G49" i="40"/>
  <c r="H49" i="40" s="1"/>
  <c r="G48" i="40"/>
  <c r="H48" i="40" s="1"/>
  <c r="E44" i="40"/>
  <c r="R45" i="40"/>
  <c r="C39" i="35"/>
  <c r="B3" i="35" s="1"/>
  <c r="B2" i="35" s="1"/>
  <c r="C38" i="35"/>
  <c r="E43" i="35"/>
  <c r="F43" i="35" s="1"/>
  <c r="E42" i="35"/>
  <c r="F42" i="35" s="1"/>
  <c r="I43" i="35"/>
  <c r="J43" i="35" s="1"/>
  <c r="C29" i="12" l="1"/>
  <c r="M6" i="12"/>
  <c r="C24" i="12"/>
  <c r="C35" i="12" s="1"/>
  <c r="C33" i="12" s="1"/>
  <c r="C50" i="39"/>
  <c r="C49" i="39"/>
  <c r="E53" i="39"/>
  <c r="F53" i="39" s="1"/>
  <c r="E54" i="39"/>
  <c r="F54" i="39" s="1"/>
  <c r="I54" i="39"/>
  <c r="J54" i="39" s="1"/>
  <c r="C45" i="40"/>
  <c r="C44" i="40"/>
  <c r="I49" i="40"/>
  <c r="J49" i="40" s="1"/>
  <c r="E48" i="40"/>
  <c r="F48" i="40" s="1"/>
  <c r="E49" i="40"/>
  <c r="F49" i="40" s="1"/>
  <c r="C28" i="12" l="1"/>
  <c r="C26" i="12" s="1"/>
  <c r="C31" i="12" s="1"/>
  <c r="C30" i="12" s="1"/>
  <c r="C36" i="12" s="1"/>
  <c r="B2" i="12" s="1"/>
  <c r="B5" i="12" s="1"/>
  <c r="B58" i="39"/>
  <c r="F58" i="39" s="1"/>
  <c r="B60" i="39"/>
  <c r="F60" i="39" s="1"/>
  <c r="B62" i="39"/>
  <c r="F62" i="39" s="1"/>
  <c r="B64" i="39"/>
  <c r="F64" i="39" s="1"/>
  <c r="B66" i="39"/>
  <c r="F66" i="39" s="1"/>
  <c r="B59" i="39"/>
  <c r="F59" i="39" s="1"/>
  <c r="B65" i="39"/>
  <c r="F65" i="39" s="1"/>
  <c r="B63" i="39"/>
  <c r="F63" i="39" s="1"/>
  <c r="B61" i="39"/>
  <c r="F61" i="39" s="1"/>
  <c r="B67" i="39"/>
  <c r="F67" i="39" s="1"/>
  <c r="B53" i="40"/>
  <c r="F53" i="40" s="1"/>
  <c r="F63" i="40"/>
  <c r="B2" i="40" s="1"/>
  <c r="B58" i="40"/>
  <c r="F58" i="40" s="1"/>
  <c r="B54" i="40"/>
  <c r="F54" i="40" s="1"/>
  <c r="B62" i="40"/>
  <c r="F62" i="40" s="1"/>
  <c r="B60" i="40"/>
  <c r="F60" i="40" s="1"/>
  <c r="B57" i="40"/>
  <c r="F57" i="40" s="1"/>
  <c r="B61" i="40"/>
  <c r="F61" i="40" s="1"/>
  <c r="B59" i="40"/>
  <c r="F59" i="40" s="1"/>
  <c r="B55" i="40"/>
  <c r="F55" i="40" s="1"/>
  <c r="B56" i="40"/>
  <c r="F56" i="40" s="1"/>
  <c r="D19" i="9"/>
  <c r="B3" i="12" l="1"/>
  <c r="L44" i="9"/>
  <c r="B4" i="12"/>
  <c r="F68" i="39"/>
  <c r="B2" i="39" s="1"/>
  <c r="B3" i="40"/>
  <c r="B4" i="40"/>
  <c r="B5" i="40"/>
  <c r="D20" i="9"/>
  <c r="D21" i="9"/>
  <c r="C19" i="9"/>
  <c r="G19" i="9" l="1"/>
  <c r="D22" i="9"/>
  <c r="L43" i="9"/>
  <c r="B5" i="39"/>
  <c r="B4" i="39"/>
  <c r="B3" i="39"/>
  <c r="C20" i="9"/>
  <c r="C21" i="9"/>
  <c r="G20" i="9" l="1"/>
  <c r="G21" i="9"/>
  <c r="N43" i="9"/>
  <c r="C32" i="9"/>
  <c r="G22" i="9"/>
  <c r="O43" i="9" l="1"/>
  <c r="C35" i="9"/>
  <c r="F42" i="9" s="1"/>
  <c r="O38" i="9"/>
  <c r="C34" i="9"/>
  <c r="C42" i="9"/>
  <c r="C33" i="9"/>
  <c r="N38" i="9" l="1"/>
  <c r="K28" i="9" s="1"/>
  <c r="D42" i="9"/>
  <c r="Q5" i="54" s="1"/>
  <c r="B47" i="63" s="1"/>
  <c r="E42" i="9"/>
  <c r="P5" i="54" s="1"/>
  <c r="B46" i="63" s="1"/>
  <c r="M38" i="9"/>
  <c r="K27" i="9" s="1"/>
  <c r="N68" i="9"/>
  <c r="D63" i="9"/>
  <c r="D14" i="66"/>
  <c r="R5" i="54"/>
  <c r="B48" i="63" s="1"/>
  <c r="C44" i="9"/>
  <c r="K26" i="9"/>
  <c r="K25" i="9"/>
  <c r="C82" i="9" l="1"/>
  <c r="C81" i="9" s="1"/>
  <c r="C85" i="9" s="1"/>
  <c r="C86" i="9" s="1"/>
  <c r="D72" i="9" s="1"/>
  <c r="C96" i="9"/>
  <c r="C91" i="9" s="1"/>
  <c r="D71" i="9"/>
  <c r="D66" i="9" s="1"/>
  <c r="N72" i="9" s="1"/>
  <c r="C111" i="9"/>
  <c r="C104" i="9" s="1"/>
  <c r="D70" i="9"/>
  <c r="C103" i="9"/>
  <c r="C90" i="9"/>
  <c r="D77" i="9"/>
  <c r="N75" i="9" s="1"/>
  <c r="D44" i="9"/>
  <c r="O39" i="9"/>
  <c r="E44" i="9"/>
  <c r="N69" i="9"/>
  <c r="G14" i="66"/>
  <c r="B6" i="66" s="1"/>
  <c r="F44" i="9"/>
  <c r="E14" i="66"/>
  <c r="F14" i="66"/>
  <c r="B5" i="66"/>
  <c r="C113" i="9" l="1"/>
  <c r="C114" i="9" s="1"/>
  <c r="E114" i="9" s="1"/>
  <c r="E115" i="9" s="1"/>
  <c r="C97" i="9"/>
  <c r="C98" i="9" s="1"/>
  <c r="E98" i="9" s="1"/>
  <c r="E99" i="9" s="1"/>
  <c r="M88" i="9"/>
  <c r="N88" i="9" s="1"/>
  <c r="M87" i="9"/>
  <c r="N87" i="9" s="1"/>
  <c r="M85" i="9"/>
  <c r="N85" i="9" s="1"/>
  <c r="M86" i="9"/>
  <c r="N86" i="9" s="1"/>
  <c r="M83" i="9"/>
  <c r="N83" i="9" s="1"/>
  <c r="M84" i="9"/>
  <c r="N84" i="9" s="1"/>
  <c r="R6" i="54"/>
  <c r="B50" i="63" s="1"/>
  <c r="K29" i="9"/>
  <c r="K30" i="9" s="1"/>
  <c r="D5" i="66"/>
  <c r="C5" i="66"/>
  <c r="D6" i="66"/>
  <c r="C6" i="66"/>
  <c r="C99" i="9" l="1"/>
  <c r="C115" i="9"/>
  <c r="D76" i="9" s="1"/>
  <c r="D74" i="9" s="1"/>
  <c r="N74" i="9" s="1"/>
  <c r="O77" i="9" s="1"/>
  <c r="O79" i="9" s="1"/>
  <c r="O80" i="9" s="1"/>
  <c r="N89" i="9"/>
  <c r="O89" i="9" s="1"/>
  <c r="Q77" i="9" l="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<sst xmlns="http://schemas.openxmlformats.org/spreadsheetml/2006/main" count="12723" uniqueCount="4028">
  <si>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</si>
  <si>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</si>
  <si>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</si>
  <si>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</si>
  <si>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</si>
  <si>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</si>
  <si>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</si>
  <si>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</si>
  <si>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</si>
  <si>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</si>
  <si>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</si>
  <si>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</si>
  <si>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</si>
  <si>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</si>
  <si>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</si>
  <si>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</si>
  <si>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</si>
  <si>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</si>
  <si>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</si>
  <si>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</si>
  <si>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</si>
  <si>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</si>
  <si>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</si>
  <si>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</si>
  <si>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</si>
  <si>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</si>
  <si>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</si>
  <si>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</si>
  <si>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</si>
  <si>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</si>
  <si>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</si>
  <si>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</si>
  <si>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</si>
  <si>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</si>
  <si>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</si>
  <si>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</si>
  <si>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</si>
  <si>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</si>
  <si>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</si>
  <si>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</si>
  <si>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</si>
  <si>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</si>
  <si>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</si>
  <si>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</si>
  <si>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</si>
  <si>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</si>
  <si>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</si>
  <si>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</si>
  <si>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</si>
  <si>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</si>
  <si>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</si>
  <si>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</si>
  <si>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</si>
  <si>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</si>
  <si>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</si>
  <si>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</si>
  <si>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</si>
  <si>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</si>
  <si>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</si>
  <si>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</si>
  <si>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</si>
  <si>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</si>
  <si>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</si>
  <si>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</si>
  <si>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</si>
  <si>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</si>
  <si>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</si>
  <si>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</si>
  <si>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</si>
  <si>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</si>
  <si>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</si>
  <si>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</si>
  <si>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</si>
  <si>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</si>
  <si>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</si>
  <si>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</si>
  <si>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</si>
  <si>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</si>
  <si>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</si>
  <si>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</si>
  <si>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</si>
  <si>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</si>
  <si>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</si>
  <si>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</si>
  <si>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</si>
  <si>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</si>
  <si>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</si>
  <si>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</si>
  <si>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</si>
  <si>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</si>
  <si>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</si>
  <si>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</si>
  <si>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</si>
  <si>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</si>
  <si>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</si>
  <si>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</si>
  <si>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</si>
  <si>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</si>
  <si>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</si>
  <si>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</si>
  <si>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</si>
  <si>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</si>
  <si>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</si>
  <si>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</si>
  <si>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</si>
  <si>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</si>
  <si>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</si>
  <si>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</si>
  <si>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</si>
  <si>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</si>
  <si>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</si>
  <si>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</si>
  <si>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</si>
  <si>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</si>
  <si>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</si>
  <si>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</si>
  <si>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</si>
  <si>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</si>
  <si>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</si>
  <si>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</si>
  <si>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</si>
  <si>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</si>
  <si>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</si>
  <si>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</si>
  <si>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</si>
  <si>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</si>
  <si>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</si>
  <si>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</si>
  <si>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</si>
  <si>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</si>
  <si>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</si>
  <si>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</si>
  <si>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</si>
  <si>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</si>
  <si>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</si>
  <si>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</si>
  <si>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</si>
  <si>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</si>
  <si>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</si>
  <si>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</si>
  <si>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</si>
  <si>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</si>
  <si>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</si>
  <si>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</si>
  <si>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</si>
  <si>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</si>
  <si>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</si>
  <si>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</si>
  <si>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</si>
  <si>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</si>
  <si>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</si>
  <si>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</si>
  <si>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</si>
  <si>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</si>
  <si>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</si>
  <si>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</si>
  <si>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</si>
  <si>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</si>
  <si>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</si>
  <si>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</si>
  <si>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</si>
  <si>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</si>
  <si>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</si>
  <si>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</si>
  <si>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</si>
  <si>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</si>
  <si>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</si>
  <si>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</si>
  <si>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</si>
  <si>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</si>
  <si>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</si>
  <si>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</si>
  <si>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</si>
  <si>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</si>
  <si>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</si>
  <si>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</si>
  <si>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</si>
  <si>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</si>
  <si>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</si>
  <si>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</si>
  <si>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</si>
  <si>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</si>
  <si>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</si>
  <si>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</si>
  <si>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</si>
  <si>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</si>
  <si>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</si>
  <si>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</si>
  <si>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</si>
  <si>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</si>
  <si>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</si>
  <si>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</si>
  <si>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</si>
  <si>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</si>
  <si>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</si>
  <si>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</si>
  <si>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</si>
  <si>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</si>
  <si>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</si>
  <si>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</si>
  <si>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</si>
  <si>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</si>
  <si>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</si>
  <si>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</si>
  <si>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</si>
  <si>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</si>
  <si>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</si>
  <si>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</si>
  <si>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</si>
  <si>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</si>
  <si>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</si>
  <si>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</si>
  <si>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</si>
  <si>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</si>
  <si>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</si>
  <si>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</si>
  <si>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</si>
  <si>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</si>
  <si>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</si>
  <si>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</si>
  <si>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</si>
  <si>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</si>
  <si>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</si>
  <si>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</si>
  <si>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</si>
  <si>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</si>
  <si>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</si>
  <si>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</si>
  <si>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</si>
  <si>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</si>
  <si>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</si>
  <si>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</si>
  <si>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</si>
  <si>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</si>
  <si>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</si>
  <si>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</si>
  <si>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</si>
  <si>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</si>
  <si>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</si>
  <si>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</si>
  <si>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</si>
  <si>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</si>
  <si>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</si>
  <si>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</si>
  <si>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</si>
  <si>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</si>
  <si>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</si>
  <si>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</si>
  <si>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</si>
  <si>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</si>
  <si>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</si>
  <si>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</si>
  <si>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</si>
  <si>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</si>
  <si>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</si>
  <si>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</si>
  <si>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</si>
  <si>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</si>
  <si>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</si>
  <si>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</si>
  <si>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</si>
  <si>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</si>
  <si>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</si>
  <si>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</si>
  <si>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</si>
  <si>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</si>
  <si>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</si>
  <si>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</si>
  <si>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</si>
  <si>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</si>
  <si>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</si>
  <si>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</si>
  <si>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</si>
  <si>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</si>
  <si>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</si>
  <si>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</si>
  <si>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</si>
  <si>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</si>
  <si>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</si>
  <si>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</si>
  <si>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</si>
  <si>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</si>
  <si>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</si>
  <si>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</si>
  <si>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</si>
  <si>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</si>
  <si>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</si>
  <si>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</si>
  <si>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</si>
  <si>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</si>
  <si>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</si>
  <si>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</si>
  <si>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</si>
  <si>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</si>
  <si>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</si>
  <si>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</si>
  <si>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</si>
  <si>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</si>
  <si>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</si>
  <si>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</si>
  <si>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</si>
  <si>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</si>
  <si>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</si>
  <si>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</si>
  <si>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</si>
  <si>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</si>
  <si>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</si>
  <si>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</si>
  <si>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</si>
  <si>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</si>
  <si>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</si>
  <si>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</si>
  <si>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</si>
  <si>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</si>
  <si>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</si>
  <si>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</si>
  <si>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</si>
  <si>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</si>
  <si>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</si>
  <si>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</si>
  <si>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</si>
  <si>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</si>
  <si>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</si>
  <si>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</si>
  <si>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</si>
  <si>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</si>
  <si>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</si>
  <si>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</si>
  <si>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</si>
  <si>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</si>
  <si>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</si>
  <si>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</si>
  <si>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</si>
  <si>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</si>
  <si>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</si>
  <si>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</si>
  <si>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</si>
  <si>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</si>
  <si>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</si>
  <si>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</si>
  <si>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</si>
  <si>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</si>
  <si>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</si>
  <si>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</si>
  <si>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</si>
  <si>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</si>
  <si>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</si>
  <si>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</si>
  <si>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</si>
  <si>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</si>
  <si>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</si>
  <si>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</si>
  <si>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</si>
  <si>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</si>
  <si>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</si>
  <si>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</si>
  <si>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</si>
  <si>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</si>
  <si>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</si>
  <si>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</si>
  <si>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</si>
  <si>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</si>
  <si>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</si>
  <si>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</si>
  <si>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</si>
  <si>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</si>
  <si>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</si>
  <si>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</si>
  <si>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</si>
  <si>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</si>
  <si>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</si>
  <si>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</si>
  <si>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</si>
  <si>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</si>
  <si>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</si>
  <si>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</si>
  <si>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</si>
  <si>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</si>
  <si>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</si>
  <si>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</si>
  <si>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</si>
  <si>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</si>
  <si>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</si>
  <si>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</si>
  <si>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</si>
  <si>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</si>
  <si>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</si>
  <si>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</si>
  <si>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</si>
  <si>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</si>
  <si>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</si>
  <si>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</si>
  <si>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</si>
  <si>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</si>
  <si>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</si>
  <si>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</si>
  <si>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</si>
  <si>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</si>
  <si>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</si>
  <si>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</si>
  <si>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</si>
  <si>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</si>
  <si>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</si>
  <si>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</si>
  <si>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</si>
  <si>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</si>
  <si>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</si>
  <si>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</si>
  <si>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</si>
  <si>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</si>
  <si>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</si>
  <si>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</si>
  <si>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</si>
  <si>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</si>
  <si>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</si>
  <si>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</si>
  <si>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</si>
  <si>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</si>
  <si>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</si>
  <si>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</si>
  <si>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</si>
  <si>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</si>
  <si>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</si>
  <si>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</si>
  <si>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</si>
  <si>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</si>
  <si>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</si>
  <si>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</si>
  <si>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</si>
  <si>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</si>
  <si>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</si>
  <si>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</si>
  <si>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</si>
  <si>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</si>
  <si>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</si>
  <si>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</si>
  <si>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</si>
  <si>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</si>
  <si>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</si>
  <si>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</si>
  <si>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</si>
  <si>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</si>
  <si>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</si>
  <si>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</si>
  <si>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</si>
  <si>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</si>
  <si>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</si>
  <si>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</si>
  <si>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</si>
  <si>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</si>
  <si>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</si>
  <si>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</si>
  <si>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</si>
  <si>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</si>
  <si>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</si>
  <si>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</si>
  <si>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</si>
  <si>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</si>
  <si>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</si>
  <si>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</si>
  <si>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</si>
  <si>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</si>
  <si>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</si>
  <si>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</si>
  <si>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</si>
  <si>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</si>
  <si>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</si>
  <si>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</si>
  <si>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</si>
  <si>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</si>
  <si>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</si>
  <si>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</si>
  <si>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</si>
  <si>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</si>
  <si>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</si>
  <si>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</si>
  <si>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</si>
  <si>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</si>
  <si>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</si>
  <si>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</si>
  <si>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</si>
  <si>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</si>
  <si>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</si>
  <si>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</si>
  <si>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</si>
  <si>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</si>
  <si>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</si>
  <si>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</si>
  <si>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</si>
  <si>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</si>
  <si>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</si>
  <si>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</si>
  <si>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</si>
  <si>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</si>
  <si>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</si>
  <si>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</si>
  <si>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</si>
  <si>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</si>
  <si>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</si>
  <si>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</si>
  <si>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</si>
  <si>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</si>
  <si>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</si>
  <si>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</si>
  <si>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</si>
  <si>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</si>
  <si>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</si>
  <si>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</si>
  <si>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</si>
  <si>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</si>
  <si>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</si>
  <si>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</si>
  <si>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</si>
  <si>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</si>
  <si>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</si>
  <si>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</si>
  <si>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</si>
  <si>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</si>
  <si>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</si>
  <si>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</si>
  <si>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</si>
  <si>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</si>
  <si>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</si>
  <si>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</si>
  <si>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</si>
  <si>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</si>
  <si>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</si>
  <si>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</si>
  <si>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</si>
  <si>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</si>
  <si>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</si>
  <si>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</si>
  <si>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</si>
  <si>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</si>
  <si>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</si>
  <si>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</si>
  <si>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</si>
  <si>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</si>
  <si>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</si>
  <si>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</si>
  <si>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</si>
  <si>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</si>
  <si>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</si>
  <si>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</si>
  <si>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</si>
  <si>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</si>
  <si>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</si>
  <si>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</si>
  <si>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</si>
  <si>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</si>
  <si>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</si>
  <si>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</si>
  <si>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</si>
  <si>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</si>
  <si>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</si>
  <si>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</si>
  <si>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</si>
  <si>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</si>
  <si>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</si>
  <si>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</si>
  <si>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</si>
  <si>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</si>
  <si>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</si>
  <si>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</si>
  <si>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</si>
  <si>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</si>
  <si>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</si>
  <si>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</si>
  <si>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</si>
  <si>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</si>
  <si>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</si>
  <si>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</si>
  <si>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</si>
  <si>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</si>
  <si>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</si>
  <si>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</si>
  <si>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</si>
  <si>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</si>
  <si>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</si>
  <si>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</si>
  <si>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</si>
  <si>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</si>
  <si>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</si>
  <si>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</si>
  <si>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</si>
  <si>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</si>
  <si>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</si>
  <si>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</si>
  <si>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</si>
  <si>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</si>
  <si>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</si>
  <si>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</si>
  <si>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</si>
  <si>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</si>
  <si>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</si>
  <si>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</si>
  <si>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</si>
  <si>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</si>
  <si>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</si>
  <si>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</si>
  <si>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</si>
  <si>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</si>
  <si>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</si>
  <si>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</si>
  <si>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</si>
  <si>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</si>
  <si>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</si>
  <si>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</si>
  <si>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</si>
  <si>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</si>
  <si>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</si>
  <si>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</si>
  <si>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</si>
  <si>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</si>
  <si>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</si>
  <si>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</si>
  <si>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</si>
  <si>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</si>
  <si>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</si>
  <si>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</si>
  <si>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</si>
  <si>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</si>
  <si>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</si>
  <si>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</si>
  <si>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</si>
  <si>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</si>
  <si>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</si>
  <si>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</si>
  <si>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</si>
  <si>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</si>
  <si>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</si>
  <si>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</si>
  <si>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</si>
  <si>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</si>
  <si>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</si>
  <si>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</si>
  <si>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</si>
  <si>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</si>
  <si>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</si>
  <si>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</si>
  <si>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</si>
  <si>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</si>
  <si>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</si>
  <si>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</si>
  <si>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</si>
  <si>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</si>
  <si>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</si>
  <si>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</si>
  <si>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</si>
  <si>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</si>
  <si>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</si>
  <si>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</si>
  <si>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</si>
  <si>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</si>
  <si>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</si>
  <si>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</si>
  <si>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</si>
  <si>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</si>
  <si>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</si>
  <si>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</si>
  <si>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</si>
  <si>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</si>
  <si>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</si>
  <si>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</si>
  <si>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</si>
  <si>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</si>
  <si>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</si>
  <si>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</si>
  <si>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</si>
  <si>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</si>
  <si>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</si>
  <si>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</si>
  <si>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</si>
  <si>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</si>
  <si>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</si>
  <si>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</si>
  <si>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</si>
  <si>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</si>
  <si>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</si>
  <si>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</si>
  <si>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</si>
  <si>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</si>
  <si>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</si>
  <si>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</si>
  <si>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</si>
  <si>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</si>
  <si>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</si>
  <si>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</si>
  <si>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</si>
  <si>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</si>
  <si>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</si>
  <si>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</si>
  <si>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</si>
  <si>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</si>
  <si>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</si>
  <si>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</si>
  <si>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</si>
  <si>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</si>
  <si>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</si>
  <si>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</si>
  <si>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</si>
  <si>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</si>
  <si>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</si>
  <si>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</si>
  <si>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</si>
  <si>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</si>
  <si>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</si>
  <si>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</si>
  <si>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</si>
  <si>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</si>
  <si>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</si>
  <si>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</si>
  <si>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</si>
  <si>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</si>
  <si>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</si>
  <si>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</si>
  <si>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</si>
  <si>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</si>
  <si>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</si>
  <si>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</si>
  <si>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</si>
  <si>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</si>
  <si>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</si>
  <si>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</si>
  <si>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</si>
  <si>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</si>
  <si>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</si>
  <si>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</si>
  <si>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</si>
  <si>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</si>
  <si>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</si>
  <si>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</si>
  <si>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</si>
  <si>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</si>
  <si>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</si>
  <si>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</si>
  <si>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</si>
  <si>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</si>
  <si>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</si>
  <si>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</si>
  <si>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</si>
  <si>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</si>
  <si>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</si>
  <si>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</si>
  <si>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</si>
  <si>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</si>
  <si>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</si>
  <si>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</si>
  <si>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</si>
  <si>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</si>
  <si>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</si>
  <si>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</si>
  <si>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</si>
  <si>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</si>
  <si>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</si>
  <si>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</si>
  <si>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</si>
  <si>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</si>
  <si>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</si>
  <si>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</si>
  <si>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</si>
  <si>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</si>
  <si>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</si>
  <si>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</si>
  <si>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</si>
  <si>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</si>
  <si>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</si>
  <si>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</si>
  <si>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</si>
  <si>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</si>
  <si>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</si>
  <si>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</si>
  <si>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</si>
  <si>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</si>
  <si>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</si>
  <si>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</si>
  <si>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</si>
  <si>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</si>
  <si>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</si>
  <si>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</si>
  <si>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</si>
  <si>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</si>
  <si>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</si>
  <si>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</si>
  <si>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</si>
  <si>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</si>
  <si>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</si>
  <si>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</si>
  <si>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</si>
  <si>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</si>
  <si>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</si>
  <si>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</si>
  <si>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</si>
  <si>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</si>
  <si>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</si>
  <si>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</si>
  <si>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</si>
  <si>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</si>
  <si>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</si>
  <si>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</si>
  <si>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</si>
  <si>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</si>
  <si>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</si>
  <si>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</si>
  <si>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</si>
  <si>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</si>
  <si>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</si>
  <si>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</si>
  <si>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</si>
  <si>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</si>
  <si>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</si>
  <si>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</si>
  <si>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</si>
  <si>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</si>
  <si>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</si>
  <si>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</si>
  <si>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</si>
  <si>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</si>
  <si>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</si>
  <si>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</si>
  <si>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</si>
  <si>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</si>
  <si>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</si>
  <si>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</si>
  <si>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</si>
  <si>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</si>
  <si>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</si>
  <si>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</si>
  <si>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</si>
  <si>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</si>
  <si>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</si>
  <si>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</si>
  <si>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</si>
  <si>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</si>
  <si>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</si>
  <si>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</si>
  <si>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</si>
  <si>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</si>
  <si>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</si>
  <si>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</si>
  <si>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</si>
  <si>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</si>
  <si>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</si>
  <si>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</si>
  <si>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</si>
  <si>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</si>
  <si>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</si>
  <si>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</si>
  <si>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</si>
  <si>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</si>
  <si>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</si>
  <si>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</si>
  <si>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</si>
  <si>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</si>
  <si>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</si>
  <si>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</si>
  <si>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</si>
  <si>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</si>
  <si>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</si>
  <si>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</si>
  <si>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</si>
  <si>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</si>
  <si>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</si>
  <si>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</si>
  <si>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</si>
  <si>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</si>
  <si>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</si>
  <si>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</si>
  <si>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</si>
  <si>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</si>
  <si>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</si>
  <si>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</si>
  <si>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</si>
  <si>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</si>
  <si>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</si>
  <si>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</si>
  <si>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</si>
  <si>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</si>
  <si>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</si>
  <si>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</si>
  <si>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</si>
  <si>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</si>
  <si>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</si>
  <si>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</si>
  <si>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</si>
  <si>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</si>
  <si>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</si>
  <si>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</si>
  <si>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</si>
  <si>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</si>
  <si>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</si>
  <si>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</si>
  <si>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</si>
  <si>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</si>
  <si>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</si>
  <si>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</si>
  <si>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</si>
  <si>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</si>
  <si>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</si>
  <si>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</si>
  <si>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</si>
  <si>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</si>
  <si>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</si>
  <si>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</si>
  <si>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</si>
  <si>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</si>
  <si>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</si>
  <si>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</si>
  <si>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</si>
  <si>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</si>
  <si>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</si>
  <si>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</si>
  <si>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</si>
  <si>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</si>
  <si>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</si>
  <si>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</si>
  <si>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</si>
  <si>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</si>
  <si>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</si>
  <si>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</si>
  <si>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</si>
  <si>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</si>
  <si>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</si>
  <si>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</si>
  <si>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</si>
  <si>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</si>
  <si>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</si>
  <si>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</si>
  <si>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</si>
  <si>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</si>
  <si>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</si>
  <si>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</si>
  <si>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</si>
  <si>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</si>
  <si>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</si>
  <si>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</si>
  <si>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</si>
  <si>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</si>
  <si>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</si>
  <si>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</si>
  <si>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</si>
  <si>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</si>
  <si>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</si>
  <si>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</si>
  <si>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</si>
  <si>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</si>
  <si>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</si>
  <si>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</si>
  <si>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</si>
  <si>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</si>
  <si>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</si>
  <si>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</si>
  <si>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</si>
  <si>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</si>
  <si>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</si>
  <si>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</si>
  <si>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</si>
  <si>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</si>
  <si>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</si>
  <si>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</si>
  <si>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</si>
  <si>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</si>
  <si>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</si>
  <si>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</si>
  <si>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</si>
  <si>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</si>
  <si>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</si>
  <si>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</si>
  <si>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</si>
  <si>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</si>
  <si>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</si>
  <si>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</si>
  <si>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</si>
  <si>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</si>
  <si>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</si>
  <si>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</si>
  <si>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</si>
  <si>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</si>
  <si>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</si>
  <si>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</si>
  <si>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</si>
  <si>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</si>
  <si>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</si>
  <si>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</si>
  <si>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</si>
  <si>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</si>
  <si>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</si>
  <si>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</si>
  <si>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</si>
  <si>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</si>
  <si>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</si>
  <si>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</si>
  <si>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</si>
  <si>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</si>
  <si>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</si>
  <si>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</si>
  <si>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</si>
  <si>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</si>
  <si>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</si>
  <si>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</si>
  <si>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</si>
  <si>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</si>
  <si>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</si>
  <si>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</si>
  <si>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</si>
  <si>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</si>
  <si>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</si>
  <si>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</si>
  <si>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</si>
  <si>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</si>
  <si>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</si>
  <si>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</si>
  <si>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</si>
  <si>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</si>
  <si>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</si>
  <si>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</si>
  <si>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</si>
  <si>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</si>
  <si>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</si>
  <si>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</si>
  <si>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</si>
  <si>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</si>
  <si>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</si>
  <si>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</si>
  <si>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</si>
  <si>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</si>
  <si>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</si>
  <si>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</si>
  <si>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</si>
  <si>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</si>
  <si>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</si>
  <si>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</si>
  <si>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</si>
  <si>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</si>
  <si>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</si>
  <si>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</si>
  <si>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</si>
  <si>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</si>
  <si>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</si>
  <si>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</si>
  <si>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</si>
  <si>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</si>
  <si>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</si>
  <si>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</si>
  <si>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</si>
  <si>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</si>
  <si>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</si>
  <si>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</si>
  <si>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</si>
  <si>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</si>
  <si>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</si>
  <si>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</si>
  <si>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</si>
  <si>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</si>
  <si>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</si>
  <si>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</si>
  <si>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</si>
  <si>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</si>
  <si>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</si>
  <si>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</si>
  <si>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</si>
  <si>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</si>
  <si>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</si>
  <si>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</si>
  <si>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</si>
  <si>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</si>
  <si>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</si>
  <si>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</si>
  <si>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</si>
  <si>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</si>
  <si>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</si>
  <si>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</si>
  <si>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</si>
  <si>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</si>
  <si>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</si>
  <si>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</si>
  <si>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</si>
  <si>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</si>
  <si>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</si>
  <si>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</si>
  <si>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</si>
  <si>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</si>
  <si>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</si>
  <si>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</si>
  <si>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</si>
  <si>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</si>
  <si>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</si>
  <si>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</si>
  <si>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</si>
  <si>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</si>
  <si>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</si>
  <si>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</si>
  <si>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</si>
  <si>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</si>
  <si>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</si>
  <si>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</si>
  <si>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</si>
  <si>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</si>
  <si>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</si>
  <si>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</si>
  <si>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</si>
  <si>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</si>
  <si>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</si>
  <si>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</si>
  <si>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</si>
  <si>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</si>
  <si>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</si>
  <si>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</si>
  <si>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</si>
  <si>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</si>
  <si>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</si>
  <si>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</si>
  <si>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</si>
  <si>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</si>
  <si>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</si>
  <si>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</si>
  <si>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</si>
  <si>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</si>
  <si>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</si>
  <si>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</si>
  <si>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</si>
  <si>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</si>
  <si>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</si>
  <si>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</si>
  <si>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</si>
  <si>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</si>
  <si>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</si>
  <si>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</si>
  <si>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</si>
  <si>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</si>
  <si>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</si>
  <si>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</si>
  <si>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</si>
  <si>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</si>
  <si>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</si>
  <si>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</si>
  <si>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</si>
  <si>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</si>
  <si>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</si>
  <si>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</si>
  <si>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</si>
  <si>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</si>
  <si>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</si>
  <si>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</si>
  <si>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</si>
  <si>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</si>
  <si>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</si>
  <si>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</si>
  <si>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</si>
  <si>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</si>
  <si>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</si>
  <si>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</si>
  <si>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</si>
  <si>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</si>
  <si>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</si>
  <si>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</si>
  <si>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</si>
  <si>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</si>
  <si>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</si>
  <si>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</si>
  <si>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</si>
  <si>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</si>
  <si>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</si>
  <si>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</si>
  <si>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</si>
  <si>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</si>
  <si>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</si>
  <si>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</si>
  <si>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</si>
  <si>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</si>
  <si>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</si>
  <si>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</si>
  <si>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</si>
  <si>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</si>
  <si>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</si>
  <si>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</si>
  <si>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</si>
  <si>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</si>
  <si>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</si>
  <si>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</si>
  <si>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</si>
  <si>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</si>
  <si>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</si>
  <si>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</si>
  <si>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</si>
  <si>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</si>
  <si>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</si>
  <si>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</si>
  <si>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</si>
  <si>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</si>
  <si>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</si>
  <si>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</si>
  <si>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</si>
  <si>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</si>
  <si>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</si>
  <si>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</si>
  <si>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</si>
  <si>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</si>
  <si>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</si>
  <si>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</si>
  <si>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</si>
  <si>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</si>
  <si>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</si>
  <si>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</si>
  <si>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</si>
  <si>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</si>
  <si>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</si>
  <si>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</si>
  <si>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</si>
  <si>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</si>
  <si>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</si>
  <si>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</si>
  <si>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</si>
  <si>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</si>
  <si>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</si>
  <si>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</si>
  <si>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</si>
  <si>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</si>
  <si>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</si>
  <si>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</si>
  <si>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</si>
  <si>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</si>
  <si>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</si>
  <si>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</si>
  <si>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</si>
  <si>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</si>
  <si>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</si>
  <si>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</si>
  <si>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</si>
  <si>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</si>
  <si>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</si>
  <si>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</si>
  <si>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</si>
  <si>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</si>
  <si>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</si>
  <si>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</si>
  <si>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</si>
  <si>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</si>
  <si>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</si>
  <si>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</si>
  <si>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</si>
  <si>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</si>
  <si>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</si>
  <si>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</si>
  <si>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</si>
  <si>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</si>
  <si>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</si>
  <si>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</si>
  <si>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</si>
  <si>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</si>
  <si>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</si>
  <si>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</si>
  <si>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</si>
  <si>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</si>
  <si>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</si>
  <si>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</si>
  <si>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</si>
  <si>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</si>
  <si>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</si>
  <si>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</si>
  <si>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</si>
  <si>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</si>
  <si>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</si>
  <si>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</si>
  <si>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</si>
  <si>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</si>
  <si>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</si>
  <si>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</si>
  <si>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</si>
  <si>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</si>
  <si>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</si>
  <si>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</si>
  <si>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</si>
  <si>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</si>
  <si>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</si>
  <si>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</si>
  <si>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</si>
  <si>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</si>
  <si>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</si>
  <si>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</si>
  <si>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</si>
  <si>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</si>
  <si>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</si>
  <si>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</si>
  <si>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</si>
  <si>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</si>
  <si>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</si>
  <si>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</si>
  <si>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</si>
  <si>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</si>
  <si>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</si>
  <si>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</si>
  <si>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</si>
  <si>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</si>
  <si>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</si>
  <si>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</si>
  <si>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</si>
  <si>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</si>
  <si>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</si>
  <si>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</si>
  <si>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</si>
  <si>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</si>
  <si>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</si>
  <si>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</si>
  <si>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</si>
  <si>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</si>
  <si>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</si>
  <si>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</si>
  <si>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</si>
  <si>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</si>
  <si>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</si>
  <si>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</si>
  <si>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</si>
  <si>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</si>
  <si>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</si>
  <si>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</si>
  <si>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</si>
  <si>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</si>
  <si>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</si>
  <si>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</si>
  <si>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</si>
  <si>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</si>
  <si>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</si>
  <si>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</si>
  <si>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</si>
  <si>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</si>
  <si>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</si>
  <si>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</si>
  <si>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</si>
  <si>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</si>
  <si>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</si>
  <si>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</si>
  <si>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</si>
  <si>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</si>
  <si>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</si>
  <si>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</si>
  <si>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</si>
  <si>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</si>
  <si>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</si>
  <si>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</si>
  <si>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</si>
  <si>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</si>
  <si>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</si>
  <si>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</si>
  <si>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</si>
  <si>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</si>
  <si>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</si>
  <si>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</si>
  <si>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</si>
  <si>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</si>
  <si>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</si>
  <si>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</si>
  <si>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</si>
  <si>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</si>
  <si>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</si>
  <si>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</si>
  <si>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</si>
  <si>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</si>
  <si>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</si>
  <si>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</si>
  <si>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</si>
  <si>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</si>
  <si>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</si>
  <si>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</si>
  <si>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</si>
  <si>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</si>
  <si>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</si>
  <si>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</si>
  <si>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</si>
  <si>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</si>
  <si>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</si>
  <si>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</si>
  <si>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</si>
  <si>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</si>
  <si>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</si>
  <si>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</si>
  <si>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</si>
  <si>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</si>
  <si>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</si>
  <si>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</si>
  <si>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</si>
  <si>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</si>
  <si>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</si>
  <si>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</si>
  <si>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</si>
  <si>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</si>
  <si>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</si>
  <si>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</si>
  <si>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</si>
  <si>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</si>
  <si>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</si>
  <si>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</si>
  <si>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</si>
  <si>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</si>
  <si>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</si>
  <si>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</si>
  <si>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</si>
  <si>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</si>
  <si>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</si>
  <si>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</si>
  <si>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</si>
  <si>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</si>
  <si>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</si>
  <si>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</si>
  <si>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</si>
  <si>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</si>
  <si>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</si>
  <si>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</si>
  <si>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</si>
  <si>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</si>
  <si>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</si>
  <si>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</si>
  <si>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</si>
  <si>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</si>
  <si>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</si>
  <si>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</si>
  <si>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</si>
  <si>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</si>
  <si>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</si>
  <si>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</si>
  <si>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</si>
  <si>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</si>
  <si>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</si>
  <si>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</si>
  <si>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</si>
  <si>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</si>
  <si>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</si>
  <si>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</si>
  <si>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</si>
  <si>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</si>
  <si>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</si>
  <si>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</si>
  <si>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</si>
  <si>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</si>
  <si>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</si>
  <si>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</si>
  <si>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</si>
  <si>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</si>
  <si>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</si>
  <si>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</si>
  <si>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</si>
  <si>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</si>
  <si>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</si>
  <si>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</si>
  <si>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</si>
  <si>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</si>
  <si>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</si>
  <si>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</si>
  <si>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</si>
  <si>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</si>
  <si>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</si>
  <si>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</si>
  <si>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</si>
  <si>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</si>
  <si>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</si>
  <si>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</si>
  <si>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</si>
  <si>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</si>
  <si>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</si>
  <si>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</si>
  <si>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</si>
  <si>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</si>
  <si>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</si>
  <si>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</si>
  <si>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</si>
  <si>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</si>
  <si>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</si>
  <si>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</si>
  <si>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</si>
  <si>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</si>
  <si>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</si>
  <si>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</si>
  <si>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</si>
  <si>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</si>
  <si>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</si>
  <si>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</si>
  <si>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</si>
  <si>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</si>
  <si>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</si>
  <si>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</si>
  <si>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</si>
  <si>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</si>
  <si>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</si>
  <si>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</si>
  <si>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</si>
  <si>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</si>
  <si>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</si>
  <si>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</si>
  <si>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</si>
  <si>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</si>
  <si>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</si>
  <si>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</si>
  <si>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</si>
  <si>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</si>
  <si>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</si>
  <si>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</si>
  <si>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</si>
  <si>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</si>
  <si>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</si>
  <si>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</si>
  <si>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</si>
  <si>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</si>
  <si>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</si>
  <si>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</si>
  <si>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</si>
  <si>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</si>
  <si>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</si>
  <si>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</si>
  <si>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</si>
  <si>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</si>
  <si>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</si>
  <si>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</si>
  <si>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</si>
  <si>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</si>
  <si>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</si>
  <si>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</si>
  <si>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</si>
  <si>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</si>
  <si>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</si>
  <si>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</si>
  <si>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</si>
  <si>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</si>
  <si>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</si>
  <si>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</si>
  <si>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</si>
  <si>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</si>
  <si>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</si>
  <si>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</si>
  <si>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</si>
  <si>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</si>
  <si>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</si>
  <si>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</si>
  <si>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</si>
  <si>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</si>
  <si>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</si>
  <si>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</si>
  <si>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</si>
  <si>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</si>
  <si>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</si>
  <si>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</si>
  <si>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</si>
  <si>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</si>
  <si>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</si>
  <si>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</si>
  <si>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</si>
  <si>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</si>
  <si>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</si>
  <si>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</si>
  <si>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</si>
  <si>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</si>
  <si>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</si>
  <si>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</si>
  <si>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</si>
  <si>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</si>
  <si>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</si>
  <si>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</si>
  <si>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</si>
  <si>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</si>
  <si>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</si>
  <si>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</si>
  <si>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</si>
  <si>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</si>
  <si>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</si>
  <si>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</si>
  <si>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</si>
  <si>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</si>
  <si>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</si>
  <si>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</si>
  <si>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</si>
  <si>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</si>
  <si>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</si>
  <si>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</si>
  <si>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</si>
  <si>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</si>
  <si>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</si>
  <si>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</si>
  <si>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</si>
  <si>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</si>
  <si>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</si>
  <si>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</si>
  <si>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</si>
  <si>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</si>
  <si>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</si>
  <si>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</si>
  <si>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</si>
  <si>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</si>
  <si>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</si>
  <si>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</si>
  <si>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</si>
  <si>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</si>
  <si>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</si>
  <si>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</si>
  <si>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</si>
  <si>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</si>
  <si>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</si>
  <si>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</si>
  <si>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</si>
  <si>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</si>
  <si>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</si>
  <si>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</si>
  <si>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</si>
  <si>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</si>
  <si>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</si>
  <si>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</si>
  <si>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</si>
  <si>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</si>
  <si>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</si>
  <si>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</si>
  <si>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</si>
  <si>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</si>
  <si>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</si>
  <si>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</si>
  <si>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</si>
  <si>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</si>
  <si>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</si>
  <si>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</si>
  <si>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</si>
  <si>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</si>
  <si>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</si>
  <si>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</si>
  <si>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</si>
  <si>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</si>
  <si>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</si>
  <si>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</si>
  <si>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</si>
  <si>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</si>
  <si>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</si>
  <si>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</si>
  <si>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</si>
  <si>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</si>
  <si>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</si>
  <si>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</si>
  <si>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</si>
  <si>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</si>
  <si>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</si>
  <si>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</si>
  <si>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</si>
  <si>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</si>
  <si>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</si>
  <si>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</si>
  <si>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</si>
  <si>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</si>
  <si>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</si>
  <si>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</si>
  <si>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</si>
  <si>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</si>
  <si>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</si>
  <si>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</si>
  <si>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</si>
  <si>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</si>
  <si>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</si>
  <si>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</si>
  <si>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</si>
  <si>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</si>
  <si>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</si>
  <si>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</si>
  <si>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</si>
  <si>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</si>
  <si>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</si>
  <si>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</si>
  <si>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</si>
  <si>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</si>
  <si>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</si>
  <si>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</si>
  <si>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</si>
  <si>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</si>
  <si>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</si>
  <si>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</si>
  <si>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</si>
  <si>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</si>
  <si>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</si>
  <si>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</si>
  <si>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</si>
  <si>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</si>
  <si>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</si>
  <si>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</si>
  <si>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</si>
  <si>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</si>
  <si>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</si>
  <si>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</si>
  <si>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</si>
  <si>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</si>
  <si>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</si>
  <si>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</si>
  <si>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</si>
  <si>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</si>
  <si>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</si>
  <si>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</si>
  <si>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</si>
  <si>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</si>
  <si>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</si>
  <si>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</si>
  <si>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</si>
  <si>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</si>
  <si>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</si>
  <si>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</si>
  <si>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</si>
  <si>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</si>
  <si>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</si>
  <si>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</si>
  <si>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</si>
  <si>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</si>
  <si>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</si>
  <si>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</si>
  <si>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</si>
  <si>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</si>
  <si>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</si>
  <si>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</si>
  <si>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</si>
  <si>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</si>
  <si>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</si>
  <si>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</si>
  <si>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</si>
  <si>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</si>
  <si>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</si>
  <si>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</si>
  <si>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</si>
  <si>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</si>
  <si>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</si>
  <si>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</si>
  <si>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</si>
  <si>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</si>
  <si>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</si>
  <si>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</si>
  <si>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</si>
  <si>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</si>
  <si>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</si>
  <si>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</si>
  <si>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</si>
  <si>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</si>
  <si>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</si>
  <si>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</si>
  <si>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</si>
  <si>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</si>
  <si>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</si>
  <si>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</si>
  <si>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</si>
  <si>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</si>
  <si>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</si>
  <si>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</si>
  <si>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</si>
  <si>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</si>
  <si>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</si>
  <si>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</si>
  <si>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</si>
  <si>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</si>
  <si>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</si>
  <si>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</si>
  <si>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</si>
  <si>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</si>
  <si>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</si>
  <si>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</si>
  <si>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</si>
  <si>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</si>
  <si>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</si>
  <si>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</si>
  <si>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</si>
  <si>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</si>
  <si>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</si>
  <si>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</si>
  <si>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</si>
  <si>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</si>
  <si>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</si>
  <si>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</si>
  <si>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</si>
  <si>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</si>
  <si>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</si>
  <si>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</si>
  <si>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</si>
  <si>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</si>
  <si>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</si>
  <si>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</si>
  <si>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</si>
  <si>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</si>
  <si>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</si>
  <si>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</si>
  <si>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</si>
  <si>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</si>
  <si>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</si>
  <si>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</si>
  <si>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</si>
  <si>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</si>
  <si>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</si>
  <si>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</si>
  <si>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</si>
  <si>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</si>
  <si>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</si>
  <si>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</si>
  <si>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</si>
  <si>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</si>
  <si>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</si>
  <si>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</si>
  <si>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</si>
  <si>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</si>
  <si>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</si>
  <si>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</si>
  <si>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</si>
  <si>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</si>
  <si>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</si>
  <si>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</si>
  <si>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</si>
  <si>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</si>
  <si>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</si>
  <si>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</si>
  <si>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</si>
  <si>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</si>
  <si>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</si>
  <si>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</si>
  <si>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</si>
  <si>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</si>
  <si>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</si>
  <si>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</si>
  <si>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</si>
  <si>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</si>
  <si>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</si>
  <si>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</si>
  <si>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</si>
  <si>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</si>
  <si>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</si>
  <si>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</si>
  <si>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</si>
  <si>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</si>
  <si>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</si>
  <si>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</si>
  <si>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</si>
  <si>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</si>
  <si>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</si>
  <si>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</si>
  <si>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</si>
  <si>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</si>
  <si>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</si>
  <si>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</si>
  <si>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</si>
  <si>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</si>
  <si>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</si>
  <si>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</si>
  <si>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</si>
  <si>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</si>
  <si>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</si>
  <si>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</si>
  <si>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</si>
  <si>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</si>
  <si>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</si>
  <si>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</si>
  <si>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</si>
  <si>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</si>
  <si>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</si>
  <si>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</si>
  <si>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</si>
  <si>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</si>
  <si>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</si>
  <si>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</si>
  <si>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</si>
  <si>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</si>
  <si>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</si>
  <si>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</si>
  <si>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</si>
  <si>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</si>
  <si>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</si>
  <si>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</si>
  <si>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</si>
  <si>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</si>
  <si>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</si>
  <si>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</si>
  <si>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</si>
  <si>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</si>
  <si>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</si>
  <si>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</si>
  <si>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</si>
  <si>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</si>
  <si>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</si>
  <si>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</si>
  <si>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</si>
  <si>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</si>
  <si>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</si>
  <si>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</si>
  <si>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</si>
  <si>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</si>
  <si>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</si>
  <si>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</si>
  <si>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</si>
  <si>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</si>
  <si>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</si>
  <si>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</si>
  <si>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</si>
  <si>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</si>
  <si>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</si>
  <si>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</si>
  <si>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</si>
  <si>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</si>
  <si>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</si>
  <si>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</si>
  <si>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</si>
  <si>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</si>
  <si>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</si>
  <si>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</si>
  <si>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</si>
  <si>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</si>
  <si>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</si>
  <si>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</si>
  <si>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</si>
  <si>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</si>
  <si>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</si>
  <si>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</si>
  <si>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</si>
  <si>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</si>
  <si>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</si>
  <si>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</si>
  <si>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</si>
  <si>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</si>
  <si>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</si>
  <si>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</si>
  <si>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</si>
  <si>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</si>
  <si>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</si>
  <si>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</si>
  <si>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</si>
  <si>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</si>
  <si>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</si>
  <si>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</si>
  <si>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</si>
  <si>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</si>
  <si>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</si>
  <si>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</si>
  <si>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</si>
  <si>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</si>
  <si>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</si>
  <si>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</si>
  <si>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</si>
  <si>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</si>
  <si>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</si>
  <si>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</si>
  <si>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</si>
  <si>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</si>
  <si>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</si>
  <si>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</si>
  <si>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</si>
  <si>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</si>
  <si>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</si>
  <si>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</si>
  <si>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</si>
  <si>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</si>
  <si>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</si>
  <si>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</si>
  <si>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</si>
  <si>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</si>
  <si>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</si>
  <si>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</si>
  <si>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</si>
  <si>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</si>
  <si>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</si>
  <si>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</si>
  <si>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</si>
  <si>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</si>
  <si>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</si>
  <si>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</si>
  <si>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</si>
  <si>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</si>
  <si>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</si>
  <si>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</si>
  <si>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</si>
  <si>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</si>
  <si>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</si>
  <si>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</si>
  <si>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</si>
  <si>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</si>
  <si>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</si>
  <si>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</si>
  <si>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</si>
  <si>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</si>
  <si>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</si>
  <si>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</si>
  <si>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</si>
  <si>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</si>
  <si>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</si>
  <si>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</si>
  <si>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</si>
  <si>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</si>
  <si>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</si>
  <si>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</si>
  <si>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</si>
  <si>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</si>
  <si>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</si>
  <si>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</si>
  <si>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</si>
  <si>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</si>
  <si>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</si>
  <si>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</si>
  <si>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</si>
  <si>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</si>
  <si>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</si>
  <si>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</si>
  <si>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</si>
  <si>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</si>
  <si>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</si>
  <si>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</si>
  <si>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</si>
  <si>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</si>
  <si>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</si>
  <si>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</si>
  <si>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</si>
  <si>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</si>
  <si>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</si>
  <si>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</si>
  <si>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</si>
  <si>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</si>
  <si>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</si>
  <si>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</si>
  <si>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</si>
  <si>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</si>
  <si>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</si>
  <si>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</si>
  <si>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</si>
  <si>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</si>
  <si>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</si>
  <si>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</si>
  <si>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</si>
  <si>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</si>
  <si>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</si>
  <si>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</si>
  <si>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</si>
  <si>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</si>
  <si>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</si>
  <si>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</si>
  <si>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</si>
  <si>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</si>
  <si>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</si>
  <si>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</si>
  <si>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</si>
  <si>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</si>
  <si>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</si>
  <si>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</si>
  <si>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</si>
  <si>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</si>
  <si>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</si>
  <si>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</si>
  <si>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</si>
  <si>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</si>
  <si>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</si>
  <si>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</si>
  <si>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</si>
  <si>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</si>
  <si>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</si>
  <si>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</si>
  <si>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</si>
  <si>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</si>
  <si>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</si>
  <si>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</si>
  <si>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</si>
  <si>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</si>
  <si>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</si>
  <si>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</si>
  <si>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</si>
  <si>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</si>
  <si>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</si>
  <si>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</si>
  <si>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</si>
  <si>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</si>
  <si>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</si>
  <si>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</si>
  <si>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</si>
  <si>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</si>
  <si>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</si>
  <si>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</si>
  <si>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</si>
  <si>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</si>
  <si>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</si>
  <si>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</si>
  <si>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</si>
  <si>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</si>
  <si>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</si>
  <si>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</si>
  <si>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</si>
  <si>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</si>
  <si>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</si>
  <si>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</si>
  <si>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</si>
  <si>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</si>
  <si>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</si>
  <si>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</si>
  <si>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</si>
  <si>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</si>
  <si>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</si>
  <si>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</si>
  <si>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</si>
  <si>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</si>
  <si>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</si>
  <si>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</si>
  <si>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</si>
  <si>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</si>
  <si>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</si>
  <si>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</si>
  <si>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</si>
  <si>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</si>
  <si>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</si>
  <si>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</si>
  <si>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</si>
  <si>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</si>
  <si>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</si>
  <si>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</si>
  <si>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</si>
  <si>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</si>
  <si>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</si>
  <si>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</si>
  <si>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</si>
  <si>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</si>
  <si>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</si>
  <si>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</si>
  <si>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</si>
  <si>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</si>
  <si>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</si>
  <si>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</si>
  <si>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</si>
  <si>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</si>
  <si>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</si>
  <si>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</si>
  <si>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</si>
  <si>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</si>
  <si>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</si>
  <si>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</si>
  <si>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</si>
  <si>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</si>
  <si>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</si>
  <si>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</si>
  <si>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</si>
  <si>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</si>
  <si>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</si>
  <si>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</si>
  <si>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</si>
  <si>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</si>
  <si>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</si>
  <si>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</si>
  <si>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</si>
  <si>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</si>
  <si>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</si>
  <si>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</si>
  <si>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</si>
  <si>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</si>
  <si>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</si>
  <si>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</si>
  <si>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</si>
  <si>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</si>
  <si>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</si>
  <si>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</si>
  <si>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</si>
  <si>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</si>
  <si>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</si>
  <si>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</si>
  <si>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</si>
  <si>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</si>
  <si>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</si>
  <si>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</si>
  <si>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</si>
  <si>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</si>
  <si>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</si>
  <si>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</si>
  <si>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</si>
  <si>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</si>
  <si>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</si>
  <si>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</si>
  <si>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</si>
  <si>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</si>
  <si>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</si>
  <si>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</si>
  <si>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</si>
  <si>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</si>
  <si>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</si>
  <si>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</si>
  <si>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</si>
  <si>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</si>
  <si>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</si>
  <si>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</si>
  <si>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</si>
  <si>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</si>
  <si>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</si>
  <si>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</si>
  <si>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</si>
  <si>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</si>
  <si>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</si>
  <si>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</si>
  <si>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</si>
  <si>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</si>
  <si>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</si>
  <si>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</si>
  <si>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</si>
  <si>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</si>
  <si>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</si>
  <si>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</si>
  <si>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</si>
  <si>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</si>
  <si>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</si>
  <si>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</si>
  <si>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</si>
  <si>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</si>
  <si>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</si>
  <si>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</si>
  <si>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</si>
  <si>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</si>
  <si>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</si>
  <si>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</si>
  <si>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</si>
  <si>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</si>
  <si>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</si>
  <si>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</si>
  <si>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</si>
  <si>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</si>
  <si>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</si>
  <si>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</si>
  <si>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</si>
  <si>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</si>
  <si>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</si>
  <si>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</si>
  <si>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</si>
  <si>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</si>
  <si>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</si>
  <si>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</si>
  <si>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</si>
  <si>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</si>
  <si>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</si>
  <si>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</si>
  <si>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</si>
  <si>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</si>
  <si>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</si>
  <si>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</si>
  <si>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</si>
  <si>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</si>
  <si>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</si>
  <si>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</si>
  <si>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</si>
  <si>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</si>
  <si>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</si>
  <si>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</si>
  <si>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</si>
  <si>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</si>
  <si>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</si>
  <si>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</si>
  <si>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</si>
  <si>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</si>
  <si>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</si>
  <si>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</si>
  <si>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</si>
  <si>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</si>
  <si>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</si>
  <si>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</si>
  <si>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</si>
  <si>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</si>
  <si>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</si>
  <si>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</si>
  <si>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</si>
  <si>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</si>
  <si>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</si>
  <si>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</si>
  <si>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</si>
  <si>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</si>
  <si>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</si>
  <si>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</si>
  <si>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</si>
  <si>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</si>
  <si>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</si>
  <si>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</si>
  <si>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</si>
  <si>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</si>
  <si>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</si>
  <si>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</si>
  <si>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</si>
  <si>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</si>
  <si>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</si>
  <si>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</si>
  <si>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</si>
  <si>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</si>
  <si>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</si>
  <si>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</si>
  <si>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</si>
  <si>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</si>
  <si>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</si>
  <si>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</si>
  <si>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</si>
  <si>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</si>
  <si>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</si>
  <si>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</si>
  <si>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</si>
  <si>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</si>
  <si>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</si>
  <si>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</si>
  <si>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</si>
  <si>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</si>
  <si>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</si>
  <si>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</si>
  <si>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</si>
  <si>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</si>
  <si>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</si>
  <si>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</si>
  <si>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</si>
  <si>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</si>
  <si>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</si>
  <si>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</si>
  <si>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</si>
  <si>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</si>
  <si>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</si>
  <si>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</si>
  <si>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</si>
  <si>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</si>
  <si>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</si>
  <si>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</si>
  <si>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</si>
  <si>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</si>
  <si>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</si>
  <si>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</si>
  <si>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</si>
  <si>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</si>
  <si>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</si>
  <si>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</si>
  <si>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</si>
  <si>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</si>
  <si>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</si>
  <si>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</si>
  <si>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</si>
  <si>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</si>
  <si>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</si>
  <si>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</si>
  <si>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</si>
  <si>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</si>
  <si>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</si>
  <si>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</si>
  <si>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</si>
  <si>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</si>
  <si>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</si>
  <si>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</si>
  <si>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</si>
  <si>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</si>
  <si>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</si>
  <si>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</si>
  <si>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</si>
  <si>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</si>
  <si>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</si>
  <si>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</si>
  <si>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</si>
  <si>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</si>
  <si>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</si>
  <si>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</si>
  <si>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</si>
  <si>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</si>
  <si>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</si>
  <si>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</si>
  <si>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</si>
  <si>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</si>
  <si>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</si>
  <si>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</si>
  <si>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</si>
  <si>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</si>
  <si>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</si>
  <si>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</si>
  <si>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</si>
  <si>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</si>
  <si>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</si>
  <si>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</si>
  <si>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</si>
  <si>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</si>
  <si>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</si>
  <si>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</si>
  <si>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</si>
  <si>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</si>
  <si>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</si>
  <si>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</si>
  <si>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</si>
  <si>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</si>
  <si>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</si>
  <si>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</si>
  <si>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</si>
  <si>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</si>
  <si>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</si>
  <si>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</si>
  <si>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</si>
  <si>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</si>
  <si>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</si>
  <si>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</si>
  <si>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</si>
  <si>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</si>
  <si>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</si>
  <si>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</si>
  <si>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</si>
  <si>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</si>
  <si>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</si>
  <si>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</si>
  <si>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</si>
  <si>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</si>
  <si>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</si>
  <si>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</si>
  <si>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</si>
  <si>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</si>
  <si>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</si>
  <si>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</si>
  <si>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</si>
  <si>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</si>
  <si>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</si>
  <si>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</si>
  <si>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</si>
  <si>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</si>
  <si>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</si>
  <si>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</si>
  <si>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</si>
  <si>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</si>
  <si>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</si>
  <si>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</si>
  <si>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</si>
  <si>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</si>
  <si>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</si>
  <si>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</si>
  <si>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</si>
  <si>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</si>
  <si>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</si>
  <si>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</si>
  <si>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</si>
  <si>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</si>
  <si>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</si>
  <si>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</si>
  <si>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</si>
  <si>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</si>
  <si>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</si>
  <si>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</si>
  <si>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</si>
  <si>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</si>
  <si>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</si>
  <si>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</si>
  <si>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</si>
  <si>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</si>
  <si>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</si>
  <si>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</si>
  <si>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</si>
  <si>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</si>
  <si>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</si>
  <si>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</si>
  <si>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</si>
  <si>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</si>
  <si>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</si>
  <si>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</si>
  <si>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</si>
  <si>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</si>
  <si>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</si>
  <si>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</si>
  <si>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</si>
  <si>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</si>
  <si>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</si>
  <si>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</si>
  <si>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</si>
  <si>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</si>
  <si>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</si>
  <si>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</si>
  <si>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</si>
  <si>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</si>
  <si>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</si>
  <si>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</si>
  <si>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</si>
  <si>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</si>
  <si>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</si>
  <si>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</si>
  <si>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</si>
  <si>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</si>
  <si>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</si>
  <si>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</si>
  <si>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</si>
  <si>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</si>
  <si>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</si>
  <si>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</si>
  <si>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</si>
  <si>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</si>
  <si>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</si>
  <si>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</si>
  <si>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</si>
  <si>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</si>
  <si>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</si>
  <si>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</si>
  <si>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</si>
  <si>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</si>
  <si>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</si>
  <si>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</si>
  <si>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</si>
  <si>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</si>
  <si>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</si>
  <si>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</si>
  <si>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</si>
  <si>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</si>
  <si>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</si>
  <si>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</si>
  <si>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</si>
  <si>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</si>
  <si>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</si>
  <si>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</si>
  <si>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</si>
  <si>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</si>
  <si>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</si>
  <si>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</si>
  <si>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</si>
  <si>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</si>
  <si>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</si>
  <si>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</si>
  <si>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</si>
  <si>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</si>
  <si>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</si>
  <si>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</si>
  <si>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</si>
  <si>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</si>
  <si>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</si>
  <si>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</si>
  <si>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</si>
  <si>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</si>
  <si>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</si>
  <si>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</si>
  <si>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</si>
  <si>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</si>
  <si>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</si>
  <si>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</si>
  <si>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</si>
  <si>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</si>
  <si>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</si>
  <si>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</si>
  <si>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</si>
  <si>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</si>
  <si>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</si>
  <si>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</si>
  <si>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</si>
  <si>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</si>
  <si>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</si>
  <si>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</si>
  <si>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</si>
  <si>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</si>
  <si>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</si>
  <si>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</si>
  <si>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</si>
  <si>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</si>
  <si>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</si>
  <si>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</si>
  <si>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</si>
  <si>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</si>
  <si>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</si>
  <si>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</si>
  <si>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</si>
  <si>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</si>
  <si>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</si>
  <si>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</si>
  <si>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</si>
  <si>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</si>
  <si>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</si>
  <si>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</si>
  <si>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</si>
  <si>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</si>
  <si>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</si>
  <si>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</si>
  <si>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</si>
  <si>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</si>
  <si>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</si>
  <si>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</si>
  <si>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</si>
  <si>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</si>
  <si>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</si>
  <si>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</si>
  <si>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</si>
  <si>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</si>
  <si>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</si>
  <si>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</si>
  <si>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</si>
  <si>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</si>
  <si>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</si>
  <si>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</si>
  <si>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</si>
  <si>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</si>
  <si>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</si>
  <si>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</si>
  <si>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</si>
  <si>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</si>
  <si>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</si>
  <si>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</si>
  <si>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</si>
  <si>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</si>
  <si>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</si>
  <si>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</si>
  <si>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</si>
  <si>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</si>
  <si>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</si>
  <si>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</si>
  <si>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</si>
  <si>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</si>
  <si>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</si>
  <si>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</si>
  <si>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</si>
  <si>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</si>
  <si>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</si>
  <si>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</si>
  <si>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</si>
  <si>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</si>
  <si>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</si>
  <si>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</si>
  <si>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</si>
  <si>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</si>
  <si>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</si>
  <si>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</si>
  <si>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</si>
  <si>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</si>
  <si>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</si>
  <si>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</si>
  <si>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</si>
  <si>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</si>
  <si>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</si>
  <si>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</si>
  <si>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</si>
  <si>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</si>
  <si>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</si>
  <si>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</si>
  <si>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</si>
  <si>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</si>
  <si>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</si>
  <si>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</si>
  <si>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</si>
  <si>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</si>
  <si>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</si>
  <si>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</si>
  <si>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</si>
  <si>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</si>
  <si>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</si>
  <si>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</si>
  <si>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</si>
  <si>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</si>
  <si>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</si>
  <si>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</si>
  <si>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</si>
  <si>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</si>
  <si>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</si>
  <si>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</si>
  <si>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</si>
  <si>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</si>
  <si>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</si>
  <si>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</si>
  <si>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</si>
  <si>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</si>
  <si>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</si>
  <si>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</si>
  <si>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</si>
  <si>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</si>
  <si>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</si>
  <si>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</si>
  <si>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</si>
  <si>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</si>
  <si>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</si>
  <si>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</si>
  <si>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</si>
  <si>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</si>
  <si>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</si>
  <si>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</si>
  <si>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</si>
  <si>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</si>
  <si>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</si>
  <si>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</si>
  <si>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</si>
  <si>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</si>
  <si>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</si>
  <si>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</si>
  <si>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</si>
  <si>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</si>
  <si>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</si>
  <si>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</si>
  <si>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</si>
  <si>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</si>
  <si>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</si>
  <si>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</si>
  <si>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</si>
  <si>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</si>
  <si>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</si>
  <si>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</si>
  <si>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</si>
  <si>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</si>
  <si>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</si>
  <si>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</si>
  <si>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</si>
  <si>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</si>
  <si>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</si>
  <si>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</si>
  <si>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</si>
  <si>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</si>
  <si>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</si>
  <si>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</si>
  <si>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</si>
  <si>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</si>
  <si>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</si>
  <si>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</si>
  <si>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</si>
  <si>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</si>
  <si>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</si>
  <si>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</si>
  <si>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</si>
  <si>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</si>
  <si>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</si>
  <si>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</si>
  <si>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</si>
  <si>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</si>
  <si>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</si>
  <si>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</si>
  <si>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</si>
  <si>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</si>
  <si>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</si>
  <si>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</si>
  <si>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</si>
  <si>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</si>
  <si>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</si>
  <si>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</si>
  <si>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</si>
  <si>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</si>
  <si>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</si>
  <si>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</si>
  <si>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</si>
  <si>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</si>
  <si>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</si>
  <si>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</si>
  <si>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</si>
  <si>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</si>
  <si>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</si>
  <si>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</si>
  <si>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</si>
  <si>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</si>
  <si>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</si>
  <si>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</si>
  <si>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</si>
  <si>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</si>
  <si>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</si>
  <si>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</si>
  <si>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</si>
  <si>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</si>
  <si>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</si>
  <si>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</si>
  <si>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</si>
  <si>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</si>
  <si>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</si>
  <si>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</si>
  <si>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</si>
  <si>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</si>
  <si>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</si>
  <si>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</si>
  <si>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</si>
  <si>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</si>
  <si>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</si>
  <si>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</si>
  <si>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</si>
  <si>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</si>
  <si>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</si>
  <si>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</si>
  <si>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</si>
  <si>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</si>
  <si>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</si>
  <si>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</si>
  <si>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</si>
  <si>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</si>
  <si>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</si>
  <si>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</si>
  <si>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</si>
  <si>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</si>
  <si>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</si>
  <si>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</si>
  <si>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</si>
  <si>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</si>
  <si>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</si>
  <si>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</si>
  <si>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</si>
  <si>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</si>
  <si>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</si>
  <si>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</si>
  <si>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</si>
  <si>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</si>
  <si>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</si>
  <si>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</si>
  <si>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</si>
  <si>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</si>
  <si>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</si>
  <si>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</si>
  <si>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</si>
  <si>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</si>
  <si>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</si>
  <si>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</si>
  <si>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</si>
  <si>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</si>
  <si>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</si>
  <si>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</si>
  <si>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</si>
  <si>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</si>
  <si>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</si>
  <si>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</si>
  <si>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</si>
  <si>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</si>
  <si>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</si>
  <si>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</si>
  <si>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</si>
  <si>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</si>
  <si>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</si>
  <si>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</si>
  <si>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</si>
  <si>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</si>
  <si>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</si>
  <si>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</si>
  <si>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</si>
  <si>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</si>
  <si>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</si>
  <si>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</si>
  <si>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</si>
  <si>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</si>
  <si>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</si>
  <si>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</si>
  <si>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</si>
  <si>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</si>
  <si>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</si>
  <si>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</si>
  <si>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</si>
  <si>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</si>
  <si>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</si>
  <si>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</si>
  <si>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</si>
  <si>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</si>
  <si>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</si>
  <si>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</si>
  <si>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</si>
  <si>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</si>
  <si>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</si>
  <si>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</si>
  <si>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</si>
  <si>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</si>
  <si>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</si>
  <si>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</si>
  <si>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</si>
  <si>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</si>
  <si>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</si>
  <si>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</si>
  <si>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</si>
  <si>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</si>
  <si>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</si>
  <si>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</si>
  <si>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</si>
  <si>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</si>
  <si>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</si>
  <si>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</si>
  <si>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</si>
  <si>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</si>
  <si>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</si>
  <si>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</si>
  <si>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</si>
  <si>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</si>
  <si>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</si>
  <si>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</si>
  <si>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</si>
  <si>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</si>
  <si>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</si>
  <si>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</si>
  <si>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</si>
  <si>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</si>
  <si>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</si>
  <si>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</si>
  <si>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</si>
  <si>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</si>
  <si>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</si>
  <si>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</si>
  <si>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</si>
  <si>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</si>
  <si>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</si>
  <si>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</si>
  <si>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</si>
  <si>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</si>
  <si>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</si>
  <si>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</si>
  <si>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</si>
  <si>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</si>
  <si>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</si>
  <si>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</si>
  <si>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</si>
  <si>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</si>
  <si>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</si>
  <si>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</si>
  <si>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</si>
  <si>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</si>
  <si>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</si>
  <si>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</si>
  <si>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</si>
  <si>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</si>
  <si>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</si>
  <si>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</si>
  <si>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</si>
  <si>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</si>
  <si>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</si>
  <si>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</si>
  <si>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</si>
  <si>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</si>
  <si>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</si>
  <si>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</si>
  <si>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</si>
  <si>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</si>
  <si>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</si>
  <si>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</si>
  <si>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</si>
  <si>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</si>
  <si>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</si>
  <si>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</si>
  <si>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</si>
  <si>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</si>
  <si>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</si>
  <si>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</si>
  <si>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</si>
  <si>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</si>
  <si>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</si>
  <si>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</si>
  <si>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</si>
  <si>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</si>
  <si>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</si>
  <si>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</si>
  <si>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</si>
  <si>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</si>
  <si>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</si>
  <si>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</si>
  <si>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</si>
  <si>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</si>
  <si>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</si>
  <si>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</si>
  <si>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</si>
  <si>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</si>
  <si>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</si>
  <si>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</si>
  <si>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</si>
  <si>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</si>
  <si>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</si>
  <si>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</si>
  <si>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</si>
  <si>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</si>
  <si>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</si>
  <si>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</si>
  <si>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</si>
  <si>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</si>
  <si>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</si>
  <si>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</si>
  <si>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</si>
  <si>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</si>
  <si>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</si>
  <si>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</si>
  <si>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</si>
  <si>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</si>
  <si>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</si>
  <si>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</si>
  <si>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</si>
  <si>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</si>
  <si>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</si>
  <si>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</si>
  <si>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</si>
  <si>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</si>
  <si>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</si>
  <si>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</si>
  <si>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</si>
  <si>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</si>
  <si>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</si>
  <si>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</si>
  <si>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</si>
  <si>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</si>
  <si>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</si>
  <si>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</si>
  <si>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</si>
  <si>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</si>
  <si>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</si>
  <si>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</si>
  <si>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</si>
  <si>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</si>
  <si>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</si>
  <si>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</si>
  <si>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</si>
  <si>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</si>
  <si>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</si>
  <si>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</si>
  <si>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</si>
  <si>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</si>
  <si>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</si>
  <si>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</si>
  <si>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</si>
  <si>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</si>
  <si>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</si>
  <si>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</si>
  <si>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</si>
  <si>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</si>
  <si>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</si>
  <si>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</si>
  <si>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</si>
  <si>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</si>
  <si>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</si>
  <si>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</si>
  <si>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</si>
  <si>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</si>
  <si>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</si>
  <si>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</si>
  <si>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</si>
  <si>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</si>
  <si>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</si>
  <si>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抵押价格</t>
  </si>
  <si>
    <t>其他：</t>
  </si>
  <si>
    <t>企业</t>
  </si>
  <si>
    <t>城镇住宅用地</t>
    <phoneticPr fontId="6" type="noConversion"/>
  </si>
  <si>
    <t>一致</t>
  </si>
  <si>
    <t>符合</t>
  </si>
  <si>
    <t>商业</t>
  </si>
  <si>
    <t>车库</t>
  </si>
  <si>
    <t>仓储</t>
  </si>
  <si>
    <t>居住项目</t>
  </si>
  <si>
    <t>通路</t>
  </si>
  <si>
    <t>通电</t>
  </si>
  <si>
    <t>通上水</t>
  </si>
  <si>
    <t>否</t>
  </si>
  <si>
    <t>地上</t>
  </si>
  <si>
    <t>普通住宅</t>
  </si>
  <si>
    <t>住宅</t>
    <phoneticPr fontId="7" type="noConversion"/>
  </si>
  <si>
    <t>一般</t>
  </si>
  <si>
    <t>一般</t>
    <phoneticPr fontId="3" type="noConversion"/>
  </si>
  <si>
    <t>七通</t>
  </si>
  <si>
    <t>七通</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</si>
  <si>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</si>
  <si>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</si>
  <si>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</si>
  <si>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</si>
  <si>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</si>
  <si>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</si>
  <si>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</si>
  <si>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</si>
  <si>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</si>
  <si>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</si>
  <si>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</si>
  <si>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</si>
  <si>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</si>
  <si>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</si>
  <si>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</si>
  <si>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</si>
  <si>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</si>
  <si>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</si>
  <si>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</si>
  <si>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</si>
  <si>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</si>
  <si>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</si>
  <si>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</si>
  <si>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</si>
  <si>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</si>
  <si>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</si>
  <si>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</si>
  <si>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</si>
  <si>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</si>
  <si>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</si>
  <si>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</si>
  <si>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</si>
  <si>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</si>
  <si>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</si>
  <si>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</si>
  <si>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</si>
  <si>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</si>
  <si>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</si>
  <si>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</si>
  <si>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</si>
  <si>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</si>
  <si>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</si>
  <si>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土地星级</t>
  </si>
  <si>
    <t>郑州市</t>
  </si>
  <si>
    <t>住宅用地</t>
  </si>
  <si>
    <t>挂牌</t>
  </si>
  <si>
    <t>未开工</t>
  </si>
  <si>
    <t>已成交</t>
  </si>
  <si>
    <t>70年</t>
  </si>
  <si>
    <t>2019-05-16</t>
  </si>
  <si>
    <t>其他普通商品住房用地</t>
  </si>
  <si>
    <t>开工中</t>
  </si>
  <si>
    <t>2018-09-06</t>
  </si>
  <si>
    <t>较好</t>
  </si>
  <si>
    <t>比较法-住宅、综合</t>
  </si>
  <si>
    <t>剩余法-待开发</t>
  </si>
  <si>
    <t>已全部缴纳</t>
  </si>
  <si>
    <t>2018-10-12</t>
  </si>
  <si>
    <t>楼面地价</t>
  </si>
  <si>
    <t>综合用地(含住宅)</t>
  </si>
  <si>
    <t>推出楼面价(除保障房)(元/㎡)</t>
  </si>
  <si>
    <t>经一路东、明鸿路南</t>
  </si>
  <si>
    <t>金水区</t>
  </si>
  <si>
    <t>郑政出*〔2019〕*78号(网)</t>
  </si>
  <si>
    <t>城镇住宅(地下交通服务场站用地)</t>
  </si>
  <si>
    <t>＞1.0,*＜3.3</t>
  </si>
  <si>
    <t>&amp;lt;25%</t>
  </si>
  <si>
    <t>&amp;lt;60米</t>
  </si>
  <si>
    <t>2019-09-11</t>
  </si>
  <si>
    <t>2019-10-08</t>
  </si>
  <si>
    <t>2019-10-21</t>
  </si>
  <si>
    <t>郑国土资交易告字〔2019〕72号</t>
  </si>
  <si>
    <t>河南常绿卓屹置业有限公司</t>
  </si>
  <si>
    <t>70(地下50)</t>
  </si>
  <si>
    <t>4星</t>
  </si>
  <si>
    <t>杓袁南路北、杓袁东路西</t>
  </si>
  <si>
    <t>郑政出(2019)71号(网)</t>
  </si>
  <si>
    <t>＞1.1,＜2.9</t>
  </si>
  <si>
    <t>&amp;lt;25</t>
  </si>
  <si>
    <t>&amp;lt;56</t>
  </si>
  <si>
    <t>限地价,熔断</t>
  </si>
  <si>
    <t>2019-08-30</t>
  </si>
  <si>
    <t>2019-09-19</t>
  </si>
  <si>
    <t>2019-10-09</t>
  </si>
  <si>
    <t>郑国土资交易告字〔2019〕68号-1</t>
  </si>
  <si>
    <t>郑州保利亨业房地产开发有限公司</t>
  </si>
  <si>
    <t>金宝路南、经五街西</t>
  </si>
  <si>
    <t>郑政出〔2019〕67号(网)</t>
  </si>
  <si>
    <t>＞1.0,＜2.5</t>
  </si>
  <si>
    <t>&amp;lt;50</t>
  </si>
  <si>
    <t>2019-08-04</t>
  </si>
  <si>
    <t>2019-08-26</t>
  </si>
  <si>
    <t>2019-09-09</t>
  </si>
  <si>
    <t>郑国土资交易告字〔2019〕62号</t>
  </si>
  <si>
    <t>郑州益通汇泓房地产有限公司</t>
  </si>
  <si>
    <t>红旗路北、经一路西</t>
  </si>
  <si>
    <t>郑政出〔2019〕66号(网)</t>
  </si>
  <si>
    <t>城镇住宅(地下交通服务场站)</t>
  </si>
  <si>
    <t>＞1.1,＜5</t>
  </si>
  <si>
    <t>&amp;lt;100</t>
  </si>
  <si>
    <t>2019-07-26</t>
  </si>
  <si>
    <t>2019-08-15</t>
  </si>
  <si>
    <t>2019-08-29</t>
  </si>
  <si>
    <t>郑高国土交易告字〔2019〕6号</t>
  </si>
  <si>
    <t>郑州新大观置业有限公司</t>
  </si>
  <si>
    <t>5星</t>
  </si>
  <si>
    <t>红旗路北、经二路西</t>
  </si>
  <si>
    <t>郑政出〔2019〕60号(网)</t>
  </si>
  <si>
    <t>≤100米</t>
  </si>
  <si>
    <t>2019-07-23</t>
  </si>
  <si>
    <t>2019-08-12</t>
  </si>
  <si>
    <t>郑国土资交易告字〔2019〕59号</t>
  </si>
  <si>
    <t>沙口路东、农业路北</t>
  </si>
  <si>
    <t>郑政出〔2019〕63号(网)</t>
  </si>
  <si>
    <t>＞1.1,＜5.2</t>
  </si>
  <si>
    <t>郑州盛德房地产开发有限公司</t>
  </si>
  <si>
    <t>农业路北、东明路东</t>
  </si>
  <si>
    <t>郑政出〔2019〕49号(网)</t>
  </si>
  <si>
    <t>商务金融兼容城镇住宅(地下为交通服务场站)</t>
  </si>
  <si>
    <t>＞1.0,＜5.8</t>
  </si>
  <si>
    <t>&amp;lt;30%</t>
  </si>
  <si>
    <t>2019-05-31</t>
  </si>
  <si>
    <t>2019-06-20</t>
  </si>
  <si>
    <t>2019-07-04</t>
  </si>
  <si>
    <t>郑国土资交易告字〔2019〕46号</t>
  </si>
  <si>
    <t>河南尚建置业有限公司</t>
  </si>
  <si>
    <t>40、70(地下50)</t>
  </si>
  <si>
    <t>永兴路南、慧科环路西</t>
  </si>
  <si>
    <t>郑政出〔2019〕47号(网)</t>
  </si>
  <si>
    <t>＞1.0,＜2.6</t>
  </si>
  <si>
    <t>2019-04-26</t>
  </si>
  <si>
    <t>2019-05-30</t>
  </si>
  <si>
    <t>郑国土资交易告字〔2019〕42号</t>
  </si>
  <si>
    <t>河南万林置业有限公司</t>
  </si>
  <si>
    <t>3星</t>
  </si>
  <si>
    <t>鸿业路北、任庄路东</t>
  </si>
  <si>
    <t>郑政出〔2019〕31号(网)</t>
  </si>
  <si>
    <t>＞1.1,＜1.7</t>
  </si>
  <si>
    <t>2019-03-13</t>
  </si>
  <si>
    <t>2019-04-02</t>
  </si>
  <si>
    <t>2019-04-17</t>
  </si>
  <si>
    <t>郑国土资交易告字〔2019〕30号</t>
  </si>
  <si>
    <t>河南省天伦乐居置业有限公司</t>
  </si>
  <si>
    <t>70(50)</t>
  </si>
  <si>
    <t>鸿发路北、博学路东</t>
  </si>
  <si>
    <t>郑政出〔2019〕29号(网)</t>
  </si>
  <si>
    <t>＞1.1,＜2.0</t>
  </si>
  <si>
    <t>2019-03-09</t>
  </si>
  <si>
    <t>2019-03-29</t>
  </si>
  <si>
    <t>2019-04-15</t>
  </si>
  <si>
    <t>郑国土资交易告字〔2019〕28号</t>
  </si>
  <si>
    <t>河南协广置业有限公司</t>
  </si>
  <si>
    <t>魏河南路南、桑叶路西</t>
  </si>
  <si>
    <t>郑政出〔2019〕18号(网)</t>
  </si>
  <si>
    <t>城镇住宅</t>
  </si>
  <si>
    <t>＞1.0,＜3.5</t>
  </si>
  <si>
    <t>≤25%</t>
  </si>
  <si>
    <t>2019-02-14</t>
  </si>
  <si>
    <t>2019-03-06</t>
  </si>
  <si>
    <t>2019-03-20</t>
  </si>
  <si>
    <t>郑国土资交易告字〔2019〕20号-2</t>
  </si>
  <si>
    <t>郑州市金水建设综合开发有限公司</t>
  </si>
  <si>
    <t>翰林路南、长安路东</t>
  </si>
  <si>
    <t>郑政出〔2019〕17号(网)</t>
  </si>
  <si>
    <t>郑国土资交易告字〔2019〕20号-1</t>
  </si>
  <si>
    <t>郑港辅路西、鸿宝路北</t>
  </si>
  <si>
    <t>郑政出〔2019〕15号(网)</t>
  </si>
  <si>
    <t>＞1.0,＜2</t>
  </si>
  <si>
    <t>&amp;lt;94</t>
  </si>
  <si>
    <t>2019-02-13</t>
  </si>
  <si>
    <t>2019-03-05</t>
  </si>
  <si>
    <t>2019-03-19</t>
  </si>
  <si>
    <t>郑国土资交易告字〔2019〕19号</t>
  </si>
  <si>
    <t>河南居悦置业有限公司</t>
  </si>
  <si>
    <t>景怡路北、贺庄新街东</t>
  </si>
  <si>
    <t>郑政出2019〕3号(网)</t>
  </si>
  <si>
    <t>城镇住宅(地下为交通服务场站)</t>
  </si>
  <si>
    <t>＞1.1,＜2.4</t>
  </si>
  <si>
    <t>≤30米</t>
  </si>
  <si>
    <t>2019-01-11</t>
  </si>
  <si>
    <t>2019-01-31</t>
  </si>
  <si>
    <t>2019-02-20</t>
  </si>
  <si>
    <t>郑国土资交易告字〔2019〕3号</t>
  </si>
  <si>
    <t>河南水投土地开发有限公司</t>
  </si>
  <si>
    <t>2星</t>
  </si>
  <si>
    <t>三全路南、园田北路东</t>
  </si>
  <si>
    <t>郑政出〔2018〕183号(网)</t>
  </si>
  <si>
    <t>＞1.1,＜4.9</t>
  </si>
  <si>
    <t>&amp;lt;100米</t>
  </si>
  <si>
    <t>2018-12-18</t>
  </si>
  <si>
    <t>2019-01-08</t>
  </si>
  <si>
    <t>2019-01-22</t>
  </si>
  <si>
    <t>郑国土资交易告字[2018]120号</t>
  </si>
  <si>
    <t>河南瀚宇天悦城置业有限公司</t>
  </si>
  <si>
    <t>丰庆北路东、新龙路南</t>
  </si>
  <si>
    <t>郑政出〔2018〕177号(网)</t>
  </si>
  <si>
    <t>住宅,交通服务场站</t>
  </si>
  <si>
    <t>＞1.1,＜4.2</t>
  </si>
  <si>
    <t>2018-12-07</t>
  </si>
  <si>
    <t>2018-12-28</t>
  </si>
  <si>
    <t>2019-01-14</t>
  </si>
  <si>
    <t>郑国土资交易告字[2018]117号</t>
  </si>
  <si>
    <t>郑州华瑞紫颖置业有限公司</t>
  </si>
  <si>
    <t>70年,40年</t>
  </si>
  <si>
    <t>农场路东、鸿业路北</t>
  </si>
  <si>
    <t>郑政出〔2018〕176号(网)</t>
  </si>
  <si>
    <t>＞1.1,＜1.3</t>
  </si>
  <si>
    <t>&amp;lt;28%</t>
  </si>
  <si>
    <t>&amp;lt;30米</t>
  </si>
  <si>
    <t>河南鸿宝集团有限公司</t>
  </si>
  <si>
    <t>70年,50年</t>
  </si>
  <si>
    <t>杓袁中二街西、杓袁北路南</t>
  </si>
  <si>
    <t>郑政出〔2018〕159号(网)</t>
  </si>
  <si>
    <t>＞1.1,＜3.8</t>
  </si>
  <si>
    <t>2018-11-23</t>
  </si>
  <si>
    <t>2018-12-13</t>
  </si>
  <si>
    <t>2018-12-27</t>
  </si>
  <si>
    <t>郑国土资交易告字〔2018〕110号</t>
  </si>
  <si>
    <t>郑州保利房地产开发有限公司</t>
  </si>
  <si>
    <t>景怡路北、新庄东路东</t>
  </si>
  <si>
    <t>郑政出〔2018〕160号(网)</t>
  </si>
  <si>
    <t>河南兴伟置业有限公司</t>
  </si>
  <si>
    <t>马林西路西、杨金路北</t>
  </si>
  <si>
    <t>郑政出〔2018〕127号(网)</t>
  </si>
  <si>
    <t>＞1.1,＜2.5</t>
  </si>
  <si>
    <t>2018-09-22</t>
  </si>
  <si>
    <t>2018-10-26</t>
  </si>
  <si>
    <t>郑国土资交易告字〔2018〕87号-3</t>
  </si>
  <si>
    <t>河南远威置业有限公司</t>
  </si>
  <si>
    <t>丰产路北、政七街西</t>
  </si>
  <si>
    <t>郑政出〔2018〕111号(网)</t>
  </si>
  <si>
    <t>商务金融兼容零售商业、餐饮、旅馆城镇住宅</t>
  </si>
  <si>
    <t>≥1,≤6.9</t>
  </si>
  <si>
    <t>≤56%</t>
  </si>
  <si>
    <t>140米</t>
  </si>
  <si>
    <t>2018-08-29</t>
  </si>
  <si>
    <t>2018-09-18</t>
  </si>
  <si>
    <t>2018-10-08</t>
  </si>
  <si>
    <t>郑国土资交易告字〔2018〕83号</t>
  </si>
  <si>
    <t>河南大树置业有限公司</t>
  </si>
  <si>
    <t>住宅70年,商业40年</t>
  </si>
  <si>
    <t>杓袁北路南、杓袁东路东</t>
  </si>
  <si>
    <t>郑政出〔2018〕108(网)</t>
  </si>
  <si>
    <t>＞1.1,＜3</t>
  </si>
  <si>
    <t>&amp;lt;56米</t>
  </si>
  <si>
    <t>2018-08-16</t>
  </si>
  <si>
    <t>2018-09-20</t>
  </si>
  <si>
    <t>郑国土资交易告字[2018]80号</t>
  </si>
  <si>
    <t>杓袁北路北、杓袁东路东</t>
  </si>
  <si>
    <t>郑政出〔2018〕107(网)</t>
  </si>
  <si>
    <t>&amp;lt;48米</t>
  </si>
  <si>
    <t>国泰北路北、中州大道西</t>
  </si>
  <si>
    <t>郑政出〔2018〕106(网)</t>
  </si>
  <si>
    <t>&amp;lt;34%</t>
  </si>
  <si>
    <t>2018-08-10</t>
  </si>
  <si>
    <t>2018-08-31</t>
  </si>
  <si>
    <t>2018-09-14</t>
  </si>
  <si>
    <t>郑国土资交易告字[2018]77号</t>
  </si>
  <si>
    <t>河南中永置业有限公司</t>
  </si>
  <si>
    <t>冉屯北路东、农业路北</t>
  </si>
  <si>
    <t>郑政出〔2018〕82号(网)</t>
  </si>
  <si>
    <t>综合用地</t>
  </si>
  <si>
    <t>＞1,＜5.5</t>
  </si>
  <si>
    <t>2018-06-11</t>
  </si>
  <si>
    <t>2018-07-02</t>
  </si>
  <si>
    <t>2018-07-16</t>
  </si>
  <si>
    <t>郑国土资交易告字[2018]53号-1</t>
  </si>
  <si>
    <t>河南鑫利置业有限公司</t>
  </si>
  <si>
    <t>绿荫路东、新庄路北</t>
  </si>
  <si>
    <t>郑政出〔2018〕74(网)</t>
  </si>
  <si>
    <t>2018-06-07</t>
  </si>
  <si>
    <t>2018-06-28</t>
  </si>
  <si>
    <t>2018-07-11</t>
  </si>
  <si>
    <t>郑国土资交易告字[2018]51号-4</t>
  </si>
  <si>
    <t>郑州高新碧桂园房地产开发有限公司</t>
  </si>
  <si>
    <t>鸿业路北、任庄路西</t>
  </si>
  <si>
    <t>郑政出〔2018〕66号(网)</t>
  </si>
  <si>
    <t>＞1.1且＜2.4</t>
  </si>
  <si>
    <t>85米</t>
  </si>
  <si>
    <t>2018-05-19</t>
  </si>
  <si>
    <t>2018-06-08</t>
  </si>
  <si>
    <t>2018-06-25</t>
  </si>
  <si>
    <t>郑国土资交易告字〔2018〕49号-1</t>
  </si>
  <si>
    <t>住宅70年</t>
  </si>
  <si>
    <t>郑政出〔2018〕67号(网)</t>
  </si>
  <si>
    <t>＞1.1且＜2.5</t>
  </si>
  <si>
    <t>88米</t>
  </si>
  <si>
    <t>郑国土资交易告字〔2018〕49号-2</t>
  </si>
  <si>
    <t>丰产路南、政六街西</t>
  </si>
  <si>
    <t>郑政出〔2018〕63号(网)地块</t>
  </si>
  <si>
    <t>&amp;lt;28</t>
  </si>
  <si>
    <t>100米</t>
  </si>
  <si>
    <t>2018-05-04</t>
  </si>
  <si>
    <t>2018-05-24</t>
  </si>
  <si>
    <t>郑国土资交易告字〔2018〕42号</t>
  </si>
  <si>
    <t>郑政出〔2018〕56号(网)</t>
  </si>
  <si>
    <t>＞1.1且＜5.6</t>
  </si>
  <si>
    <t>&amp;lt;20%</t>
  </si>
  <si>
    <t>2018-03-26</t>
  </si>
  <si>
    <t>2018-04-13</t>
  </si>
  <si>
    <t>2018-04-27</t>
  </si>
  <si>
    <t>郑国土资交易告字[2018]29号-4</t>
  </si>
  <si>
    <t>河南省郑州市金水区</t>
    <phoneticPr fontId="6" type="noConversion"/>
  </si>
  <si>
    <t>王鹏</t>
  </si>
  <si>
    <t>河南常绿卓屹置业有限公司</t>
    <phoneticPr fontId="6" type="noConversion"/>
  </si>
  <si>
    <t>四川信托</t>
    <phoneticPr fontId="6" type="noConversion"/>
  </si>
  <si>
    <t>通下水</t>
  </si>
  <si>
    <t>通热</t>
  </si>
  <si>
    <t>燃气</t>
  </si>
  <si>
    <t>场地未平整</t>
  </si>
  <si>
    <t>有待拆除建筑物</t>
    <phoneticPr fontId="6" type="noConversion"/>
  </si>
  <si>
    <t>平整</t>
  </si>
  <si>
    <t>独立商业</t>
  </si>
  <si>
    <t>地下</t>
  </si>
  <si>
    <t>商业</t>
    <phoneticPr fontId="7" type="noConversion"/>
  </si>
  <si>
    <t>地下车库</t>
    <phoneticPr fontId="7" type="noConversion"/>
  </si>
  <si>
    <t>售价</t>
  </si>
  <si>
    <t>金水区</t>
    <phoneticPr fontId="3" type="noConversion"/>
  </si>
  <si>
    <t>正常</t>
  </si>
  <si>
    <t>住宅</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</si>
  <si>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</si>
  <si>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</si>
  <si>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</si>
  <si>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</si>
  <si>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</si>
  <si>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</si>
  <si>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60-70（含）</t>
  </si>
  <si>
    <t>未来花园、聂庄嘉苑、金水花园</t>
    <phoneticPr fontId="21" type="noConversion"/>
  </si>
  <si>
    <t>河南中医药大学、郑州之林</t>
    <phoneticPr fontId="21" type="noConversion"/>
  </si>
  <si>
    <t>河南省肿瘤医院、</t>
    <phoneticPr fontId="21" type="noConversion"/>
  </si>
  <si>
    <r>
      <rPr>
        <sz val="11"/>
        <rFont val="宋体"/>
        <family val="3"/>
        <charset val="134"/>
      </rPr>
      <t>地铁</t>
    </r>
    <r>
      <rPr>
        <sz val="11"/>
        <rFont val="Arial"/>
        <family val="2"/>
      </rPr>
      <t>1</t>
    </r>
    <r>
      <rPr>
        <sz val="11"/>
        <rFont val="宋体"/>
        <family val="3"/>
        <charset val="134"/>
      </rPr>
      <t>号线</t>
    </r>
    <phoneticPr fontId="21" type="noConversion"/>
  </si>
  <si>
    <r>
      <rPr>
        <sz val="11"/>
        <rFont val="宋体"/>
        <family val="3"/>
        <charset val="134"/>
      </rPr>
      <t>地铁</t>
    </r>
    <r>
      <rPr>
        <sz val="11"/>
        <rFont val="Arial"/>
        <family val="2"/>
      </rPr>
      <t>2</t>
    </r>
    <r>
      <rPr>
        <sz val="11"/>
        <rFont val="宋体"/>
        <family val="3"/>
        <charset val="134"/>
      </rPr>
      <t>号线</t>
    </r>
    <phoneticPr fontId="21" type="noConversion"/>
  </si>
  <si>
    <t>钢混</t>
  </si>
  <si>
    <t>钢混</t>
    <phoneticPr fontId="21" type="noConversion"/>
  </si>
  <si>
    <t>高层</t>
  </si>
  <si>
    <t>高层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</si>
  <si>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</si>
  <si>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</si>
  <si>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</si>
  <si>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</si>
  <si>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</si>
  <si>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</si>
  <si>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</si>
  <si>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不动产收益法-车库</t>
  </si>
  <si>
    <t>土地（套用方法）</t>
  </si>
  <si>
    <t>自定义</t>
  </si>
  <si>
    <t>按租金收入计税</t>
  </si>
  <si>
    <t>不动产收益法-商业</t>
  </si>
  <si>
    <t>押一</t>
  </si>
  <si>
    <r>
      <rPr>
        <sz val="10"/>
        <color indexed="8"/>
        <rFont val="宋体"/>
        <family val="3"/>
        <charset val="134"/>
      </rPr>
      <t>车位万元</t>
    </r>
    <r>
      <rPr>
        <sz val="10"/>
        <color indexed="8"/>
        <rFont val="Arial"/>
        <family val="2"/>
      </rPr>
      <t>/</t>
    </r>
    <r>
      <rPr>
        <sz val="10"/>
        <color indexed="8"/>
        <rFont val="宋体"/>
        <family val="3"/>
        <charset val="134"/>
      </rPr>
      <t>个</t>
    </r>
    <phoneticPr fontId="15" type="noConversion"/>
  </si>
  <si>
    <t>金水区</t>
    <phoneticPr fontId="3" type="noConversion"/>
  </si>
  <si>
    <t>二七区</t>
    <phoneticPr fontId="3" type="noConversion"/>
  </si>
  <si>
    <t>高新区</t>
    <phoneticPr fontId="3" type="noConversion"/>
  </si>
  <si>
    <t>白荣路东、芦庄路北</t>
    <phoneticPr fontId="26" type="noConversion"/>
  </si>
  <si>
    <t>住宅</t>
    <phoneticPr fontId="26" type="noConversion"/>
  </si>
  <si>
    <t>红梅街南、川杨路西</t>
    <phoneticPr fontId="26" type="noConversion"/>
  </si>
  <si>
    <t>较规则</t>
  </si>
  <si>
    <t>较规则</t>
    <phoneticPr fontId="26" type="noConversion"/>
  </si>
  <si>
    <t>较适宜</t>
  </si>
  <si>
    <t>较适宜</t>
    <phoneticPr fontId="26" type="noConversion"/>
  </si>
  <si>
    <t>较好</t>
    <phoneticPr fontId="3" type="noConversion"/>
  </si>
  <si>
    <t>一级</t>
    <phoneticPr fontId="26" type="noConversion"/>
  </si>
  <si>
    <t>二级</t>
    <phoneticPr fontId="26" type="noConversion"/>
  </si>
  <si>
    <t>三级</t>
    <phoneticPr fontId="26" type="noConversion"/>
  </si>
  <si>
    <t>四级</t>
    <phoneticPr fontId="26" type="noConversion"/>
  </si>
  <si>
    <t>金水区经一路东、明鸿路南</t>
    <phoneticPr fontId="6" type="noConversion"/>
  </si>
  <si>
    <t>请录依据文件名称：《郑州市城市基础设施配套费征收管理办法》（郑政文〔2017〕100号</t>
    <phoneticPr fontId="3" type="noConversion"/>
  </si>
  <si>
    <t>为估价对象</t>
    <phoneticPr fontId="3" type="noConversion"/>
  </si>
  <si>
    <t>为选取案例</t>
    <phoneticPr fontId="3" type="noConversion"/>
  </si>
  <si>
    <t>落樱街南、雨蕉路东、滨河路北、秋罗路西</t>
  </si>
  <si>
    <t>高新区</t>
  </si>
  <si>
    <t>郑政高出〔2019〕28号(网)</t>
  </si>
  <si>
    <t>城镇住宅用地(地下交通服务场站用地)</t>
  </si>
  <si>
    <t>＞1.1,＜2.7</t>
  </si>
  <si>
    <t>2019-09-13</t>
  </si>
  <si>
    <t>郑高国土交易告字〔2019〕10号-1</t>
  </si>
  <si>
    <t>河南康桥美景房地产开发有限责任公司</t>
  </si>
  <si>
    <t>城镇住宅70(地下50)</t>
  </si>
  <si>
    <t>冬青街南、雪松路西</t>
  </si>
  <si>
    <t>郑政高出〔2019〕26号(网)</t>
  </si>
  <si>
    <t>零售商业、批发市场、餐饮、旅馆用地兼容城镇住宅用地(地下交通服务场站用地)</t>
  </si>
  <si>
    <t>＜5.0</t>
  </si>
  <si>
    <t>&amp;lt;45%</t>
  </si>
  <si>
    <t>2019-08-24</t>
  </si>
  <si>
    <t>2019-09-16</t>
  </si>
  <si>
    <t>2019-09-29</t>
  </si>
  <si>
    <t>郑高国土交易告字〔2019〕9号</t>
  </si>
  <si>
    <t>河南朗泰置业有限公司</t>
  </si>
  <si>
    <t>零售商业、批发市场、餐饮、旅馆40、城镇住宅70(地下交通服务场站50)</t>
  </si>
  <si>
    <t>宏达街南、西三环北延东</t>
  </si>
  <si>
    <t>郑政高出〔2019〕25号(网)</t>
  </si>
  <si>
    <t>住宅,商业,金融</t>
  </si>
  <si>
    <t>＞1.0,＜3.4</t>
  </si>
  <si>
    <t>河南荣田房地产开发有限公司</t>
  </si>
  <si>
    <t>城镇住宅70、零售商业、批发市场、餐饮、旅馆、商务金融40(地下交通服务场站50)</t>
  </si>
  <si>
    <t>冬青街北、石楠路东</t>
  </si>
  <si>
    <t>郑政高出〔2019〕27号(网)</t>
  </si>
  <si>
    <t>＞1.1,＜4.0</t>
  </si>
  <si>
    <t>&amp;lt;23%</t>
  </si>
  <si>
    <t>城镇住宅70(地下交通服务场站50)</t>
  </si>
  <si>
    <t>金梭路东、木兰里南</t>
  </si>
  <si>
    <t>郑政高出〔2019〕21号(网)</t>
  </si>
  <si>
    <t>商务金融用地兼容零售商业、批发市场、餐饮、旅馆和城镇住宅用地(地下交通服务场站用地)</t>
  </si>
  <si>
    <t>＜3.5</t>
  </si>
  <si>
    <t>&amp;lt;80</t>
  </si>
  <si>
    <t>郑州玖仁置业有限公司</t>
  </si>
  <si>
    <t>城镇住宅70、商务金融、零售商业、批发市场、餐饮、旅馆40(地下50)</t>
  </si>
  <si>
    <t>科学大道北、瑞达路西</t>
  </si>
  <si>
    <t>郑政高出〔2019〕19号(网)</t>
  </si>
  <si>
    <t>零售商业、批发市场、餐饮、旅馆兼容城镇住宅用地(地下零售商业、批发市场、餐饮、旅馆用地和交通服务场站用地)</t>
  </si>
  <si>
    <t>＜5.1</t>
  </si>
  <si>
    <t>&amp;lt;45</t>
  </si>
  <si>
    <t>&amp;lt;200</t>
  </si>
  <si>
    <t>河南正弘高新实业公司</t>
  </si>
  <si>
    <t>零售商业、批发市场、餐饮、旅馆40、城镇住宅70(地下零售商业、批发市场、餐饮、旅馆40、交通服务场站50)</t>
  </si>
  <si>
    <t>翠竹街南、垂柳路东</t>
  </si>
  <si>
    <t>郑政高出〔2019〕16号(网)</t>
  </si>
  <si>
    <t>城镇住宅兼容零售商业、批发市场、餐饮、旅馆用地(地下交通服务场站用地)</t>
  </si>
  <si>
    <t>＞1.1,＜4.5</t>
  </si>
  <si>
    <t>2019-06-05</t>
  </si>
  <si>
    <t>2019-06-26</t>
  </si>
  <si>
    <t>2019-07-10</t>
  </si>
  <si>
    <t>郑高国土交易告字〔2019〕4号</t>
  </si>
  <si>
    <t>河南晟和祥实业有限公司</t>
  </si>
  <si>
    <t>城镇住宅70、零售商业、批发市场、餐饮、旅馆40(地下50)</t>
  </si>
  <si>
    <t>杜兰街南、红杉路西</t>
  </si>
  <si>
    <t>郑政高出〔2019〕13号(网)</t>
  </si>
  <si>
    <t>2019-05-26</t>
  </si>
  <si>
    <t>2019-06-17</t>
  </si>
  <si>
    <t>2019-07-01</t>
  </si>
  <si>
    <t>高国土交易告字〔2019〕3号</t>
  </si>
  <si>
    <t>郑州高新建设集团有限公司</t>
  </si>
  <si>
    <t>枫香街南、金柏路东</t>
  </si>
  <si>
    <t>郑政高出〔2019〕11号(网)</t>
  </si>
  <si>
    <t>枫香街南、红杉路西</t>
  </si>
  <si>
    <t>郑政高出〔2019〕12号(网)</t>
  </si>
  <si>
    <t>紫檀路东、杜英街南</t>
  </si>
  <si>
    <t>郑政高出〔2019〕2号(网)</t>
  </si>
  <si>
    <t>2019-05-01</t>
  </si>
  <si>
    <t>2019-05-21</t>
  </si>
  <si>
    <t>2019-06-04</t>
  </si>
  <si>
    <t>郑高国土交易告字〔2019〕1号</t>
  </si>
  <si>
    <t>郑州融信朗悦置业有限公司</t>
  </si>
  <si>
    <t>石楠路西、冬青街北</t>
  </si>
  <si>
    <t>郑政高出〔2019〕7号(网)</t>
  </si>
  <si>
    <t>＞1.0,＜3.0</t>
  </si>
  <si>
    <t>熔断</t>
  </si>
  <si>
    <t>北京龙湖置业有限公司</t>
  </si>
  <si>
    <t>梧桐街南、梅林路东</t>
  </si>
  <si>
    <t>郑政高出〔2019〕3号(网)</t>
  </si>
  <si>
    <t>梧桐街北、梅林路东</t>
  </si>
  <si>
    <t>郑政高出〔2019〕1号(网)</t>
  </si>
  <si>
    <t>＞1.1,＜3.5</t>
  </si>
  <si>
    <t>杜英街北、红杉路西</t>
  </si>
  <si>
    <t>郑政高出〔2019〕6号(网)</t>
  </si>
  <si>
    <t>林荫北路北、思源路西</t>
  </si>
  <si>
    <t>二七区</t>
  </si>
  <si>
    <t>郑政出〔2019〕37号(网)</t>
  </si>
  <si>
    <t>限地价</t>
  </si>
  <si>
    <t>2019-04-24</t>
  </si>
  <si>
    <t>2019-05-14</t>
  </si>
  <si>
    <t>2019-05-28</t>
  </si>
  <si>
    <t>郑国土资交易告字〔2019〕39号</t>
  </si>
  <si>
    <t>郑州天地新城实业有限公司</t>
  </si>
  <si>
    <t>林荫北路南、思源路西</t>
  </si>
  <si>
    <t>郑政出〔2019〕36号(网)</t>
  </si>
  <si>
    <t>＞1.0,＜3.2</t>
  </si>
  <si>
    <t>郑少高速辅道南、景西一路东</t>
  </si>
  <si>
    <t>郑政出〔2019〕32号(网)</t>
  </si>
  <si>
    <t>郑州国控西城建设有限公司</t>
  </si>
  <si>
    <t>京广南路东、左江路北</t>
  </si>
  <si>
    <t>郑政出〔2019〕25号(网)</t>
  </si>
  <si>
    <t>＞1.1,＜3.0</t>
  </si>
  <si>
    <t>2019-03-02</t>
  </si>
  <si>
    <t>2019-03-22</t>
  </si>
  <si>
    <t>2019-04-08</t>
  </si>
  <si>
    <t>郑国土资交易告字〔2019〕24号</t>
  </si>
  <si>
    <t>郑州中贯新城置业有限公司</t>
  </si>
  <si>
    <t>芦庄路南、南岗路西</t>
  </si>
  <si>
    <t>郑政出〔2019〕16号(网)</t>
  </si>
  <si>
    <t>郑州市二七新区建设投资开发有限公司</t>
  </si>
  <si>
    <t>1星</t>
  </si>
  <si>
    <t>水磨路北、萍湖路西</t>
  </si>
  <si>
    <t>郑政出〔2019〕12号(网)</t>
  </si>
  <si>
    <t>＞1.0,＜1.6</t>
  </si>
  <si>
    <t>40米</t>
  </si>
  <si>
    <t>2019-02-02</t>
  </si>
  <si>
    <t>2019-02-25</t>
  </si>
  <si>
    <t>2019-03-11</t>
  </si>
  <si>
    <t>郑国土资交易告字〔2019〕15号</t>
  </si>
  <si>
    <t>郑州祥宁置业有限公司</t>
  </si>
  <si>
    <t>林荫南路东、同欣路南</t>
  </si>
  <si>
    <t>郑政出〔2019〕11号(网)</t>
  </si>
  <si>
    <t>住宅,商业</t>
  </si>
  <si>
    <t>＞1.0,＜1.4</t>
  </si>
  <si>
    <t>2019-01-28</t>
  </si>
  <si>
    <t>2019-02-18</t>
  </si>
  <si>
    <t>2019-03-04</t>
  </si>
  <si>
    <t>郑国土资交易告字〔2019〕8号</t>
  </si>
  <si>
    <t>郑州高屋置业有限公司</t>
  </si>
  <si>
    <t>思源路南、景中路西</t>
  </si>
  <si>
    <t>郑政出〔2019〕10号(网)</t>
  </si>
  <si>
    <t>＞1.0,＜2.0</t>
  </si>
  <si>
    <t>代庄南街北、行云路东</t>
  </si>
  <si>
    <t>郑政出〔2019〕4号(网)</t>
  </si>
  <si>
    <t>城镇住宅兼容零售商业、餐饮、旅馆、商务金融(地下交通服务场站用地)</t>
  </si>
  <si>
    <t>＞1.1,＜6.1</t>
  </si>
  <si>
    <t>&amp;gt;25%</t>
  </si>
  <si>
    <t>&amp;lt;120</t>
  </si>
  <si>
    <t>2019-01-17</t>
  </si>
  <si>
    <t>2019-02-11</t>
  </si>
  <si>
    <t>郑国土资交易告字〔2019〕5号</t>
  </si>
  <si>
    <t>郑州市名川房地产开发有限公司</t>
  </si>
  <si>
    <t>70/40</t>
  </si>
  <si>
    <t>三官中路西、芦庄路北</t>
  </si>
  <si>
    <t>郑政出〔2019〕6号(网)</t>
  </si>
  <si>
    <t>&amp;gt;35%</t>
  </si>
  <si>
    <t>&amp;lt;60</t>
  </si>
  <si>
    <t>河南正华竹桂园置业有限公司</t>
  </si>
  <si>
    <t>张魏寨路南、建云街东</t>
  </si>
  <si>
    <t>郑政出〔2019〕5号(网)</t>
  </si>
  <si>
    <t>创文路东、星海路南</t>
  </si>
  <si>
    <t>郑政出〔2018〕182号(网)</t>
  </si>
  <si>
    <t>＞1.1,＜2</t>
  </si>
  <si>
    <t>2018-12-12</t>
  </si>
  <si>
    <t>2019-01-02</t>
  </si>
  <si>
    <t>2019-01-16</t>
  </si>
  <si>
    <t>郑国土资交易告字〔2018〕118号</t>
  </si>
  <si>
    <t>河南世茂海润置业有限公司</t>
  </si>
  <si>
    <t>农场路东、鸿业路北</t>
    <phoneticPr fontId="3" type="noConversion"/>
  </si>
  <si>
    <t>红梅街南、川杨路西</t>
  </si>
  <si>
    <t>郑政出〔2018〕175号(网)</t>
  </si>
  <si>
    <t>≤20%</t>
  </si>
  <si>
    <t>80米</t>
  </si>
  <si>
    <t>郑国土资交易告字〔2018〕116号</t>
  </si>
  <si>
    <t>河南新筑置业有限公司</t>
  </si>
  <si>
    <t>南宏路南、杏园路东</t>
  </si>
  <si>
    <t>郑政出〔2018〕167号(网)</t>
  </si>
  <si>
    <t>2018-12-04</t>
  </si>
  <si>
    <t>2018-12-24</t>
  </si>
  <si>
    <t>郑国土资交易告字〔2018〕113号</t>
  </si>
  <si>
    <t>航海中路南、淮南街东</t>
  </si>
  <si>
    <t>郑政出〔2018〕141号(网)</t>
  </si>
  <si>
    <t>城镇住宅兼容零售商业、餐饮、旅馆、商务金融(地下:交通服务场站)</t>
  </si>
  <si>
    <t>＞1.1,＜6.7</t>
  </si>
  <si>
    <t>&amp;lt;32%</t>
  </si>
  <si>
    <t>150米</t>
  </si>
  <si>
    <t>2018-10-16</t>
  </si>
  <si>
    <t>2018-11-05</t>
  </si>
  <si>
    <t>2018-11-19</t>
  </si>
  <si>
    <t>郑国土资交易告字〔2018〕98号-1</t>
  </si>
  <si>
    <t>郑州名门城房地产有限公司</t>
  </si>
  <si>
    <t>70/40(地下50)</t>
  </si>
  <si>
    <t>大学南路东、张魏寨路南</t>
  </si>
  <si>
    <t>郑政出〔2018〕142号(网)</t>
  </si>
  <si>
    <t>城镇住宅(地下:交通服务场站)</t>
  </si>
  <si>
    <t>＞1.1,＜5.7</t>
  </si>
  <si>
    <t>120米</t>
  </si>
  <si>
    <t>郑国土资交易告字〔2018〕98号-2</t>
  </si>
  <si>
    <t>70/地下50</t>
  </si>
  <si>
    <t>思勤江路南、立夏路西</t>
  </si>
  <si>
    <t>郑政出〔2018〕139号(网)</t>
  </si>
  <si>
    <t>2018-10-10</t>
  </si>
  <si>
    <t>2018-10-30</t>
  </si>
  <si>
    <t>2018-11-14</t>
  </si>
  <si>
    <t>郑国土资交易告字〔2018〕96号-3</t>
  </si>
  <si>
    <t>郑州华侨城都市置业有限公司</t>
  </si>
  <si>
    <t>夏璜街北、夏至路西</t>
  </si>
  <si>
    <t>郑政出〔2018〕137号(网)</t>
  </si>
  <si>
    <t>郑国土资交易告字〔2018〕96号-1</t>
  </si>
  <si>
    <t>夏璜街南、夏至路东</t>
  </si>
  <si>
    <t>郑政出〔2018〕138号(网)</t>
  </si>
  <si>
    <t>郑国土资交易告字〔2018〕96号-2</t>
  </si>
  <si>
    <t>盛达路西南、永康路东南</t>
  </si>
  <si>
    <t>郑政出〔2018〕132号(网)</t>
  </si>
  <si>
    <t>&amp;lt;100%</t>
  </si>
  <si>
    <t>郑国土资交易告字〔2018〕89号-4</t>
  </si>
  <si>
    <t>郑州市二七城乡建设有限公司</t>
  </si>
  <si>
    <t>宝溪路西南、永康路东南</t>
  </si>
  <si>
    <t>郑政出〔2018〕131号(网)</t>
  </si>
  <si>
    <t>&amp;lt;80%</t>
  </si>
  <si>
    <t>郑国土资交易告字〔2018〕89号-3</t>
  </si>
  <si>
    <t>豫一路南、合展路东</t>
  </si>
  <si>
    <t>郑政出〔2018〕120号(网)</t>
  </si>
  <si>
    <t>2018-09-13</t>
  </si>
  <si>
    <t>2018-10-03</t>
  </si>
  <si>
    <t>2018-10-22</t>
  </si>
  <si>
    <t>郑国土资交易告字〔2018〕86号-1</t>
  </si>
  <si>
    <t>河南郑地新城土地开发有限公司</t>
  </si>
  <si>
    <t>胡杨路东、落樱街北</t>
  </si>
  <si>
    <t>郑政出〔2018〕81号(网)</t>
  </si>
  <si>
    <t>限房价,熔断</t>
  </si>
  <si>
    <t>2018-06-09</t>
  </si>
  <si>
    <t>2018-06-29</t>
  </si>
  <si>
    <t>2018-07-13</t>
  </si>
  <si>
    <t>郑国土资交易告字〔2018〕52号</t>
  </si>
  <si>
    <t>落樱街北、黄椰路东</t>
  </si>
  <si>
    <t>郑政出〔2018〕77号(网)</t>
  </si>
  <si>
    <t>&amp;lt;90</t>
  </si>
  <si>
    <t>紫苏街南、秋罗路东</t>
  </si>
  <si>
    <t>郑政出〔2018〕76号(网)</t>
  </si>
  <si>
    <t>秋罗路东、紫苏街北</t>
  </si>
  <si>
    <t>郑政出〔2018〕75号(网)</t>
  </si>
  <si>
    <t>＞1.1,＜3.1</t>
  </si>
  <si>
    <t>环保北路北、化肥西路西</t>
  </si>
  <si>
    <t>郑政出〔2018〕61(网)</t>
  </si>
  <si>
    <t>＞1且＜1.64</t>
  </si>
  <si>
    <t>2018-03-29</t>
  </si>
  <si>
    <t>2018-04-20</t>
  </si>
  <si>
    <t>2018-05-07</t>
  </si>
  <si>
    <t>郑国土资交易告字[2018]31号-3</t>
  </si>
  <si>
    <t>郑州建业高新置业有限公司</t>
  </si>
  <si>
    <t>丘寨路西、赣江路北</t>
  </si>
  <si>
    <t>郑政出〔2018〕55号(网)</t>
  </si>
  <si>
    <t>＞1且＜4.2</t>
  </si>
  <si>
    <t>&amp;lt;80米</t>
  </si>
  <si>
    <t>郑国土资交易告字[2018]29号-3</t>
  </si>
  <si>
    <t>河南鑫苑广晟置业有限公司</t>
  </si>
  <si>
    <t>水科路北、西沙路东</t>
  </si>
  <si>
    <t>郑政出【2018】41号(网)</t>
  </si>
  <si>
    <t>＞1且＜3</t>
  </si>
  <si>
    <t>2018-02-13</t>
  </si>
  <si>
    <t>2018-03-13</t>
  </si>
  <si>
    <t>郑国土资交易告字[2018]14号-8</t>
  </si>
  <si>
    <t>河南新瀚海置业有限公司</t>
  </si>
  <si>
    <t>水科路北、渠东路东</t>
  </si>
  <si>
    <t>郑政出【2018】40号(网)</t>
  </si>
  <si>
    <t>＞1且＜3.5</t>
  </si>
  <si>
    <t>郑国土资交易告字[2018]14号-7</t>
  </si>
  <si>
    <t>温馨街南、康佳路东</t>
  </si>
  <si>
    <t>郑政出〔2018〕29号(网)</t>
  </si>
  <si>
    <t>2018-02-12</t>
  </si>
  <si>
    <t>2018-03-08</t>
  </si>
  <si>
    <t>2018-03-21</t>
  </si>
  <si>
    <t>郑国土资交易告字[2018]13号-4</t>
  </si>
  <si>
    <t>公安路南、西四环东</t>
  </si>
  <si>
    <t>郑政出〔2018〕26号(网)</t>
  </si>
  <si>
    <t>郑国土资交易告字[2018]13号-1</t>
  </si>
  <si>
    <t>河南卓奥置业有限公司</t>
  </si>
  <si>
    <t>金冠路南、索凌路西</t>
  </si>
  <si>
    <t>郑政出〔2018〕22(网)</t>
  </si>
  <si>
    <t>2018-02-11</t>
  </si>
  <si>
    <t>2018-03-05</t>
  </si>
  <si>
    <t>2018-03-16</t>
  </si>
  <si>
    <t>郑国土资交易告字[2018]12号-5</t>
  </si>
  <si>
    <t>河南圣鸿置业有限公司</t>
  </si>
  <si>
    <t>国泰北路南、中州大道西</t>
  </si>
  <si>
    <t>郑政出〔2018〕21(网)</t>
  </si>
  <si>
    <t>＞1.1且＜6</t>
  </si>
  <si>
    <t>&amp;lt;35%</t>
  </si>
  <si>
    <t>郑国土资交易告字[2018]12号-4</t>
  </si>
  <si>
    <t>雄鹰路东、新荣路南</t>
  </si>
  <si>
    <t>郑政出〔2017〕120(网)</t>
  </si>
  <si>
    <t>＞1.1且＜2.7</t>
  </si>
  <si>
    <t>2017-12-29</t>
  </si>
  <si>
    <t>2018-01-19</t>
  </si>
  <si>
    <t>2018-02-01</t>
  </si>
  <si>
    <t>郑国土资交易告字[2017]97号</t>
  </si>
  <si>
    <t>鼎瑞街南、文德路西</t>
  </si>
  <si>
    <t>郑政出〔2017〕111(网)</t>
  </si>
  <si>
    <t>＞1.1且＜3.6</t>
  </si>
  <si>
    <t>郑国土资交易告字[2017]96号</t>
  </si>
  <si>
    <t>河南金岱中岳置业有限公司</t>
  </si>
  <si>
    <t>冬青街南、石楠路东</t>
  </si>
  <si>
    <t>郑政出〔2017〕116(网)</t>
  </si>
  <si>
    <t>＞1.1且＜4</t>
  </si>
  <si>
    <t>金杯路西、国基路南</t>
  </si>
  <si>
    <t>郑政出〔2017〕109(网)</t>
  </si>
  <si>
    <t>＞1且＜4</t>
  </si>
  <si>
    <t>&amp;lt;48%</t>
  </si>
  <si>
    <t>河南民信置业有限公司</t>
  </si>
  <si>
    <t>雄鹰路西、新荣路南</t>
  </si>
  <si>
    <t>郑政出〔2017〕119(网)</t>
  </si>
  <si>
    <t>＞1.1且＜3</t>
  </si>
  <si>
    <t>合欢街南、雪松路东</t>
  </si>
  <si>
    <t>郑政出〔2017〕118(网)</t>
  </si>
  <si>
    <t>合欢街北、碧桃路东</t>
  </si>
  <si>
    <t>郑政出〔2017〕117(网)</t>
  </si>
  <si>
    <t>＞1.1且＜3.9</t>
  </si>
  <si>
    <t>国基路南、长兴路东</t>
  </si>
  <si>
    <t>郑政出〔2017〕106(网)</t>
  </si>
  <si>
    <t>金牛路南、杨君路东</t>
  </si>
  <si>
    <t>郑政出〔2017〕97号(网)</t>
  </si>
  <si>
    <t>＞1且＜5.5</t>
  </si>
  <si>
    <t>2017-12-18</t>
  </si>
  <si>
    <t>2018-01-08</t>
  </si>
  <si>
    <t>郑国土资交易告字[2017]90号</t>
  </si>
  <si>
    <t>郑州市金水碧海房地产开发有限公司</t>
  </si>
  <si>
    <t>住宅70年商业40年</t>
  </si>
  <si>
    <t>黄埔路北、东沙路西</t>
  </si>
  <si>
    <t>郑政出〔2017〕96号(网)</t>
  </si>
  <si>
    <t>＞1且＜5.1</t>
  </si>
  <si>
    <t>&amp;lt;31%</t>
  </si>
  <si>
    <t>科学大道北、郁香路西</t>
  </si>
  <si>
    <t>郑政出〔2017〕93(网)</t>
  </si>
  <si>
    <t>＞1.1且＜4.5</t>
  </si>
  <si>
    <t>&amp;lt;50%</t>
  </si>
  <si>
    <t>2017-12-08</t>
  </si>
  <si>
    <t>2018-01-15</t>
  </si>
  <si>
    <t>郑国土资交易告字[2017]88号</t>
  </si>
  <si>
    <t>嵩阳路西、龙门路南</t>
  </si>
  <si>
    <t>郑政出〔2017〕85号(网)</t>
  </si>
  <si>
    <t>2017-11-22</t>
  </si>
  <si>
    <t>2017-12-13</t>
  </si>
  <si>
    <t>2017-12-26</t>
  </si>
  <si>
    <t>郑国土资交易告字[2017]80号</t>
  </si>
  <si>
    <t>河南老街坊置业有限公司</t>
  </si>
  <si>
    <t>琴韵路南、奥玛路西</t>
  </si>
  <si>
    <t>郑政出〔2017〕80号(网)</t>
  </si>
  <si>
    <t>2017-11-06</t>
  </si>
  <si>
    <t>2017-11-27</t>
  </si>
  <si>
    <t>郑国土资交易告字[2017]74号-1</t>
  </si>
  <si>
    <t>河南鑫苑全晟置业有限公司</t>
  </si>
  <si>
    <t>琴韵路南、奥玛路东</t>
  </si>
  <si>
    <t>郑政出〔2017〕81(网)</t>
  </si>
  <si>
    <t>郑国土资交易告字[2017]74号-2</t>
  </si>
  <si>
    <t>郑州云翠置业有限公司</t>
  </si>
  <si>
    <t>鼎盛大道北、望桥路东</t>
  </si>
  <si>
    <t>郑政出〔2017〕79号(网)</t>
  </si>
  <si>
    <t>2017-11-01</t>
  </si>
  <si>
    <t>2017-11-21</t>
  </si>
  <si>
    <t>2017-12-04</t>
  </si>
  <si>
    <t>郑国土资交易告字[2017]72号</t>
  </si>
  <si>
    <t>郑州晟润置业有限公司</t>
  </si>
  <si>
    <t>电厂西路东、西流湖路南</t>
  </si>
  <si>
    <t>郑政出〔2017〕77号(网)</t>
  </si>
  <si>
    <t>2017-10-31</t>
  </si>
  <si>
    <t>2017-11-20</t>
  </si>
  <si>
    <t>2017-12-01</t>
  </si>
  <si>
    <t>郑国土资交易告字[2017]71号-5</t>
  </si>
  <si>
    <t>河南荣福房地产开发有限公司</t>
  </si>
  <si>
    <t>翠竹街南、郁香路东</t>
  </si>
  <si>
    <t>郑政出〔2017〕73号(网)</t>
  </si>
  <si>
    <t>＞1且＜4.5</t>
  </si>
  <si>
    <t>郑国土资交易告字[2017]71号-1</t>
  </si>
  <si>
    <t>三峡路南、峨眉路西</t>
  </si>
  <si>
    <t>郑政出〔2017〕74号(网)</t>
  </si>
  <si>
    <t>＞1且＜5</t>
  </si>
  <si>
    <t>郑国土资交易告字[2017]71号-2</t>
  </si>
  <si>
    <t>河南上林置业有限公司</t>
  </si>
  <si>
    <t>电厂西路西、西流湖路南</t>
  </si>
  <si>
    <t>郑政出〔2017〕76号(网)</t>
  </si>
  <si>
    <t>＞1且＜6</t>
  </si>
  <si>
    <t>&amp;lt;41%</t>
  </si>
  <si>
    <t>郑国土资交易告字[2017]71号-4</t>
  </si>
  <si>
    <t>郑政出〔2017〕72号(网)</t>
  </si>
  <si>
    <t>2017-10-26</t>
  </si>
  <si>
    <t>2017-11-15</t>
  </si>
  <si>
    <t>2017-11-28</t>
  </si>
  <si>
    <t>郑国土资交易告字[2017]69号-2</t>
  </si>
  <si>
    <t>郑州元年房地产开发有限公司</t>
  </si>
  <si>
    <t>高皇路西、国基路北</t>
  </si>
  <si>
    <t>郑政出〔2017〕65号(网)</t>
  </si>
  <si>
    <t>＞1.1且＜4.8</t>
  </si>
  <si>
    <t>2017-09-22</t>
  </si>
  <si>
    <t>2017-10-13</t>
  </si>
  <si>
    <t>郑国土资交易告字[2017]62号</t>
  </si>
  <si>
    <t>郑州市瑞景置业有限公司</t>
  </si>
  <si>
    <t>杨金路北、徐庄东路西</t>
  </si>
  <si>
    <t>郑政出〔2017〕69号(网)</t>
  </si>
  <si>
    <t>＞1且＜2.5</t>
  </si>
  <si>
    <t>郑国土资交易告字[2017]63号</t>
  </si>
  <si>
    <t>郑州中鑫云谷手机科技园有限公司</t>
  </si>
  <si>
    <t>新龙路南、山桃路西</t>
  </si>
  <si>
    <t>郑政出〔2017〕63号(网)</t>
  </si>
  <si>
    <t>＞1.1且＜3.5</t>
  </si>
  <si>
    <t>&amp;lt;20</t>
  </si>
  <si>
    <t>2017-10-12</t>
  </si>
  <si>
    <t>2017-10-25</t>
  </si>
  <si>
    <t>郑国土资交易告字[2017]61号</t>
  </si>
  <si>
    <t>郑州玖智房地产开发有限公司</t>
  </si>
  <si>
    <t>池北路北、垂柳路东</t>
  </si>
  <si>
    <t>郑政出〔2017〕61号(网)</t>
  </si>
  <si>
    <t>池北路北、郁香路西</t>
  </si>
  <si>
    <t>郑政出〔2017〕62号(网)</t>
  </si>
  <si>
    <t>红松路西、枫香街北</t>
  </si>
  <si>
    <t>郑政出〔2017〕49号(网)</t>
  </si>
  <si>
    <t>2017-09-11</t>
  </si>
  <si>
    <t>2017-10-09</t>
  </si>
  <si>
    <t>2017-10-20</t>
  </si>
  <si>
    <t>郑国土资交易告字[2017]48号-1</t>
  </si>
  <si>
    <t>河南省美景之州地产开发有限公司</t>
  </si>
  <si>
    <t>凤鸣路南、凤台路西</t>
  </si>
  <si>
    <t>郑政出〔2017〕51号(网)</t>
  </si>
  <si>
    <t>&amp;lt;30</t>
  </si>
  <si>
    <t>郑国土资交易告字[2017]48号-3</t>
  </si>
  <si>
    <t>河南聚鑫元置业有限公司</t>
  </si>
  <si>
    <t>南阳路西、宋寨南街南</t>
  </si>
  <si>
    <t>郑政出〔2017〕48号(网)</t>
  </si>
  <si>
    <t>＞1且＜1.6</t>
  </si>
  <si>
    <t>2017-08-22</t>
  </si>
  <si>
    <t>2017-09-12</t>
  </si>
  <si>
    <t>2017-09-25</t>
  </si>
  <si>
    <t>郑国土资交易告字[2017]38号</t>
  </si>
  <si>
    <t>&amp;apos;河南裕华置业有限公司</t>
  </si>
  <si>
    <t>科学大道北、石楠路西</t>
  </si>
  <si>
    <t>郑政出〔2017〕47号(网)</t>
  </si>
  <si>
    <t>批发零售用地,城镇住宅用地</t>
  </si>
  <si>
    <t>&amp;lt;40</t>
  </si>
  <si>
    <t>2017-08-03</t>
  </si>
  <si>
    <t>2017-08-24</t>
  </si>
  <si>
    <t>2017-09-06</t>
  </si>
  <si>
    <t>郑国土资交易[2017]37号</t>
  </si>
  <si>
    <t>郑州金航置业有限公司</t>
  </si>
  <si>
    <t>商服40年,住宅70年</t>
  </si>
  <si>
    <t>新兴街南、金河路西</t>
  </si>
  <si>
    <t>郑政出〔2017〕44号(网)</t>
  </si>
  <si>
    <t>&amp;lt;22</t>
  </si>
  <si>
    <t>2017-07-26</t>
  </si>
  <si>
    <t>2017-08-16</t>
  </si>
  <si>
    <t>2017-08-29</t>
  </si>
  <si>
    <t>郑国土资交易[2017]35号-3</t>
  </si>
  <si>
    <t>河南民泰置业有限公司</t>
  </si>
  <si>
    <t>鸿发路南、鸿苑路西</t>
  </si>
  <si>
    <t>郑政出〔2017〕37号(网)</t>
  </si>
  <si>
    <t>&amp;lt;85</t>
  </si>
  <si>
    <t>2017-07-21</t>
  </si>
  <si>
    <t>2017-08-11</t>
  </si>
  <si>
    <t>郑国土资交易[2017]30号-1</t>
  </si>
  <si>
    <t>红梅街南、红松路西</t>
  </si>
  <si>
    <t>郑政出〔2017〕31号(网)</t>
  </si>
  <si>
    <t>城镇住宅用地</t>
  </si>
  <si>
    <t>2017-05-18</t>
  </si>
  <si>
    <t>2017-06-07</t>
  </si>
  <si>
    <t>2017-06-20</t>
  </si>
  <si>
    <t>郑国土资交易告字[2017]19号</t>
  </si>
  <si>
    <t>郑州天地康颂置业有限公司</t>
  </si>
  <si>
    <t>孟砦环路南、铁西路西</t>
  </si>
  <si>
    <t>郑政出〔2017〕29号(网)</t>
  </si>
  <si>
    <t>郑国土资交易告字[2017]17号</t>
  </si>
  <si>
    <t>河南大京江房地产发展有限公司</t>
  </si>
  <si>
    <t>兴欣路东、渠南路南</t>
  </si>
  <si>
    <t>郑政出〔2017〕25号(网)</t>
  </si>
  <si>
    <t>2017-05-11</t>
  </si>
  <si>
    <t>2017-06-01</t>
  </si>
  <si>
    <t>2017-06-14</t>
  </si>
  <si>
    <t>郑国土资交易告字[2017]13号-3</t>
  </si>
  <si>
    <t>河南亚星置业集团有限公司</t>
  </si>
  <si>
    <t>东明路东、荣欣街南</t>
  </si>
  <si>
    <t>郑政出〔2017〕28号(网)</t>
  </si>
  <si>
    <t>＞1且＜4.9</t>
  </si>
  <si>
    <t>郑国土资交易告字[2017]15号</t>
  </si>
  <si>
    <t>郑州金友房地产开发有限公司</t>
  </si>
  <si>
    <t>兴盛路东、渠南路南</t>
  </si>
  <si>
    <t>郑政出〔2017〕26号(网)</t>
  </si>
  <si>
    <t>郑国土资交易告字[2017]13号-4</t>
  </si>
  <si>
    <t>金宝路北、经五街西</t>
  </si>
  <si>
    <t>郑政出〔2017〕24号(网)</t>
  </si>
  <si>
    <t>＞1且＜2.6</t>
  </si>
  <si>
    <t>郑国土资交易告字[2017]13号-2</t>
  </si>
  <si>
    <t>白桦街北、山桃路东</t>
  </si>
  <si>
    <t>郑政出[2017]10号(网)</t>
  </si>
  <si>
    <t>2017-03-23</t>
  </si>
  <si>
    <t>2017-04-13</t>
  </si>
  <si>
    <t>2017-04-26</t>
  </si>
  <si>
    <t>郑国土资交易告字[2017]5号-1</t>
  </si>
  <si>
    <t>鸿宝南路南、姚店堤西路东</t>
  </si>
  <si>
    <t>郑政出[2017]15号(网)</t>
  </si>
  <si>
    <t>＞1且＜2.1</t>
  </si>
  <si>
    <t>&amp;gt;50且&amp;lt;59</t>
  </si>
  <si>
    <t>郑国土资交易告字[2017]5号-6</t>
  </si>
  <si>
    <t>河南金汇建设投资股份有限公司</t>
  </si>
  <si>
    <t>关庄路东、新龙路南</t>
  </si>
  <si>
    <t>郑政出[2017]8号(网)</t>
  </si>
  <si>
    <t>&amp;gt;25</t>
  </si>
  <si>
    <t>郑国土资交易告字[2017]5号-8</t>
  </si>
  <si>
    <t>关庄中街北、郁香路西</t>
  </si>
  <si>
    <t>郑政出[2017]9号(网)</t>
  </si>
  <si>
    <t>郑国土资交易告字[2017]5号-9</t>
  </si>
  <si>
    <t>垂柳路东、新龙路南</t>
  </si>
  <si>
    <t>郑政出[2017]7号(网)</t>
  </si>
  <si>
    <t>郑国土资交易告字[2017]5号-7</t>
  </si>
  <si>
    <t>永康路东、盛安路南</t>
  </si>
  <si>
    <t>郑政出[2017]1号(网)</t>
  </si>
  <si>
    <t>2017-03-06</t>
  </si>
  <si>
    <t>2017-03-27</t>
  </si>
  <si>
    <t>2017-04-12</t>
  </si>
  <si>
    <t>郑国土资交易告字[2017]3号-1</t>
  </si>
  <si>
    <t>郑州市二七城乡更新建设开发有限公司</t>
  </si>
  <si>
    <t>石苏路北、天山南路西</t>
  </si>
  <si>
    <t>郑政出[2017]3号(网)</t>
  </si>
  <si>
    <t>郑国土资交易告字[2017]3号-3</t>
  </si>
  <si>
    <t>郑州天河置业有限公司</t>
  </si>
  <si>
    <t>百荣路南、荣盛街东</t>
  </si>
  <si>
    <t>郑政出[2016]246号(网)</t>
  </si>
  <si>
    <t>2017-01-03</t>
  </si>
  <si>
    <t>2017-01-20</t>
  </si>
  <si>
    <t>2017-02-14</t>
  </si>
  <si>
    <t>郑国土资交易告字[2017]107号-22</t>
  </si>
  <si>
    <t>郑州昌原房地产开发有限公司</t>
  </si>
  <si>
    <t>玉兰街北、银屏路西</t>
  </si>
  <si>
    <t>郑政出[2016]241号(网)</t>
  </si>
  <si>
    <t>商务金融用地,兼容城镇住宅</t>
  </si>
  <si>
    <t>郑国土资交易告字[2017]107号-17</t>
  </si>
  <si>
    <t>郑州郑报豫美置业有限公司</t>
  </si>
  <si>
    <t>百荣路东、芦庄路北</t>
  </si>
  <si>
    <t>郑政出[2016]225号(网)</t>
  </si>
  <si>
    <t>2017-02-13</t>
  </si>
  <si>
    <t>郑国土资交易告字[2017]107号-2</t>
  </si>
  <si>
    <t>郑州旭辉企业管理有限公司</t>
  </si>
  <si>
    <t>三官中路东、芦庄路南</t>
  </si>
  <si>
    <t>郑政出[2016]226号(网)</t>
  </si>
  <si>
    <t>郑国土资交易告字[2017]107号-3</t>
  </si>
  <si>
    <t>建业路西、凤凰东路南</t>
  </si>
  <si>
    <t>郑政出[2016]224号(网)</t>
  </si>
  <si>
    <t>2017-02-08</t>
  </si>
  <si>
    <t>郑国土资交易告字[2017]107号-1</t>
  </si>
  <si>
    <t>河南腾威置业有限公司</t>
  </si>
  <si>
    <t>向荣路南、庆铭路西</t>
  </si>
  <si>
    <t>郑政出[2016]209号(网)</t>
  </si>
  <si>
    <t>2016-12-29</t>
  </si>
  <si>
    <t>2017-01-18</t>
  </si>
  <si>
    <t>2017-02-06</t>
  </si>
  <si>
    <t>郑国土资交易告字[2016]105号-6</t>
  </si>
  <si>
    <t>通站路南、连云路东</t>
  </si>
  <si>
    <t>郑政出[2016]211号(网)</t>
  </si>
  <si>
    <t>郑国土资交易告字[2016]105号-8</t>
  </si>
  <si>
    <t>高铁南路南、荆胡路西</t>
  </si>
  <si>
    <t>郑政出[2016]214号(网)</t>
  </si>
  <si>
    <t>郑国土资交易告字[2016]105号-11</t>
  </si>
  <si>
    <t>白桦街北、牡丹路北</t>
  </si>
  <si>
    <t>郑政出[2016]210号(网)</t>
  </si>
  <si>
    <t>＞1且＜3.1</t>
  </si>
  <si>
    <t>郑国土资交易告字[2016]105号-7</t>
  </si>
  <si>
    <t>河南省明瑞置业有限公司</t>
  </si>
  <si>
    <t>永康路东、盛嘉路南</t>
  </si>
  <si>
    <t>郑政出[2016]213号(网)</t>
  </si>
  <si>
    <t>郑国土资交易告字[2016]105号-10</t>
  </si>
  <si>
    <t>紫云路南、连云路东</t>
  </si>
  <si>
    <t>郑政出[2016]212号(网)</t>
  </si>
  <si>
    <t>郑国土资交易告字[2016]105号-9</t>
  </si>
  <si>
    <t>丘寨路东、赣江路北</t>
  </si>
  <si>
    <t>郑政出[2016]198号(网)</t>
  </si>
  <si>
    <t>商务金融用地,城镇住宅用地</t>
  </si>
  <si>
    <t>已完工</t>
  </si>
  <si>
    <t>2016-12-20</t>
  </si>
  <si>
    <t>2017-01-09</t>
  </si>
  <si>
    <t>郑国土资交易告字[2016]95号-9</t>
  </si>
  <si>
    <t>鸿宝路北、任庄路东</t>
  </si>
  <si>
    <t>郑政出[2016]200号(网)</t>
  </si>
  <si>
    <t>＞1且＜2</t>
  </si>
  <si>
    <t>郑国土资交易告字[2016]95号-11</t>
  </si>
  <si>
    <t>河南润天置业有限公司</t>
  </si>
  <si>
    <t>丘寨路东、赣江路南</t>
  </si>
  <si>
    <t>郑政出[2016]197号(网)</t>
  </si>
  <si>
    <t>城镇住宅、商服用地</t>
  </si>
  <si>
    <t>＞1且＜4.4</t>
  </si>
  <si>
    <t>郑国土资交易告字[2016]95号-8</t>
  </si>
  <si>
    <t>粮食路南、粮食西路西</t>
  </si>
  <si>
    <t>郑政出[2016]199号(网)</t>
  </si>
  <si>
    <t>郑国土资交易告字[2016]95号-10</t>
  </si>
  <si>
    <t>河南谦晟祥和实业有限公司</t>
  </si>
  <si>
    <t>药厂街北、西四环辅道西</t>
  </si>
  <si>
    <t>郑政出[2016]186号(网)</t>
  </si>
  <si>
    <t>城镇住宅、批发零售、住宅餐饮</t>
  </si>
  <si>
    <t>2016-12-16</t>
  </si>
  <si>
    <t>2017-01-05</t>
  </si>
  <si>
    <t>郑国土资交易告字[2016]94号-1</t>
  </si>
  <si>
    <t>郑州红祝福置业有限公司</t>
  </si>
  <si>
    <t>魏河北路北、金杯路东</t>
  </si>
  <si>
    <t>郑政出[2016]181号(网)</t>
  </si>
  <si>
    <t>郑国土资交易告字[2016]92号-5</t>
  </si>
  <si>
    <t>河南祈福明天置业有限公司</t>
  </si>
  <si>
    <t>宜居西路北、景西二路西</t>
  </si>
  <si>
    <t>郑政出[2016]170号(网)</t>
  </si>
  <si>
    <t>2016-12-13</t>
  </si>
  <si>
    <t>2017-01-17</t>
  </si>
  <si>
    <t>郑国土资交易告字[2016]91号-3</t>
  </si>
  <si>
    <t>萍湖路北、景西二路西</t>
  </si>
  <si>
    <t>郑政出[2016]169号(网)</t>
  </si>
  <si>
    <t>＞1且＜1.4</t>
  </si>
  <si>
    <t>&amp;lt;24</t>
  </si>
  <si>
    <t>郑国土资交易告字[2016]91号-2</t>
  </si>
  <si>
    <t>萍湖路北、景东二路西</t>
  </si>
  <si>
    <t>郑政出[2016]168号(网)</t>
  </si>
  <si>
    <t>郑国土资交易告字[2016]91号-1</t>
  </si>
  <si>
    <t>萍湖路北、景西一路西</t>
  </si>
  <si>
    <t>郑政出[2016]171号(网)</t>
  </si>
  <si>
    <t>郑国土资交易告字[2016]91号-4</t>
  </si>
  <si>
    <t>宜居东路北、景东路西</t>
  </si>
  <si>
    <t>郑政出[2016]172号(网)</t>
  </si>
  <si>
    <t>郑国土资交易告字[2016]91号-5</t>
  </si>
  <si>
    <t>南桂路南、地泰路西</t>
  </si>
  <si>
    <t>郑政出[2016]162号(网)</t>
  </si>
  <si>
    <t>2016-12-05</t>
  </si>
  <si>
    <t>2017-01-04</t>
  </si>
  <si>
    <t>郑国土资交易告字[2016]88号-1</t>
  </si>
  <si>
    <t>融侨集团股份有限公司</t>
  </si>
  <si>
    <t>鼎盛大道南、地泰路东</t>
  </si>
  <si>
    <t>郑政出[2016]164号(网)</t>
  </si>
  <si>
    <t>郑国土资交易告字[2016]88号-3</t>
  </si>
  <si>
    <t>南桂路南、地泰路东</t>
  </si>
  <si>
    <t>郑政出[2016]163号(网)</t>
  </si>
  <si>
    <t>郑国土资交易告字[2016]88号-2</t>
  </si>
  <si>
    <t>郑州九如置业有限公司</t>
  </si>
  <si>
    <t>鼎盛大道南、地泰路西</t>
  </si>
  <si>
    <t>郑政出[2016]165号(网)</t>
  </si>
  <si>
    <t>郑国土资交易告字[2016]88号-4</t>
  </si>
  <si>
    <t>深圳安创投资管理有限公司</t>
  </si>
  <si>
    <t>海滩北街北、丰乐路西</t>
  </si>
  <si>
    <t>郑政出[2016]159号(网)</t>
  </si>
  <si>
    <t>城镇住宅用地,商服用地</t>
  </si>
  <si>
    <t>2016-12-19</t>
  </si>
  <si>
    <t>2016-12-30</t>
  </si>
  <si>
    <t>郑国土资交易告字[2016]87号-1</t>
  </si>
  <si>
    <t>郑州泉舜中州上城房地产有限公司</t>
  </si>
  <si>
    <t>石楠路西、冬青街北</t>
    <phoneticPr fontId="228" type="noConversion"/>
  </si>
  <si>
    <t>红梅街南、川杨路西</t>
    <phoneticPr fontId="228" type="noConversion"/>
  </si>
  <si>
    <t>百荣路东、芦庄路北</t>
    <phoneticPr fontId="228" type="noConversion"/>
  </si>
  <si>
    <t>平整费用</t>
    <phoneticPr fontId="3" type="noConversion"/>
  </si>
  <si>
    <t>土地</t>
  </si>
  <si>
    <t>其他省市请录依据文件名称：郑州市人民政府关于调整城镇土地使用税征收范围土地等级和适用税额的通知(郑政文〔2007〕119号)</t>
    <phoneticPr fontId="3" type="noConversion"/>
  </si>
  <si>
    <t>石楠路西、冬青街北</t>
    <phoneticPr fontId="26" type="noConversion"/>
  </si>
  <si>
    <t>鑫苑金水观城</t>
    <phoneticPr fontId="3" type="noConversion"/>
  </si>
  <si>
    <t>融创·蘭园</t>
    <phoneticPr fontId="3" type="noConversion"/>
  </si>
  <si>
    <t>金誉府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</si>
</sst>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1" fillId="0" borderId="2" xfId="0" applyFont="1" applyBorder="1" applyAlignment="1" applyProtection="1">
      <alignment horizontal="center" vertical="center" wrapText="1"/>
      <protection locked="0"/>
    </xf>
    <xf numFmtId="9" fontId="71" fillId="0" borderId="21" xfId="0" applyNumberFormat="1" applyFont="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0" fillId="6"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185" fontId="99" fillId="8" borderId="0" xfId="0" applyNumberFormat="1" applyFont="1" applyFill="1" applyAlignment="1" applyProtection="1">
      <protection locked="0"/>
    </xf>
    <xf numFmtId="0" fontId="127" fillId="0" borderId="0" xfId="0" applyFont="1" applyAlignment="1"/>
    <xf numFmtId="0" fontId="0" fillId="7" borderId="0" xfId="0" applyFill="1" applyAlignment="1"/>
    <xf numFmtId="0" fontId="145" fillId="7" borderId="0" xfId="0" applyFont="1" applyFill="1" applyAlignment="1"/>
    <xf numFmtId="10" fontId="153" fillId="0" borderId="52"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77" fontId="153" fillId="0" borderId="12" xfId="2" applyNumberFormat="1" applyFont="1" applyFill="1" applyBorder="1" applyAlignment="1" applyProtection="1">
      <alignment horizontal="center" vertical="center"/>
      <protection locked="0"/>
    </xf>
    <xf numFmtId="0" fontId="71" fillId="5" borderId="4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0" fontId="78" fillId="17" borderId="10" xfId="0" applyNumberFormat="1" applyFont="1" applyFill="1" applyBorder="1" applyAlignment="1" applyProtection="1">
      <alignment horizontal="center" vertical="center" wrapText="1"/>
      <protection locked="0"/>
    </xf>
    <xf numFmtId="180" fontId="78" fillId="17" borderId="2"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502628</xdr:colOff>
      <xdr:row>42</xdr:row>
      <xdr:rowOff>33943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7571428" cy="7857143"/>
        </a:xfrm>
        <a:prstGeom prst="rect">
          <a:avLst/>
        </a:prstGeom>
      </xdr:spPr>
    </xdr:pic>
    <xdr:clientData/>
  </xdr:twoCellAnchor>
  <xdr:twoCellAnchor editAs="oneCell">
    <xdr:from>
      <xdr:col>29</xdr:col>
      <xdr:colOff>207818</xdr:colOff>
      <xdr:row>1</xdr:row>
      <xdr:rowOff>110837</xdr:rowOff>
    </xdr:from>
    <xdr:to>
      <xdr:col>45</xdr:col>
      <xdr:colOff>387551</xdr:colOff>
      <xdr:row>36</xdr:row>
      <xdr:rowOff>121305</xdr:rowOff>
    </xdr:to>
    <xdr:pic>
      <xdr:nvPicPr>
        <xdr:cNvPr id="2" name="图片 1"/>
        <xdr:cNvPicPr>
          <a:picLocks noChangeAspect="1"/>
        </xdr:cNvPicPr>
      </xdr:nvPicPr>
      <xdr:blipFill>
        <a:blip xmlns:r="http://schemas.openxmlformats.org/officeDocument/2006/relationships" r:embed="rId2"/>
        <a:stretch>
          <a:fillRect/>
        </a:stretch>
      </xdr:blipFill>
      <xdr:spPr>
        <a:xfrm>
          <a:off x="17886218" y="290946"/>
          <a:ext cx="9933333" cy="6314286"/>
        </a:xfrm>
        <a:prstGeom prst="rect">
          <a:avLst/>
        </a:prstGeom>
      </xdr:spPr>
    </xdr:pic>
    <xdr:clientData/>
  </xdr:twoCellAnchor>
  <xdr:twoCellAnchor editAs="oneCell">
    <xdr:from>
      <xdr:col>48</xdr:col>
      <xdr:colOff>0</xdr:colOff>
      <xdr:row>24</xdr:row>
      <xdr:rowOff>0</xdr:rowOff>
    </xdr:from>
    <xdr:to>
      <xdr:col>57</xdr:col>
      <xdr:colOff>18362</xdr:colOff>
      <xdr:row>32</xdr:row>
      <xdr:rowOff>73413</xdr:rowOff>
    </xdr:to>
    <xdr:pic>
      <xdr:nvPicPr>
        <xdr:cNvPr id="7" name="图片 6"/>
        <xdr:cNvPicPr>
          <a:picLocks noChangeAspect="1"/>
        </xdr:cNvPicPr>
      </xdr:nvPicPr>
      <xdr:blipFill>
        <a:blip xmlns:r="http://schemas.openxmlformats.org/officeDocument/2006/relationships" r:embed="rId3"/>
        <a:stretch>
          <a:fillRect/>
        </a:stretch>
      </xdr:blipFill>
      <xdr:spPr>
        <a:xfrm>
          <a:off x="29260800" y="4322618"/>
          <a:ext cx="5504762" cy="1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136</xdr:row>
      <xdr:rowOff>0</xdr:rowOff>
    </xdr:from>
    <xdr:to>
      <xdr:col>18</xdr:col>
      <xdr:colOff>93696</xdr:colOff>
      <xdr:row>178</xdr:row>
      <xdr:rowOff>151481</xdr:rowOff>
    </xdr:to>
    <xdr:pic>
      <xdr:nvPicPr>
        <xdr:cNvPr id="19" name="图片 18"/>
        <xdr:cNvPicPr>
          <a:picLocks noChangeAspect="1"/>
        </xdr:cNvPicPr>
      </xdr:nvPicPr>
      <xdr:blipFill>
        <a:blip xmlns:r="http://schemas.openxmlformats.org/officeDocument/2006/relationships" r:embed="rId1"/>
        <a:stretch>
          <a:fillRect/>
        </a:stretch>
      </xdr:blipFill>
      <xdr:spPr>
        <a:xfrm>
          <a:off x="0" y="23317200"/>
          <a:ext cx="12438096" cy="7352381"/>
        </a:xfrm>
        <a:prstGeom prst="rect">
          <a:avLst/>
        </a:prstGeom>
      </xdr:spPr>
    </xdr:pic>
    <xdr:clientData/>
  </xdr:twoCellAnchor>
  <xdr:twoCellAnchor editAs="oneCell">
    <xdr:from>
      <xdr:col>0</xdr:col>
      <xdr:colOff>0</xdr:colOff>
      <xdr:row>0</xdr:row>
      <xdr:rowOff>0</xdr:rowOff>
    </xdr:from>
    <xdr:to>
      <xdr:col>24</xdr:col>
      <xdr:colOff>36267</xdr:colOff>
      <xdr:row>46</xdr:row>
      <xdr:rowOff>104851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4666667" cy="8389869"/>
        </a:xfrm>
        <a:prstGeom prst="rect">
          <a:avLst/>
        </a:prstGeom>
      </xdr:spPr>
    </xdr:pic>
    <xdr:clientData/>
  </xdr:twoCellAnchor>
  <xdr:twoCellAnchor editAs="oneCell">
    <xdr:from>
      <xdr:col>0</xdr:col>
      <xdr:colOff>0</xdr:colOff>
      <xdr:row>59</xdr:row>
      <xdr:rowOff>0</xdr:rowOff>
    </xdr:from>
    <xdr:to>
      <xdr:col>13</xdr:col>
      <xdr:colOff>427581</xdr:colOff>
      <xdr:row>95</xdr:row>
      <xdr:rowOff>135888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78353"/>
          <a:ext cx="8352381" cy="6590476"/>
        </a:xfrm>
        <a:prstGeom prst="rect">
          <a:avLst/>
        </a:prstGeom>
      </xdr:spPr>
    </xdr:pic>
    <xdr:clientData/>
  </xdr:twoCellAnchor>
  <xdr:twoCellAnchor editAs="oneCell">
    <xdr:from>
      <xdr:col>14</xdr:col>
      <xdr:colOff>0</xdr:colOff>
      <xdr:row>59</xdr:row>
      <xdr:rowOff>0</xdr:rowOff>
    </xdr:from>
    <xdr:to>
      <xdr:col>37</xdr:col>
      <xdr:colOff>360152</xdr:colOff>
      <xdr:row>105</xdr:row>
      <xdr:rowOff>133423</xdr:rowOff>
    </xdr:to>
    <xdr:pic>
      <xdr:nvPicPr>
        <xdr:cNvPr id="5" name="图片 4"/>
        <xdr:cNvPicPr>
          <a:picLocks noChangeAspect="1"/>
        </xdr:cNvPicPr>
      </xdr:nvPicPr>
      <xdr:blipFill>
        <a:blip xmlns:r="http://schemas.openxmlformats.org/officeDocument/2006/relationships" r:embed="rId4"/>
        <a:stretch>
          <a:fillRect/>
        </a:stretch>
      </xdr:blipFill>
      <xdr:spPr>
        <a:xfrm>
          <a:off x="8534400" y="10578353"/>
          <a:ext cx="14380952" cy="83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H23" sqref="H23"/>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2655</v>
      </c>
      <c r="B1" s="2844" t="s">
        <v>2752</v>
      </c>
    </row>
    <row r="2" spans="1:55" s="2848" customFormat="1" ht="16.2" thickTop="1">
      <c r="A2" s="2846" t="s">
        <v>2659</v>
      </c>
      <c r="B2" s="2847" t="str">
        <f>'预评函-封皮'!B37</f>
        <v>河南省郑州市金水区金水区经一路东、明鸿路南出让国有建设用地使用权抵押价格预评估</v>
      </c>
      <c r="AX2" s="2849"/>
      <c r="AZ2" s="2849"/>
      <c r="BA2" s="2850"/>
      <c r="BC2" s="2850"/>
    </row>
    <row r="3" spans="1:55" s="2851" customFormat="1">
      <c r="A3" s="2830" t="s">
        <v>2660</v>
      </c>
      <c r="B3" s="2833" t="str">
        <f>'预评函-封皮'!B40</f>
        <v>河南常绿卓屹置业有限公司</v>
      </c>
    </row>
    <row r="4" spans="1:55" s="2832" customFormat="1">
      <c r="A4" s="2830" t="s">
        <v>2661</v>
      </c>
      <c r="B4" s="2831" t="str">
        <f>'预评函-封皮'!B46</f>
        <v>王鹏、崔锴</v>
      </c>
      <c r="N4" s="2832" t="str">
        <f>'预评函-1'!A28</f>
        <v/>
      </c>
    </row>
    <row r="5" spans="1:55" s="2845" customFormat="1" ht="16.2" thickBot="1">
      <c r="A5" s="2852" t="s">
        <v>2662</v>
      </c>
      <c r="B5" s="2853" t="str">
        <f>'预评函-封皮'!B49</f>
        <v>康正预评字号</v>
      </c>
    </row>
    <row r="6" spans="1:55" s="2854" customFormat="1" ht="16.2" thickTop="1">
      <c r="A6" s="2846" t="s">
        <v>2704</v>
      </c>
      <c r="B6" s="2847" t="str">
        <f>'预评函-1'!A4</f>
        <v>受贵公司委托，我公司对河南省郑州市金水区金水区经一路东、明鸿路南出让国有建设用地使用权抵押价格进行了预评估。</v>
      </c>
      <c r="AM6" s="2855"/>
    </row>
    <row r="7" spans="1:55" s="2829" customFormat="1">
      <c r="A7" s="2830" t="s">
        <v>2656</v>
      </c>
      <c r="B7" s="2831" t="str">
        <f>'预评函-1'!A6</f>
        <v>估价对象为河南常绿卓屹置业有限公司使用的、位于河南省郑州市金水区金水区经一路东、明鸿路南出让国有建设用地使用权。根据《国有土地使用证》[]，估价对象（分摊）出让国有建设用地使用权面积为15094.79平方米。根据《建设工程规划许可证》[]、《出让合同》[]，估价对象规划建筑面积为69312.71平方米。</v>
      </c>
    </row>
    <row r="8" spans="1:55" s="2829" customFormat="1">
      <c r="A8" s="2830" t="s">
        <v>2657</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2707</v>
      </c>
      <c r="B9" s="2831" t="str">
        <f>'预评函-1'!A9</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2658</v>
      </c>
      <c r="B10" s="2831" t="str">
        <f>'预评函-1'!A11</f>
        <v>2020年1月10日</v>
      </c>
    </row>
    <row r="11" spans="1:55" s="2829" customFormat="1">
      <c r="A11" s="2830" t="s">
        <v>2664</v>
      </c>
      <c r="B11" s="2831" t="str">
        <f>'预评函-1'!A14</f>
        <v>根据《国有土地使用证》[]，本次评估估价对象证载（地类）用途为城镇住宅用地。</v>
      </c>
    </row>
    <row r="12" spans="1:55" s="2829" customFormat="1">
      <c r="A12" s="2830" t="s">
        <v>2665</v>
      </c>
      <c r="B12" s="2831" t="str">
        <f>'预评函-1'!A15</f>
        <v>本次评估设定用途即为证载用途。</v>
      </c>
    </row>
    <row r="13" spans="1:55" s="2829" customFormat="1">
      <c r="A13" s="2830" t="s">
        <v>2666</v>
      </c>
      <c r="B13" s="2831" t="str">
        <f>'预评函-1'!A17</f>
        <v>根据委托估价方介绍及评估专业人员现场勘查，本次评估估价对象实际土地开发程度为红线外市政基础设施达“七通”（即通路、通电、通上水、通下水、通热、燃气、）、宗地红线内场地未平整，有待拆除建筑物。</v>
      </c>
    </row>
    <row r="14" spans="1:55" s="2829" customFormat="1">
      <c r="A14" s="2830" t="s">
        <v>2667</v>
      </c>
      <c r="B14" s="2831" t="str">
        <f>'预评函-1'!A18</f>
        <v>。本次评估设定土地开发程度为红线外市政基础设施达“七通”、宗地红线内场地平整。</v>
      </c>
    </row>
    <row r="15" spans="1:55" s="2829" customFormat="1">
      <c r="A15" s="2830" t="s">
        <v>2663</v>
      </c>
      <c r="B15" s="2831" t="str">
        <f>'预评函-1'!A20</f>
        <v>根据《国有土地使用证》[]，估价对象（分摊）出让国有建设用地使用权面积为15094.79平方米。根据《建设工程规划许可证》[]、《出让合同》[]，估价对象规划建筑面积为69312.71平方米。</v>
      </c>
    </row>
    <row r="16" spans="1:55" s="2829" customFormat="1">
      <c r="A16" s="2830" t="s">
        <v>2668</v>
      </c>
      <c r="B16" s="2831" t="str">
        <f>'预评函-1'!A22</f>
        <v>本次估价对象为出让国有建设用地使用权，《国有土地使用证》[]证载土地终止日期为住宅2090年1月2日、商业2060年1月2日车库2070年1月2日。截至估价期日，出让国有建设用地使用权剩余土地使用年限为。</v>
      </c>
    </row>
    <row r="17" spans="1:48" s="2829" customFormat="1">
      <c r="A17" s="2830" t="s">
        <v>2669</v>
      </c>
      <c r="B17" s="2831" t="str">
        <f>'预评函-1'!A23</f>
        <v>本次评估设定估价对象剩余土地使用年限为。</v>
      </c>
    </row>
    <row r="18" spans="1:48" s="2829" customFormat="1">
      <c r="A18" s="2830" t="s">
        <v>2670</v>
      </c>
      <c r="B18" s="2831" t="str">
        <f>'预评函-1'!A25</f>
        <v>本次估价的“出让国有建设用地使用权价格”是指在估价对象土地所有权为国家所有，使用权性质为出让，在公开市场条件下、于估价期日2020年1月10日，在规划利用条件下、设定土地开发程度为红线外“七通”、宗地内场地平整，设定用途为，剩余土地使用年限为的出让国有建设用地使用权价格。</v>
      </c>
    </row>
    <row r="19" spans="1:48" s="2829" customFormat="1">
      <c r="A19" s="2830" t="s">
        <v>2671</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2672</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2673</v>
      </c>
      <c r="B21" s="2853" t="str">
        <f>'预评函-1'!A28</f>
        <v/>
      </c>
    </row>
    <row r="22" spans="1:48" ht="16.2" thickTop="1">
      <c r="A22" s="2841" t="s">
        <v>2674</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2675</v>
      </c>
      <c r="B23" s="2831" t="str">
        <f>'预评函-2'!K2</f>
        <v>估价期日：2020年1月10日</v>
      </c>
    </row>
    <row r="24" spans="1:48">
      <c r="A24" s="2830" t="s">
        <v>2676</v>
      </c>
      <c r="B24" s="2831" t="str">
        <f>'预评函-2'!R2</f>
        <v>估价期日的国有建设用地使用权性质：出让</v>
      </c>
    </row>
    <row r="25" spans="1:48">
      <c r="A25" s="2830" t="s">
        <v>2732</v>
      </c>
      <c r="B25" s="2831" t="str">
        <f>'预评函-2'!A3</f>
        <v>估价期日土地使用者</v>
      </c>
    </row>
    <row r="26" spans="1:48">
      <c r="A26" s="2830" t="s">
        <v>2708</v>
      </c>
      <c r="B26" s="2831" t="str">
        <f>'预评函-2'!A5</f>
        <v>中信开发</v>
      </c>
    </row>
    <row r="27" spans="1:48">
      <c r="A27" s="2830" t="s">
        <v>2733</v>
      </c>
      <c r="B27" s="2831" t="str">
        <f>'预评函-2'!B3</f>
        <v>宗地编号/不动产单元号</v>
      </c>
    </row>
    <row r="28" spans="1:48">
      <c r="A28" s="2830" t="s">
        <v>2709</v>
      </c>
      <c r="B28" s="2831" t="str">
        <f>'预评函-2'!B5</f>
        <v>11111111111</v>
      </c>
    </row>
    <row r="29" spans="1:48">
      <c r="A29" s="2830" t="s">
        <v>2735</v>
      </c>
      <c r="B29" s="2831">
        <f>'预评函-2'!C5</f>
        <v>22</v>
      </c>
    </row>
    <row r="30" spans="1:48">
      <c r="A30" s="2830" t="s">
        <v>2736</v>
      </c>
      <c r="B30" s="2831" t="str">
        <f>'预评函-2'!D3</f>
        <v>土地使用证编号/不动产权证书编号</v>
      </c>
    </row>
    <row r="31" spans="1:48">
      <c r="A31" s="2830" t="s">
        <v>2710</v>
      </c>
      <c r="B31" s="2831" t="str">
        <f>'预评函-2'!D5</f>
        <v>京国土字第111号</v>
      </c>
    </row>
    <row r="32" spans="1:48">
      <c r="A32" s="2830" t="s">
        <v>2711</v>
      </c>
      <c r="B32" s="2831" t="str">
        <f>'预评函-2'!E5</f>
        <v>城镇住宅用地</v>
      </c>
      <c r="AV32" s="2835"/>
    </row>
    <row r="33" spans="1:2">
      <c r="A33" s="2830" t="s">
        <v>2712</v>
      </c>
      <c r="B33" s="2831">
        <f>'预评函-2'!F5</f>
        <v>258</v>
      </c>
    </row>
    <row r="34" spans="1:2">
      <c r="A34" s="2830" t="s">
        <v>2713</v>
      </c>
      <c r="B34" s="2831">
        <f>'预评函-2'!G5</f>
        <v>0</v>
      </c>
    </row>
    <row r="35" spans="1:2">
      <c r="A35" s="2830" t="s">
        <v>2714</v>
      </c>
      <c r="B35" s="2831">
        <f>'预评函-2'!H5</f>
        <v>1.5</v>
      </c>
    </row>
    <row r="36" spans="1:2">
      <c r="A36" s="2830" t="s">
        <v>2715</v>
      </c>
      <c r="B36" s="2831">
        <f>'预评函-2'!I5</f>
        <v>1.5</v>
      </c>
    </row>
    <row r="37" spans="1:2">
      <c r="A37" s="2830" t="s">
        <v>2716</v>
      </c>
      <c r="B37" s="2831">
        <f>'预评函-2'!J5</f>
        <v>1.5</v>
      </c>
    </row>
    <row r="38" spans="1:2">
      <c r="A38" s="2830" t="s">
        <v>2717</v>
      </c>
      <c r="B38" s="2831" t="str">
        <f>'预评函-2'!K5</f>
        <v>红线外七通、宗地红线内场地未平整</v>
      </c>
    </row>
    <row r="39" spans="1:2">
      <c r="A39" s="2830" t="s">
        <v>2718</v>
      </c>
      <c r="B39" s="2831" t="str">
        <f>'预评函-2'!L5</f>
        <v>红线外七通、宗地红线内场地平整</v>
      </c>
    </row>
    <row r="40" spans="1:2">
      <c r="A40" s="2830" t="s">
        <v>2737</v>
      </c>
      <c r="B40" s="2831" t="str">
        <f>'预评函-2'!M3</f>
        <v>（剩余）土地使用年限/年</v>
      </c>
    </row>
    <row r="41" spans="1:2">
      <c r="A41" s="2830" t="s">
        <v>2719</v>
      </c>
      <c r="B41" s="2831">
        <f>'预评函-2'!M5</f>
        <v>0</v>
      </c>
    </row>
    <row r="42" spans="1:2">
      <c r="A42" s="2830" t="s">
        <v>2738</v>
      </c>
      <c r="B42" s="2831" t="str">
        <f>'预评函-2'!N3</f>
        <v>（分摊）出让国有建设用地使用权面积/㎡</v>
      </c>
    </row>
    <row r="43" spans="1:2">
      <c r="A43" s="2830" t="s">
        <v>2720</v>
      </c>
      <c r="B43" s="2831">
        <f>'预评函-2'!N5</f>
        <v>15094.79</v>
      </c>
    </row>
    <row r="44" spans="1:2">
      <c r="A44" s="2830" t="s">
        <v>2739</v>
      </c>
      <c r="B44" s="2831" t="str">
        <f>'预评函-2'!O3</f>
        <v>规划建筑面积/㎡</v>
      </c>
    </row>
    <row r="45" spans="1:2">
      <c r="A45" s="2830" t="s">
        <v>2721</v>
      </c>
      <c r="B45" s="2831">
        <f>'预评函-2'!O5</f>
        <v>69312.710000000006</v>
      </c>
    </row>
    <row r="46" spans="1:2">
      <c r="A46" s="2830" t="s">
        <v>2722</v>
      </c>
      <c r="B46" s="2831">
        <f ca="1">'预评函-2'!P5</f>
        <v>28319</v>
      </c>
    </row>
    <row r="47" spans="1:2">
      <c r="A47" s="2830" t="s">
        <v>2723</v>
      </c>
      <c r="B47" s="2831">
        <f ca="1">'预评函-2'!Q5</f>
        <v>6167</v>
      </c>
    </row>
    <row r="48" spans="1:2">
      <c r="A48" s="2830" t="s">
        <v>2724</v>
      </c>
      <c r="B48" s="2831">
        <f ca="1">'预评函-2'!R5</f>
        <v>42747</v>
      </c>
    </row>
    <row r="49" spans="1:2">
      <c r="A49" s="2830" t="s">
        <v>2740</v>
      </c>
      <c r="B49" s="2831" t="str">
        <f>'预评函-2'!A6</f>
        <v>抵押价格</v>
      </c>
    </row>
    <row r="50" spans="1:2">
      <c r="A50" s="2830" t="s">
        <v>2725</v>
      </c>
      <c r="B50" s="2831">
        <f ca="1">'预评函-2'!R6</f>
        <v>42747</v>
      </c>
    </row>
    <row r="51" spans="1:2">
      <c r="A51" s="2830" t="s">
        <v>2741</v>
      </c>
      <c r="B51" s="2831" t="str">
        <f>'预评函-2'!A7</f>
        <v>——</v>
      </c>
    </row>
    <row r="52" spans="1:2">
      <c r="A52" s="2830" t="s">
        <v>2726</v>
      </c>
      <c r="B52" s="2831" t="str">
        <f>'预评函-2'!R7</f>
        <v>——</v>
      </c>
    </row>
    <row r="53" spans="1:2">
      <c r="A53" s="2830" t="s">
        <v>2742</v>
      </c>
      <c r="B53" s="2831" t="str">
        <f>'预评函-2'!A8</f>
        <v>——</v>
      </c>
    </row>
    <row r="54" spans="1:2" s="2845" customFormat="1" ht="16.2" thickBot="1">
      <c r="A54" s="2852" t="s">
        <v>2727</v>
      </c>
      <c r="B54" s="2853" t="str">
        <f>'预评函-2'!R8</f>
        <v>——</v>
      </c>
    </row>
    <row r="55" spans="1:2" ht="16.2" thickTop="1">
      <c r="A55" s="2841" t="s">
        <v>2677</v>
      </c>
      <c r="B55" s="2842" t="str">
        <f>'预评函-3'!A2</f>
        <v>1.权利限制：根据估价对象《不动产权证书》原件、《国有土地使用权》复印件，截至估价期日，估价对象抵押权未见登记。未设定租赁等其他他项权利。</v>
      </c>
    </row>
    <row r="56" spans="1:2">
      <c r="A56" s="2830" t="s">
        <v>2678</v>
      </c>
      <c r="B56" s="2831" t="str">
        <f>'预评函-3'!A3</f>
        <v>2.基础设施条件：估价对象实际开发程度为红线外七通、宗地红线内场地未平整；本次评估设定开发程度为红线外七通、宗地红线内场地平整。</v>
      </c>
    </row>
    <row r="57" spans="1:2">
      <c r="A57" s="2830" t="s">
        <v>2679</v>
      </c>
      <c r="B57" s="2831" t="str">
        <f>'预评函-3'!A4</f>
        <v>3.估价规划限制条件：详见《建设工程规划许可证》[]、《出让合同》[]。</v>
      </c>
    </row>
    <row r="58" spans="1:2" s="2845" customFormat="1" ht="16.2" thickBot="1">
      <c r="A58" s="2852" t="s">
        <v>2728</v>
      </c>
      <c r="B58" s="2853" t="str">
        <f>'预评函-3'!A5</f>
        <v>4.影响价格的其他限定条件：无。</v>
      </c>
    </row>
    <row r="59" spans="1:2" ht="16.2" thickTop="1">
      <c r="A59" s="2841" t="s">
        <v>2680</v>
      </c>
      <c r="B59" s="2842" t="str">
        <f>'预评函-3'!A8</f>
        <v>2.本《评估意见函》仅供金融机构进行内部审核使用，不做其他目的之用。</v>
      </c>
    </row>
    <row r="60" spans="1:2">
      <c r="A60" s="2830" t="s">
        <v>2681</v>
      </c>
      <c r="B60" s="2831" t="str">
        <f>'预评函-3'!A9</f>
        <v>3.抵押双方在办理抵押登记手续时，应使用本公司出具的正式《土地估价报告》，特提请报告使用者注意。</v>
      </c>
    </row>
    <row r="61" spans="1:2">
      <c r="A61" s="2830" t="s">
        <v>2683</v>
      </c>
      <c r="B61" s="2831" t="str">
        <f>'预评函-3'!A10</f>
        <v>4.估价师所知悉的法定优先受偿款情况为：</v>
      </c>
    </row>
    <row r="62" spans="1:2">
      <c r="A62" s="2830" t="s">
        <v>2682</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2684</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2685</v>
      </c>
      <c r="B64" s="2836" t="str">
        <f>'预评函-3'!A13</f>
        <v>（3）。</v>
      </c>
    </row>
    <row r="65" spans="1:2">
      <c r="A65" s="2830" t="s">
        <v>2686</v>
      </c>
      <c r="B65" s="2837" t="str">
        <f>'预评函-3'!A14</f>
        <v>综上，本次评估不存在估价师知悉的法定优先受偿款</v>
      </c>
    </row>
    <row r="66" spans="1:2">
      <c r="A66" s="2830" t="s">
        <v>2687</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2688</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2691</v>
      </c>
      <c r="B68" s="2856">
        <f>'预评函-3'!D30</f>
        <v>42558</v>
      </c>
    </row>
    <row r="69" spans="1:2" ht="16.2" thickTop="1">
      <c r="A69" s="2841" t="s">
        <v>2689</v>
      </c>
      <c r="B69" s="2842" t="str">
        <f>'预评函-3'!A20</f>
        <v>王鹏</v>
      </c>
    </row>
    <row r="70" spans="1:2">
      <c r="A70" s="2830" t="s">
        <v>2689</v>
      </c>
      <c r="B70" s="2837">
        <f ca="1">'预评函-3'!B20</f>
        <v>2002110030</v>
      </c>
    </row>
    <row r="71" spans="1:2">
      <c r="A71" s="2830" t="s">
        <v>2690</v>
      </c>
      <c r="B71" s="2831" t="str">
        <f>'预评函-3'!A21</f>
        <v>崔锴</v>
      </c>
    </row>
    <row r="72" spans="1:2" s="2845" customFormat="1" ht="16.2" thickBot="1">
      <c r="A72" s="2852" t="s">
        <v>2690</v>
      </c>
      <c r="B72" s="2858">
        <f ca="1">'预评函-3'!B21</f>
        <v>2010110070</v>
      </c>
    </row>
    <row r="73" spans="1:2" ht="16.2" thickTop="1">
      <c r="A73" s="2841" t="s">
        <v>2749</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2750</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2751</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2786</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G19" activeCellId="2" sqref="D19 E19 G19"/>
    </sheetView>
  </sheetViews>
  <sheetFormatPr defaultColWidth="10" defaultRowHeight="15.6"/>
  <cols>
    <col min="1" max="1" width="15.33203125" style="1673" customWidth="1"/>
    <col min="2" max="2" width="13.44140625" style="1673" customWidth="1"/>
    <col min="3" max="3" width="12.6640625" style="1673" customWidth="1"/>
    <col min="4" max="4" width="13.10937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4"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38" t="str">
        <f>IF(B10="北京市","北京市",C10)&amp;F10&amp;B16&amp;"国有建设用地使用权"&amp;B9&amp;"预评估"</f>
        <v>河南省郑州市金水区金水区经一路东、明鸿路南出让国有建设用地使用权抵押价格预评估</v>
      </c>
      <c r="C1" s="3239"/>
      <c r="D1" s="3239"/>
      <c r="E1" s="3239"/>
      <c r="F1" s="3239"/>
      <c r="G1" s="3239"/>
      <c r="H1" s="3239"/>
      <c r="I1" s="3240"/>
      <c r="J1" s="1676"/>
      <c r="K1" s="2416" t="str">
        <f>IF(B10="北京市","北京市",C10)&amp;F10&amp;B16&amp;"国有建设用地使用权"&amp;B9</f>
        <v>河南省郑州市金水区金水区经一路东、明鸿路南出让国有建设用地使用权抵押价格</v>
      </c>
      <c r="L1" s="1705"/>
      <c r="M1" s="1705"/>
      <c r="N1" s="1676"/>
      <c r="O1" s="1677"/>
      <c r="P1" s="1676"/>
      <c r="Q1" s="1676"/>
      <c r="R1" s="1676"/>
      <c r="S1" s="1676"/>
      <c r="T1" s="1676"/>
      <c r="U1" s="1676"/>
    </row>
    <row r="2" spans="1:21">
      <c r="A2" s="1642" t="s">
        <v>1938</v>
      </c>
      <c r="B2" s="1823"/>
      <c r="D2" s="1676"/>
      <c r="E2" s="1676"/>
      <c r="F2" s="1676"/>
      <c r="G2" s="1676"/>
      <c r="H2" s="1642"/>
      <c r="I2" s="1677"/>
      <c r="J2" s="1676"/>
      <c r="K2" s="2416" t="str">
        <f>IF(B10="北京市","北京市",C10)&amp;F10&amp;B16&amp;"国有建设用地使用权"</f>
        <v>河南省郑州市金水区金水区经一路东、明鸿路南出让国有建设用地使用权</v>
      </c>
      <c r="L2" s="1705"/>
      <c r="M2" s="1705"/>
      <c r="N2" s="1676"/>
      <c r="O2" s="1677"/>
      <c r="P2" s="1676"/>
      <c r="Q2" s="1676"/>
      <c r="R2" s="1676"/>
      <c r="S2" s="1676"/>
      <c r="T2" s="1676"/>
      <c r="U2" s="1676"/>
    </row>
    <row r="3" spans="1:21">
      <c r="A3" s="1643" t="s">
        <v>1939</v>
      </c>
      <c r="B3" s="1644">
        <v>43795</v>
      </c>
      <c r="C3" s="1645" t="s">
        <v>1995</v>
      </c>
      <c r="D3" s="1644">
        <v>43840</v>
      </c>
      <c r="E3" s="1676"/>
      <c r="F3" s="1676"/>
      <c r="G3" s="1676"/>
      <c r="H3" s="1642"/>
      <c r="I3" s="1677"/>
      <c r="J3" s="1676"/>
      <c r="K3" s="1755"/>
      <c r="L3" s="1705"/>
      <c r="M3" s="1705"/>
      <c r="N3" s="1676"/>
      <c r="O3" s="1677"/>
      <c r="P3" s="1676"/>
      <c r="Q3" s="1676"/>
      <c r="R3" s="1676"/>
      <c r="S3" s="1676"/>
      <c r="T3" s="1676"/>
      <c r="U3" s="1676"/>
    </row>
    <row r="4" spans="1:21" ht="16.2" thickBot="1">
      <c r="A4" s="1646" t="s">
        <v>1940</v>
      </c>
      <c r="B4" s="1824" t="s">
        <v>3315</v>
      </c>
      <c r="C4" s="1827">
        <f ca="1">SUMIF(土地估价师,B4,估价师及机构信息!E3:E24)</f>
        <v>2002110030</v>
      </c>
      <c r="D4" s="1824" t="s">
        <v>2989</v>
      </c>
      <c r="E4" s="1827">
        <f ca="1">SUMIF(土地估价师,D4,估价师及机构信息!E3:E24)</f>
        <v>2010110070</v>
      </c>
      <c r="F4" s="1824" t="s">
        <v>952</v>
      </c>
      <c r="G4" s="1827">
        <f>SUMIF(土地估价师,F4,估价师及机构信息!E3:E24)</f>
        <v>0</v>
      </c>
      <c r="H4" s="1824" t="s">
        <v>952</v>
      </c>
      <c r="I4" s="1827">
        <f>SUMIF(土地估价师,H4,估价师及机构信息!E3:E24)</f>
        <v>0</v>
      </c>
      <c r="J4" s="1676"/>
      <c r="K4" s="2416" t="str">
        <f>IF(AND(F4="——",H4="——"),B4&amp;"、"&amp;D4,IF(AND(F4&lt;&gt;"——",H4="——"),B4&amp;"、"&amp;D4&amp;"、"&amp;F4,B4&amp;"、"&amp;D4&amp;"、"&amp;F4&amp;"、"&amp;H4))</f>
        <v>王鹏、崔锴</v>
      </c>
      <c r="L4" s="1705"/>
      <c r="M4" s="1705"/>
      <c r="N4" s="1676"/>
      <c r="O4" s="1677"/>
      <c r="P4" s="1676"/>
      <c r="Q4" s="1676"/>
      <c r="R4" s="1676"/>
      <c r="S4" s="1676"/>
      <c r="T4" s="1676"/>
      <c r="U4" s="1676"/>
    </row>
    <row r="5" spans="1:21" ht="16.2" thickTop="1">
      <c r="A5" s="1647" t="s">
        <v>1941</v>
      </c>
      <c r="B5" s="1770" t="s">
        <v>3316</v>
      </c>
      <c r="C5" s="1648"/>
      <c r="D5" s="1649"/>
      <c r="E5" s="1676"/>
      <c r="F5" s="1676"/>
      <c r="G5" s="1676"/>
      <c r="H5" s="1642"/>
      <c r="I5" s="1677"/>
      <c r="J5" s="1676"/>
      <c r="K5" s="1755"/>
      <c r="L5" s="1705"/>
      <c r="M5" s="1705"/>
      <c r="N5" s="1676"/>
      <c r="O5" s="1677"/>
      <c r="P5" s="1676"/>
      <c r="Q5" s="1676"/>
      <c r="R5" s="1676"/>
      <c r="S5" s="1676"/>
      <c r="T5" s="1676"/>
      <c r="U5" s="1676"/>
    </row>
    <row r="6" spans="1:21" ht="27.6">
      <c r="A6" s="1645" t="s">
        <v>2705</v>
      </c>
      <c r="B6" s="1770" t="s">
        <v>3317</v>
      </c>
      <c r="C6" s="1742"/>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2706</v>
      </c>
      <c r="B7" s="1770" t="str">
        <f>B5</f>
        <v>河南常绿卓屹置业有限公司</v>
      </c>
      <c r="C7" s="1742"/>
      <c r="D7" s="1650"/>
      <c r="E7" s="1676"/>
      <c r="F7" s="1676"/>
      <c r="G7" s="1676"/>
      <c r="H7" s="1642"/>
      <c r="I7" s="1677"/>
      <c r="J7" s="1676"/>
      <c r="K7" s="1755"/>
      <c r="L7" s="1705"/>
      <c r="M7" s="1705"/>
      <c r="N7" s="1676"/>
      <c r="O7" s="1677"/>
      <c r="P7" s="1676"/>
      <c r="Q7" s="1676"/>
      <c r="R7" s="1676"/>
      <c r="S7" s="1676"/>
      <c r="T7" s="1676"/>
      <c r="U7" s="1676"/>
    </row>
    <row r="8" spans="1:21">
      <c r="A8" s="1651" t="s">
        <v>1942</v>
      </c>
      <c r="B8" s="1652" t="s">
        <v>2990</v>
      </c>
      <c r="C8" s="1653"/>
      <c r="D8" s="3244" t="s">
        <v>1944</v>
      </c>
      <c r="E8" s="1825" t="s">
        <v>2991</v>
      </c>
      <c r="F8" s="1654"/>
      <c r="G8" s="1642"/>
      <c r="H8" s="1642"/>
      <c r="I8" s="1689"/>
      <c r="J8" s="1676"/>
      <c r="K8" s="1755"/>
      <c r="L8" s="1705"/>
      <c r="M8" s="1705"/>
      <c r="N8" s="1676"/>
      <c r="O8" s="1677"/>
      <c r="P8" s="1676"/>
      <c r="Q8" s="1676"/>
      <c r="R8" s="1676"/>
      <c r="S8" s="1676"/>
      <c r="T8" s="1676"/>
      <c r="U8" s="1676"/>
    </row>
    <row r="9" spans="1:21" ht="16.2" thickBot="1">
      <c r="A9" s="1655" t="s">
        <v>1943</v>
      </c>
      <c r="B9" s="1656" t="s">
        <v>2991</v>
      </c>
      <c r="C9" s="1657"/>
      <c r="D9" s="3245"/>
      <c r="E9" s="1656" t="s">
        <v>952</v>
      </c>
      <c r="F9" s="1729"/>
      <c r="G9" s="1724"/>
      <c r="H9" s="1724"/>
      <c r="I9" s="1725"/>
      <c r="J9" s="1676"/>
      <c r="K9" s="1755"/>
      <c r="L9" s="1705"/>
      <c r="M9" s="1705"/>
      <c r="N9" s="1676"/>
      <c r="O9" s="1677"/>
      <c r="P9" s="1676"/>
      <c r="Q9" s="1676"/>
      <c r="R9" s="1676"/>
      <c r="S9" s="1676"/>
      <c r="T9" s="1676"/>
      <c r="U9" s="1676"/>
    </row>
    <row r="10" spans="1:21" ht="31.8" thickTop="1">
      <c r="A10" s="1726" t="s">
        <v>1999</v>
      </c>
      <c r="B10" s="1701" t="s">
        <v>2992</v>
      </c>
      <c r="C10" s="1658" t="s">
        <v>3314</v>
      </c>
      <c r="D10" s="1649"/>
      <c r="E10" s="1659" t="s">
        <v>1946</v>
      </c>
      <c r="F10" s="1660" t="s">
        <v>3377</v>
      </c>
      <c r="G10" s="1727"/>
      <c r="H10" s="1728"/>
      <c r="I10" s="1649"/>
      <c r="J10" s="1676"/>
      <c r="K10" s="1755"/>
      <c r="L10" s="1705"/>
      <c r="M10" s="1705"/>
      <c r="N10" s="1676"/>
      <c r="O10" s="1677"/>
      <c r="P10" s="1676"/>
      <c r="Q10" s="1676"/>
      <c r="R10" s="1676"/>
      <c r="S10" s="1676"/>
      <c r="T10" s="1676"/>
      <c r="U10" s="1676"/>
    </row>
    <row r="11" spans="1:21" ht="46.8">
      <c r="A11" s="1679" t="s">
        <v>2000</v>
      </c>
      <c r="B11" s="1680" t="s">
        <v>2993</v>
      </c>
      <c r="C11" s="1661" t="str">
        <f>B5</f>
        <v>河南常绿卓屹置业有限公司</v>
      </c>
      <c r="D11" s="1743"/>
      <c r="E11" s="1642"/>
      <c r="F11" s="1642"/>
      <c r="G11" s="1642"/>
      <c r="H11" s="1642"/>
      <c r="I11" s="1642"/>
      <c r="J11" s="1676"/>
      <c r="K11" s="1755"/>
      <c r="L11" s="1705"/>
      <c r="M11" s="1705"/>
      <c r="N11" s="1676"/>
      <c r="O11" s="1677"/>
      <c r="P11" s="1676"/>
      <c r="Q11" s="1676"/>
      <c r="R11" s="1676"/>
      <c r="S11" s="1676"/>
      <c r="T11" s="1676"/>
      <c r="U11" s="1676"/>
    </row>
    <row r="12" spans="1:21">
      <c r="A12" s="1766" t="s">
        <v>2058</v>
      </c>
      <c r="B12" s="3241" t="s">
        <v>2994</v>
      </c>
      <c r="C12" s="3242"/>
      <c r="D12" s="3243"/>
      <c r="E12" s="1681" t="s">
        <v>2061</v>
      </c>
      <c r="F12" s="3259" t="s">
        <v>2888</v>
      </c>
      <c r="G12" s="3260"/>
      <c r="H12" s="3260"/>
      <c r="I12" s="3261"/>
      <c r="J12" s="1676"/>
      <c r="K12" s="1755"/>
      <c r="L12" s="1705"/>
      <c r="M12" s="1705"/>
      <c r="N12" s="1676"/>
      <c r="O12" s="1677"/>
      <c r="P12" s="1676"/>
      <c r="Q12" s="1676"/>
      <c r="R12" s="1676"/>
      <c r="S12" s="1676"/>
      <c r="T12" s="1676"/>
      <c r="U12" s="1676"/>
    </row>
    <row r="13" spans="1:21">
      <c r="A13" s="1669" t="s">
        <v>2059</v>
      </c>
      <c r="B13" s="3241"/>
      <c r="C13" s="3242"/>
      <c r="D13" s="3243"/>
      <c r="E13" s="1681" t="s">
        <v>2061</v>
      </c>
      <c r="F13" s="3259" t="s">
        <v>2889</v>
      </c>
      <c r="G13" s="3260"/>
      <c r="H13" s="3260"/>
      <c r="I13" s="3261"/>
      <c r="J13" s="1676"/>
      <c r="K13" s="1755"/>
      <c r="L13" s="1705"/>
      <c r="M13" s="1705"/>
      <c r="N13" s="1676"/>
      <c r="O13" s="1677"/>
      <c r="P13" s="1676"/>
      <c r="Q13" s="1676"/>
      <c r="R13" s="1676"/>
      <c r="S13" s="1676"/>
      <c r="T13" s="1676"/>
      <c r="U13" s="1676"/>
    </row>
    <row r="14" spans="1:21">
      <c r="A14" s="1643" t="s">
        <v>2062</v>
      </c>
      <c r="B14" s="1681"/>
      <c r="C14" s="1826" t="s">
        <v>2995</v>
      </c>
      <c r="D14" s="1715" t="str">
        <f>IF(C14="不一致","是否符合证载地类范围","")</f>
        <v/>
      </c>
      <c r="E14" s="1681"/>
      <c r="F14" s="1771" t="s">
        <v>2996</v>
      </c>
      <c r="G14" s="1710"/>
      <c r="H14" s="1710"/>
      <c r="I14" s="1818"/>
      <c r="J14" s="1676"/>
      <c r="K14" s="1755"/>
      <c r="L14" s="1705"/>
      <c r="M14" s="1705"/>
      <c r="N14" s="1676"/>
      <c r="O14" s="1677"/>
      <c r="P14" s="1676"/>
      <c r="Q14" s="1676"/>
      <c r="R14" s="1676"/>
      <c r="S14" s="1676"/>
      <c r="T14" s="1676"/>
      <c r="U14" s="1676"/>
    </row>
    <row r="15" spans="1:21" hidden="1">
      <c r="A15" s="2606"/>
      <c r="B15" s="1645"/>
      <c r="C15" s="1645"/>
      <c r="D15" s="1747" t="s">
        <v>1949</v>
      </c>
      <c r="E15" s="1747" t="s">
        <v>1950</v>
      </c>
      <c r="F15" s="1747" t="s">
        <v>1951</v>
      </c>
      <c r="G15" s="1668" t="s">
        <v>1952</v>
      </c>
      <c r="H15" s="1668" t="s">
        <v>1953</v>
      </c>
      <c r="I15" s="1668" t="s">
        <v>1954</v>
      </c>
      <c r="J15" s="1676"/>
      <c r="K15" s="1755"/>
      <c r="L15" s="1705"/>
      <c r="M15" s="1705"/>
      <c r="N15" s="1676"/>
      <c r="O15" s="1677"/>
      <c r="P15" s="1676"/>
      <c r="Q15" s="1676"/>
      <c r="R15" s="1676"/>
      <c r="S15" s="1676"/>
      <c r="T15" s="1676"/>
      <c r="U15" s="1676"/>
    </row>
    <row r="16" spans="1:21" ht="31.2">
      <c r="A16" s="1662" t="s">
        <v>1947</v>
      </c>
      <c r="B16" s="1663" t="s">
        <v>2984</v>
      </c>
      <c r="C16" s="1681" t="s">
        <v>1948</v>
      </c>
      <c r="D16" s="2607" t="s">
        <v>1949</v>
      </c>
      <c r="E16" s="1704" t="s">
        <v>2997</v>
      </c>
      <c r="F16" s="1704" t="s">
        <v>1677</v>
      </c>
      <c r="G16" s="1704" t="s">
        <v>2998</v>
      </c>
      <c r="H16" s="1704" t="s">
        <v>2999</v>
      </c>
      <c r="I16" s="1668" t="s">
        <v>1954</v>
      </c>
      <c r="J16" s="1676"/>
      <c r="K16" s="2417" t="str">
        <f>IF(D17="","",D16&amp;TEXT(D17,"yyyy年m月d日;;"))</f>
        <v>住宅2090年1月2日</v>
      </c>
      <c r="L16" s="1681" t="str">
        <f>IF(OR(K16="",M16=""),"","、")</f>
        <v>、</v>
      </c>
      <c r="M16" s="2417" t="str">
        <f>IF(E17="","",E16&amp;TEXT(E17,"yyyy年m月d日;;"))</f>
        <v>商业2060年1月2日</v>
      </c>
      <c r="N16" s="1681" t="str">
        <f>IF(OR(M16="",O16=""),"","、")</f>
        <v/>
      </c>
      <c r="O16" s="2417" t="str">
        <f>IF(F17="","",F16&amp;TEXT(F17,"yyyy年m月d日;;"))</f>
        <v/>
      </c>
      <c r="P16" s="1681" t="str">
        <f>IF(OR(O16="",Q16=""),"","、")</f>
        <v/>
      </c>
      <c r="Q16" s="2417" t="str">
        <f>IF(G17="","",G16&amp;TEXT(G17,"yyyy年m月d日;;"))</f>
        <v>车库2070年1月2日</v>
      </c>
      <c r="R16" s="1681" t="str">
        <f>IF(OR(Q16="",S16=""),"","、")</f>
        <v/>
      </c>
      <c r="S16" s="2417" t="str">
        <f>IF(H17="","",H16&amp;TEXT(H17,"yyyy年m月d日;;"))</f>
        <v/>
      </c>
      <c r="T16" s="1681" t="str">
        <f>IF(OR(S16="",U16=""),"","、")</f>
        <v/>
      </c>
      <c r="U16" s="2417" t="str">
        <f>IF(I17="","",I16&amp;TEXT(I17,"yyyy年m月d日;;"))</f>
        <v/>
      </c>
    </row>
    <row r="17" spans="1:21">
      <c r="A17" s="1744"/>
      <c r="B17" s="1664"/>
      <c r="C17" s="1665" t="s">
        <v>1955</v>
      </c>
      <c r="D17" s="1682">
        <v>69400</v>
      </c>
      <c r="E17" s="1682">
        <v>58442</v>
      </c>
      <c r="F17" s="1682"/>
      <c r="G17" s="1682">
        <v>62095</v>
      </c>
      <c r="H17" s="1682"/>
      <c r="I17" s="1682"/>
      <c r="J17" s="1676"/>
      <c r="K17" s="2416" t="str">
        <f>CONCATENATE(K16,L16,M16,N16,O16,P16,Q16,R16,S16,T16,,U16)</f>
        <v>住宅2090年1月2日、商业2060年1月2日车库2070年1月2日</v>
      </c>
      <c r="L17" s="1705"/>
      <c r="M17" s="1705"/>
      <c r="N17" s="1676"/>
      <c r="O17" s="1677"/>
      <c r="P17" s="1676"/>
      <c r="Q17" s="1676"/>
      <c r="R17" s="1676"/>
      <c r="S17" s="1676"/>
      <c r="T17" s="1676"/>
      <c r="U17" s="1676"/>
    </row>
    <row r="18" spans="1:21">
      <c r="A18" s="1744"/>
      <c r="B18" s="1664"/>
      <c r="C18" s="1665" t="s">
        <v>1956</v>
      </c>
      <c r="D18" s="1666">
        <v>70</v>
      </c>
      <c r="E18" s="1666">
        <v>40</v>
      </c>
      <c r="F18" s="1666">
        <v>50</v>
      </c>
      <c r="G18" s="1666">
        <v>50</v>
      </c>
      <c r="H18" s="1666">
        <v>50</v>
      </c>
      <c r="I18" s="1666"/>
      <c r="J18" s="1676"/>
      <c r="K18" s="1755"/>
      <c r="L18" s="1705"/>
      <c r="M18" s="1705"/>
      <c r="N18" s="1676"/>
      <c r="O18" s="1677"/>
      <c r="P18" s="1676"/>
      <c r="Q18" s="1676"/>
      <c r="R18" s="1676"/>
      <c r="S18" s="1676"/>
      <c r="T18" s="1676"/>
      <c r="U18" s="1676"/>
    </row>
    <row r="19" spans="1:21">
      <c r="A19" s="1744"/>
      <c r="B19" s="1664"/>
      <c r="C19" s="1642" t="s">
        <v>1957</v>
      </c>
      <c r="D19" s="3511">
        <v>69.98</v>
      </c>
      <c r="E19" s="3512">
        <v>39.979999999999997</v>
      </c>
      <c r="F19" s="1667" t="str">
        <f>IF(B16="出让",IF(F17="","",ROUNDDOWN(MIN((F17-$D$3)/365,F18),2)),F18)</f>
        <v/>
      </c>
      <c r="G19" s="3512">
        <v>49.98</v>
      </c>
      <c r="H19" s="1667" t="str">
        <f>IF(B16="出让",IF(H17="","",ROUNDDOWN(MIN((H17-$D$3)/365,H18),2)),H18)</f>
        <v/>
      </c>
      <c r="I19" s="1667" t="str">
        <f>IF(B16="出让",IF(I17="","",ROUNDDOWN(MIN((I17-$D$3)/365,I18),2)),I18)</f>
        <v/>
      </c>
      <c r="J19" s="1676"/>
      <c r="K19" s="1755"/>
      <c r="L19" s="1705"/>
      <c r="M19" s="1705"/>
      <c r="N19" s="1676"/>
      <c r="O19" s="1677"/>
      <c r="P19" s="1676"/>
      <c r="Q19" s="1676"/>
      <c r="R19" s="1676"/>
      <c r="S19" s="1676"/>
      <c r="T19" s="1676"/>
      <c r="U19" s="1676"/>
    </row>
    <row r="20" spans="1:21">
      <c r="A20" s="1767"/>
      <c r="B20" s="1768"/>
      <c r="C20" s="1769" t="s">
        <v>2060</v>
      </c>
      <c r="D20" s="3256"/>
      <c r="E20" s="3257"/>
      <c r="F20" s="3257"/>
      <c r="G20" s="3257"/>
      <c r="H20" s="3257"/>
      <c r="I20" s="3258"/>
      <c r="J20" s="1676"/>
      <c r="K20" s="1755"/>
      <c r="L20" s="1705"/>
      <c r="M20" s="1705"/>
      <c r="N20" s="1676"/>
      <c r="O20" s="1677"/>
      <c r="P20" s="1676"/>
      <c r="Q20" s="1676"/>
      <c r="R20" s="1676"/>
      <c r="S20" s="1676"/>
      <c r="T20" s="1676"/>
      <c r="U20" s="1676"/>
    </row>
    <row r="21" spans="1:21">
      <c r="A21" s="1744" t="s">
        <v>1958</v>
      </c>
      <c r="B21" s="1745" t="s">
        <v>1959</v>
      </c>
      <c r="C21" s="1740">
        <f>'数据-汇总表'!E3</f>
        <v>69312.710000000006</v>
      </c>
      <c r="D21" s="1741" t="s">
        <v>1960</v>
      </c>
      <c r="E21" s="3246" t="s">
        <v>1998</v>
      </c>
      <c r="F21" s="3247"/>
      <c r="G21" s="3247"/>
      <c r="H21" s="3247"/>
      <c r="I21" s="3248"/>
      <c r="J21" s="1676"/>
      <c r="K21" s="1755"/>
      <c r="L21" s="1705"/>
      <c r="M21" s="1705"/>
      <c r="N21" s="1676"/>
      <c r="O21" s="1677"/>
      <c r="P21" s="1676"/>
      <c r="Q21" s="1676"/>
      <c r="R21" s="1676"/>
      <c r="S21" s="1676"/>
      <c r="T21" s="1676"/>
      <c r="U21" s="1676"/>
    </row>
    <row r="22" spans="1:21">
      <c r="A22" s="3092" t="s">
        <v>952</v>
      </c>
      <c r="B22" s="1643" t="s">
        <v>1961</v>
      </c>
      <c r="C22" s="1668">
        <f>'数据-汇总表'!D3</f>
        <v>15094.79</v>
      </c>
      <c r="D22" s="1669" t="s">
        <v>1960</v>
      </c>
      <c r="E22" s="3246" t="s">
        <v>2890</v>
      </c>
      <c r="F22" s="3247"/>
      <c r="G22" s="3247"/>
      <c r="H22" s="3247"/>
      <c r="I22" s="3248"/>
      <c r="J22" s="1676"/>
      <c r="K22" s="1755"/>
      <c r="L22" s="1705"/>
      <c r="M22" s="1705"/>
      <c r="N22" s="1676"/>
      <c r="O22" s="1677"/>
      <c r="P22" s="1676"/>
      <c r="Q22" s="1676"/>
      <c r="R22" s="1676"/>
      <c r="S22" s="1676"/>
      <c r="T22" s="1676"/>
      <c r="U22" s="1676"/>
    </row>
    <row r="23" spans="1:21" ht="47.4" thickBot="1">
      <c r="A23" s="1746" t="s">
        <v>1962</v>
      </c>
      <c r="B23" s="1683" t="s">
        <v>1963</v>
      </c>
      <c r="C23" s="1684"/>
      <c r="D23" s="1685" t="s">
        <v>1964</v>
      </c>
      <c r="E23" s="1686"/>
      <c r="F23" s="1687" t="str">
        <f>IF(AND(C23="是",E23="否"),"是否提供他项权证或相关说明","")</f>
        <v/>
      </c>
      <c r="G23" s="1688"/>
      <c r="H23" s="1676"/>
      <c r="I23" s="1689"/>
      <c r="J23" s="1676"/>
      <c r="K23" s="1755"/>
      <c r="L23" s="1705"/>
      <c r="M23" s="1705"/>
      <c r="N23" s="1676"/>
      <c r="O23" s="1677"/>
      <c r="P23" s="1676"/>
      <c r="Q23" s="1676"/>
      <c r="R23" s="1676"/>
      <c r="S23" s="1676"/>
      <c r="T23" s="1676"/>
      <c r="U23" s="1676"/>
    </row>
    <row r="24" spans="1:21">
      <c r="A24" s="1732" t="s">
        <v>1965</v>
      </c>
      <c r="B24" s="3249" t="s">
        <v>1966</v>
      </c>
      <c r="C24" s="3250"/>
      <c r="D24" s="3251" t="s">
        <v>1967</v>
      </c>
      <c r="E24" s="3252"/>
      <c r="F24" s="1690" t="s">
        <v>1968</v>
      </c>
      <c r="G24" s="1676"/>
      <c r="H24" s="1676"/>
      <c r="I24" s="1689"/>
      <c r="J24" s="1676"/>
      <c r="K24" s="3237"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2325</v>
      </c>
      <c r="C25" s="1691" t="s">
        <v>1970</v>
      </c>
      <c r="D25" s="1692"/>
      <c r="E25" s="1693" t="s">
        <v>952</v>
      </c>
      <c r="F25" s="1694"/>
      <c r="G25" s="1676"/>
      <c r="H25" s="1676"/>
      <c r="I25" s="1689"/>
      <c r="J25" s="1676"/>
      <c r="K25" s="323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31.8" thickBot="1">
      <c r="A26" s="1734"/>
      <c r="B26" s="1731" t="s">
        <v>1971</v>
      </c>
      <c r="C26" s="1691" t="s">
        <v>2326</v>
      </c>
      <c r="D26" s="1642"/>
      <c r="E26" s="1642"/>
      <c r="F26" s="1670"/>
      <c r="G26" s="1676"/>
      <c r="H26" s="1676"/>
      <c r="I26" s="1689"/>
      <c r="J26" s="1676"/>
      <c r="K26" s="323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2" t="s">
        <v>1973</v>
      </c>
      <c r="E27" s="1696"/>
      <c r="F27" s="1670"/>
      <c r="G27" s="1676"/>
      <c r="H27" s="1676"/>
      <c r="I27" s="1689"/>
      <c r="J27" s="1676"/>
      <c r="K27" s="1755"/>
      <c r="L27" s="1705"/>
      <c r="M27" s="1705"/>
      <c r="N27" s="1676"/>
      <c r="O27" s="1677"/>
      <c r="P27" s="1676"/>
      <c r="Q27" s="1676"/>
      <c r="R27" s="1676"/>
      <c r="S27" s="1676"/>
      <c r="T27" s="1676"/>
      <c r="U27" s="1676"/>
    </row>
    <row r="28" spans="1:21">
      <c r="A28" s="1738"/>
      <c r="B28" s="1735" t="s">
        <v>1974</v>
      </c>
      <c r="C28" s="1697"/>
      <c r="D28" s="2613" t="s">
        <v>1974</v>
      </c>
      <c r="E28" s="1698"/>
      <c r="F28" s="1670"/>
      <c r="G28" s="1676"/>
      <c r="H28" s="1676"/>
      <c r="I28" s="1689"/>
      <c r="J28" s="1676"/>
      <c r="K28" s="1755"/>
      <c r="L28" s="1705"/>
      <c r="M28" s="1705"/>
      <c r="N28" s="1676"/>
      <c r="O28" s="1677"/>
      <c r="P28" s="1676"/>
      <c r="Q28" s="1676"/>
      <c r="R28" s="1676"/>
      <c r="S28" s="1676"/>
      <c r="T28" s="1676"/>
      <c r="U28" s="1676"/>
    </row>
    <row r="29" spans="1:21">
      <c r="A29" s="1738"/>
      <c r="B29" s="1735" t="s">
        <v>1975</v>
      </c>
      <c r="C29" s="1697"/>
      <c r="D29" s="2613" t="s">
        <v>1975</v>
      </c>
      <c r="E29" s="1698"/>
      <c r="F29" s="1670"/>
      <c r="G29" s="1676"/>
      <c r="H29" s="1676"/>
      <c r="I29" s="1689"/>
      <c r="J29" s="1676"/>
      <c r="K29" s="1755"/>
      <c r="L29" s="1705"/>
      <c r="M29" s="1705"/>
      <c r="N29" s="1676"/>
      <c r="O29" s="1677"/>
      <c r="P29" s="1676"/>
      <c r="Q29" s="1676"/>
      <c r="R29" s="1676"/>
      <c r="S29" s="1676"/>
      <c r="T29" s="1676"/>
      <c r="U29" s="1676"/>
    </row>
    <row r="30" spans="1:21" ht="16.2" thickBot="1">
      <c r="A30" s="1739"/>
      <c r="B30" s="1736" t="s">
        <v>1976</v>
      </c>
      <c r="C30" s="1699"/>
      <c r="D30" s="2614" t="s">
        <v>1976</v>
      </c>
      <c r="E30" s="1700"/>
      <c r="F30" s="1671"/>
      <c r="G30" s="1724"/>
      <c r="H30" s="1724"/>
      <c r="I30" s="1725"/>
      <c r="J30" s="1676"/>
      <c r="K30" s="1755"/>
      <c r="L30" s="1705"/>
      <c r="M30" s="1705"/>
      <c r="N30" s="1676"/>
      <c r="O30" s="1677"/>
      <c r="P30" s="1676"/>
      <c r="Q30" s="1676"/>
      <c r="R30" s="1676"/>
      <c r="S30" s="1676"/>
      <c r="T30" s="1676"/>
      <c r="U30" s="1676"/>
    </row>
    <row r="31" spans="1:21" ht="16.2" thickTop="1">
      <c r="A31" s="3264" t="s">
        <v>2001</v>
      </c>
      <c r="B31" s="1745" t="s">
        <v>2002</v>
      </c>
      <c r="C31" s="3262" t="s">
        <v>3000</v>
      </c>
      <c r="D31" s="3263"/>
      <c r="E31" s="1676"/>
      <c r="F31" s="1676"/>
      <c r="G31" s="1676"/>
      <c r="H31" s="1676"/>
      <c r="I31" s="1689"/>
      <c r="J31" s="1676"/>
      <c r="K31" s="2419"/>
      <c r="L31" s="1676"/>
      <c r="M31" s="1676"/>
      <c r="N31" s="1676"/>
      <c r="O31" s="1676"/>
      <c r="P31" s="1676"/>
      <c r="Q31" s="1676"/>
      <c r="R31" s="1676"/>
      <c r="S31" s="1676"/>
      <c r="T31" s="1676"/>
      <c r="U31" s="1676"/>
    </row>
    <row r="32" spans="1:21">
      <c r="A32" s="3264"/>
      <c r="B32" s="1643" t="s">
        <v>2003</v>
      </c>
      <c r="C32" s="1701"/>
      <c r="D32" s="1702"/>
      <c r="E32" s="1676"/>
      <c r="F32" s="1676"/>
      <c r="G32" s="1676"/>
      <c r="H32" s="1676"/>
      <c r="I32" s="1689"/>
      <c r="J32" s="1676"/>
      <c r="K32" s="2419"/>
      <c r="L32" s="1676"/>
      <c r="M32" s="1676"/>
      <c r="N32" s="1676"/>
      <c r="O32" s="1676"/>
      <c r="P32" s="1676"/>
      <c r="Q32" s="1676"/>
      <c r="R32" s="1676"/>
      <c r="S32" s="1676"/>
      <c r="T32" s="1676"/>
      <c r="U32" s="1676"/>
    </row>
    <row r="33" spans="1:21">
      <c r="A33" s="3264"/>
      <c r="B33" s="1643" t="s">
        <v>2004</v>
      </c>
      <c r="C33" s="1703"/>
      <c r="D33" s="1819"/>
      <c r="E33" s="1676"/>
      <c r="F33" s="1676"/>
      <c r="G33" s="1676"/>
      <c r="H33" s="1676"/>
      <c r="I33" s="1689"/>
      <c r="J33" s="1676"/>
      <c r="K33" s="2419"/>
      <c r="L33" s="1676"/>
      <c r="M33" s="1676"/>
      <c r="N33" s="1676"/>
      <c r="O33" s="1676"/>
      <c r="P33" s="1676"/>
      <c r="Q33" s="1676"/>
      <c r="R33" s="1676"/>
      <c r="S33" s="1676"/>
      <c r="T33" s="1676"/>
      <c r="U33" s="1676"/>
    </row>
    <row r="34" spans="1:21">
      <c r="A34" s="3265"/>
      <c r="B34" s="1643" t="s">
        <v>2005</v>
      </c>
      <c r="C34" s="3266"/>
      <c r="D34" s="3267"/>
      <c r="E34" s="1676"/>
      <c r="F34" s="1676"/>
      <c r="G34" s="1676"/>
      <c r="H34" s="1676"/>
      <c r="I34" s="1689"/>
      <c r="J34" s="1676"/>
      <c r="K34" s="2419"/>
      <c r="L34" s="1676"/>
      <c r="M34" s="1676"/>
      <c r="N34" s="1676"/>
      <c r="O34" s="1676"/>
      <c r="P34" s="1676"/>
      <c r="Q34" s="1676"/>
      <c r="R34" s="1676"/>
      <c r="S34" s="1676"/>
      <c r="T34" s="1676"/>
      <c r="U34" s="1676"/>
    </row>
    <row r="35" spans="1:21">
      <c r="A35" s="3268" t="s">
        <v>847</v>
      </c>
      <c r="B35" s="1704" t="s">
        <v>3321</v>
      </c>
      <c r="C35" s="1757" t="str">
        <f>IF(B35="场地平整","——","具体情况：")</f>
        <v>具体情况：</v>
      </c>
      <c r="D35" s="3270" t="s">
        <v>3322</v>
      </c>
      <c r="E35" s="3271"/>
      <c r="F35" s="3271"/>
      <c r="G35" s="3271"/>
      <c r="H35" s="3271"/>
      <c r="I35" s="3272"/>
      <c r="J35" s="1676"/>
      <c r="K35" s="1756"/>
      <c r="L35" s="1705"/>
      <c r="M35" s="1705"/>
      <c r="N35" s="1676"/>
      <c r="O35" s="1677"/>
      <c r="P35" s="1676"/>
      <c r="Q35" s="1676"/>
      <c r="R35" s="1676"/>
      <c r="S35" s="1676"/>
      <c r="T35" s="1676"/>
      <c r="U35" s="1676"/>
    </row>
    <row r="36" spans="1:21" ht="31.2">
      <c r="A36" s="3264"/>
      <c r="B36" s="3273" t="s">
        <v>2054</v>
      </c>
      <c r="C36" s="3274"/>
      <c r="D36" s="1773" t="s">
        <v>3323</v>
      </c>
      <c r="E36" s="3275"/>
      <c r="F36" s="3275"/>
      <c r="G36" s="1669" t="str">
        <f>IF(B35="场地未平整","估价结果处理","")</f>
        <v>估价结果处理</v>
      </c>
      <c r="H36" s="3276"/>
      <c r="I36" s="3276"/>
      <c r="J36" s="1676"/>
      <c r="K36" s="1756"/>
      <c r="L36" s="1705"/>
      <c r="M36" s="1705"/>
      <c r="N36" s="1676"/>
      <c r="O36" s="1677"/>
      <c r="P36" s="1676"/>
      <c r="Q36" s="1676"/>
      <c r="R36" s="1676"/>
      <c r="S36" s="1676"/>
      <c r="T36" s="1676"/>
      <c r="U36" s="1676"/>
    </row>
    <row r="37" spans="1:21" ht="31.2">
      <c r="A37" s="3264"/>
      <c r="B37" s="3253" t="s">
        <v>848</v>
      </c>
      <c r="C37" s="1706" t="s">
        <v>849</v>
      </c>
      <c r="D37" s="1707"/>
      <c r="E37" s="1708"/>
      <c r="F37" s="1676"/>
      <c r="G37" s="1676"/>
      <c r="H37" s="1676"/>
      <c r="I37" s="1689"/>
      <c r="J37" s="1676"/>
      <c r="K37" s="1756"/>
      <c r="L37" s="1676"/>
      <c r="M37" s="1676"/>
      <c r="N37" s="1676"/>
      <c r="O37" s="1676"/>
      <c r="P37" s="1676"/>
      <c r="Q37" s="1676"/>
      <c r="R37" s="1676"/>
      <c r="S37" s="1676"/>
      <c r="T37" s="1676"/>
      <c r="U37" s="1676"/>
    </row>
    <row r="38" spans="1:21">
      <c r="A38" s="3264"/>
      <c r="B38" s="3254"/>
      <c r="C38" s="1651" t="s">
        <v>850</v>
      </c>
      <c r="D38" s="1772">
        <f>ROUNDDOWN(MIN(('数据-取费表'!$B$2-D37)/365,D34),1)</f>
        <v>120.1</v>
      </c>
      <c r="E38" s="1709" t="s">
        <v>851</v>
      </c>
      <c r="F38" s="1676"/>
      <c r="G38" s="1676"/>
      <c r="H38" s="1676"/>
      <c r="I38" s="1689"/>
      <c r="J38" s="1676"/>
      <c r="K38" s="1756"/>
      <c r="L38" s="1676"/>
      <c r="M38" s="1676"/>
      <c r="N38" s="1676"/>
      <c r="O38" s="1676"/>
      <c r="P38" s="1676"/>
      <c r="Q38" s="1676"/>
      <c r="R38" s="1676"/>
      <c r="S38" s="1676"/>
      <c r="T38" s="1676"/>
      <c r="U38" s="1676"/>
    </row>
    <row r="39" spans="1:21">
      <c r="A39" s="3265"/>
      <c r="B39" s="325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5"/>
      <c r="L39" s="1705"/>
      <c r="M39" s="1705"/>
      <c r="N39" s="1676"/>
      <c r="O39" s="1677"/>
      <c r="P39" s="1676"/>
      <c r="Q39" s="1676"/>
      <c r="R39" s="1676"/>
      <c r="S39" s="1676"/>
      <c r="T39" s="1676"/>
      <c r="U39" s="1676"/>
    </row>
    <row r="40" spans="1:21">
      <c r="A40" s="1669" t="s">
        <v>1977</v>
      </c>
      <c r="B40" s="1672" t="s">
        <v>3001</v>
      </c>
      <c r="C40" s="1672" t="s">
        <v>3002</v>
      </c>
      <c r="D40" s="1672" t="s">
        <v>3003</v>
      </c>
      <c r="E40" s="1672" t="s">
        <v>3318</v>
      </c>
      <c r="F40" s="1672" t="s">
        <v>3319</v>
      </c>
      <c r="G40" s="1672" t="s">
        <v>3320</v>
      </c>
      <c r="H40" s="1672"/>
      <c r="I40" s="1689"/>
      <c r="J40" s="1676"/>
      <c r="K40" s="1712">
        <f>COUNTIF(B40:H40,"——")</f>
        <v>0</v>
      </c>
      <c r="L40" s="1681" t="s">
        <v>1978</v>
      </c>
      <c r="M40" s="1678" t="s">
        <v>1979</v>
      </c>
      <c r="N40" s="1678" t="s">
        <v>1980</v>
      </c>
      <c r="O40" s="1678" t="s">
        <v>1981</v>
      </c>
      <c r="P40" s="1678" t="s">
        <v>1982</v>
      </c>
      <c r="Q40" s="1678" t="s">
        <v>1983</v>
      </c>
      <c r="R40" s="1678" t="s">
        <v>1984</v>
      </c>
      <c r="S40" s="3236" t="s">
        <v>1985</v>
      </c>
      <c r="T40" s="1713" t="str">
        <f>NUMBERSTRING(7-K40,1)&amp;"通"</f>
        <v>七通</v>
      </c>
      <c r="U40" s="1676"/>
    </row>
    <row r="41" spans="1:21" ht="46.8">
      <c r="A41" s="1645"/>
      <c r="B41" s="3269" t="s">
        <v>1721</v>
      </c>
      <c r="C41" s="3269"/>
      <c r="D41" s="3269"/>
      <c r="E41" s="3269"/>
      <c r="F41" s="1714" t="str">
        <f>C10</f>
        <v>河南省郑州市金水区</v>
      </c>
      <c r="G41" s="1676"/>
      <c r="H41" s="1676"/>
      <c r="I41" s="1689"/>
      <c r="J41" s="1676"/>
      <c r="K41" s="1681"/>
      <c r="L41" s="1678" t="str">
        <f>B40</f>
        <v>通路</v>
      </c>
      <c r="M41" s="1715" t="str">
        <f>B40&amp;"、"&amp;C40</f>
        <v>通路、通电</v>
      </c>
      <c r="N41" s="1716" t="str">
        <f>B40&amp;"、"&amp;C40&amp;"、"&amp;D40</f>
        <v>通路、通电、通上水</v>
      </c>
      <c r="O41" s="1716" t="str">
        <f>B40&amp;"、"&amp;C40&amp;"、"&amp;D40&amp;"、"&amp;E40</f>
        <v>通路、通电、通上水、通下水</v>
      </c>
      <c r="P41" s="1716" t="str">
        <f>B40&amp;"、"&amp;C40&amp;"、"&amp;D40&amp;"、"&amp;E40&amp;"、"&amp;F40</f>
        <v>通路、通电、通上水、通下水、通热</v>
      </c>
      <c r="Q41" s="1716" t="str">
        <f>B40&amp;"、"&amp;C40&amp;"、"&amp;D40&amp;"、"&amp;E40&amp;"、"&amp;F40&amp;"、"&amp;G40</f>
        <v>通路、通电、通上水、通下水、通热、燃气</v>
      </c>
      <c r="R41" s="1716" t="str">
        <f>B40&amp;"、"&amp;C40&amp;"、"&amp;D40&amp;"、"&amp;E40&amp;"、"&amp;F40&amp;"、"&amp;G40&amp;"、"&amp;H40</f>
        <v>通路、通电、通上水、通下水、通热、燃气、</v>
      </c>
      <c r="S41" s="3236"/>
      <c r="T41" s="1715" t="str">
        <f>IF(T40="一通",L41,IF(T40="二通",M41,IF(T40="三通",N41,IF(T40="四通",O41,IF(T40="五通",P41,IF(T40="六通",Q41,R41))))))</f>
        <v>通路、通电、通上水、通下水、通热、燃气、</v>
      </c>
      <c r="U41" s="1676"/>
    </row>
    <row r="42" spans="1:21">
      <c r="A42" s="1717"/>
      <c r="B42" s="1747" t="s">
        <v>1897</v>
      </c>
      <c r="C42" s="1747" t="s">
        <v>1898</v>
      </c>
      <c r="D42" s="1747" t="s">
        <v>1899</v>
      </c>
      <c r="E42" s="1681" t="s">
        <v>1900</v>
      </c>
      <c r="F42" s="1718"/>
      <c r="G42" s="1676"/>
      <c r="H42" s="1676"/>
      <c r="I42" s="1689"/>
      <c r="J42" s="1676"/>
      <c r="K42" s="1755"/>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5"/>
      <c r="L43" s="1705"/>
      <c r="M43" s="1705"/>
      <c r="N43" s="1676"/>
      <c r="O43" s="1677"/>
      <c r="P43" s="1676"/>
      <c r="Q43" s="1676"/>
      <c r="R43" s="1676"/>
      <c r="S43" s="1676"/>
      <c r="T43" s="1676"/>
      <c r="U43" s="1676"/>
    </row>
    <row r="44" spans="1:21">
      <c r="A44" s="1719" t="s">
        <v>1707</v>
      </c>
      <c r="B44" s="1720"/>
      <c r="C44" s="1720"/>
      <c r="D44" s="1720"/>
      <c r="E44" s="1773"/>
      <c r="F44" s="1721"/>
      <c r="G44" s="1676"/>
      <c r="H44" s="1676"/>
      <c r="I44" s="1689"/>
      <c r="J44" s="1676"/>
      <c r="K44" s="1755"/>
      <c r="L44" s="1705"/>
      <c r="M44" s="1705"/>
      <c r="N44" s="1676"/>
      <c r="O44" s="1677"/>
      <c r="P44" s="1676"/>
      <c r="Q44" s="1676"/>
      <c r="R44" s="1676"/>
      <c r="S44" s="1676"/>
      <c r="T44" s="1676"/>
      <c r="U44" s="1676"/>
    </row>
    <row r="45" spans="1:21" s="3021" customFormat="1" ht="21" thickBot="1">
      <c r="A45" s="3022" t="s">
        <v>2891</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5"/>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5"/>
      <c r="L47" s="1705"/>
      <c r="M47" s="1705"/>
      <c r="N47" s="1676"/>
      <c r="O47" s="1677"/>
      <c r="P47" s="1676"/>
      <c r="Q47" s="1676"/>
      <c r="R47" s="1676"/>
      <c r="S47" s="1676"/>
      <c r="T47" s="1676"/>
      <c r="U47" s="1676"/>
    </row>
    <row r="48" spans="1:21" ht="46.8">
      <c r="A48" s="1681" t="s">
        <v>2007</v>
      </c>
      <c r="B48" s="1668" t="s">
        <v>2008</v>
      </c>
      <c r="C48" s="1668" t="s">
        <v>2009</v>
      </c>
      <c r="D48" s="1668" t="s">
        <v>2010</v>
      </c>
      <c r="E48" s="1668" t="s">
        <v>2011</v>
      </c>
      <c r="F48" s="1668" t="s">
        <v>2012</v>
      </c>
      <c r="G48" s="1668" t="s">
        <v>2013</v>
      </c>
      <c r="H48" s="1668" t="s">
        <v>2014</v>
      </c>
      <c r="I48" s="1668" t="s">
        <v>2015</v>
      </c>
      <c r="J48" s="1753" t="s">
        <v>2016</v>
      </c>
      <c r="K48" s="1747" t="s">
        <v>2017</v>
      </c>
      <c r="L48" s="1747" t="s">
        <v>2018</v>
      </c>
      <c r="M48" s="1747"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0"/>
      <c r="K49" s="1821"/>
      <c r="L49" s="1821"/>
      <c r="M49" s="1712"/>
      <c r="N49" s="1712"/>
      <c r="O49" s="1712"/>
      <c r="P49" s="1712"/>
      <c r="Q49" s="1712"/>
      <c r="R49" s="1712"/>
      <c r="S49" s="1676"/>
      <c r="T49" s="1676"/>
      <c r="U49" s="1676"/>
    </row>
    <row r="50" spans="1:21">
      <c r="A50" s="1678"/>
      <c r="B50" s="1678"/>
      <c r="C50" s="1712"/>
      <c r="D50" s="1712"/>
      <c r="E50" s="1712"/>
      <c r="F50" s="1712"/>
      <c r="G50" s="1712"/>
      <c r="H50" s="1712"/>
      <c r="I50" s="1712"/>
      <c r="J50" s="1820"/>
      <c r="K50" s="1821"/>
      <c r="L50" s="1821"/>
      <c r="M50" s="1712"/>
      <c r="N50" s="1712"/>
      <c r="O50" s="1712"/>
      <c r="P50" s="1712"/>
      <c r="Q50" s="1712"/>
      <c r="R50" s="1712"/>
      <c r="S50" s="1676"/>
      <c r="T50" s="1676"/>
      <c r="U50" s="1676"/>
    </row>
    <row r="51" spans="1:21">
      <c r="A51" s="1678"/>
      <c r="B51" s="1678"/>
      <c r="C51" s="1712"/>
      <c r="D51" s="1712"/>
      <c r="E51" s="1712"/>
      <c r="F51" s="1712"/>
      <c r="G51" s="1712"/>
      <c r="H51" s="1712"/>
      <c r="I51" s="1712"/>
      <c r="J51" s="1820"/>
      <c r="K51" s="1821"/>
      <c r="L51" s="1821"/>
      <c r="M51" s="1712"/>
      <c r="N51" s="1712"/>
      <c r="O51" s="1712"/>
      <c r="P51" s="1712"/>
      <c r="Q51" s="1712"/>
      <c r="R51" s="1712"/>
      <c r="S51" s="1676"/>
      <c r="T51" s="1676"/>
      <c r="U51" s="1676"/>
    </row>
    <row r="52" spans="1:21">
      <c r="A52" s="1678"/>
      <c r="B52" s="1678"/>
      <c r="C52" s="1712"/>
      <c r="D52" s="1712"/>
      <c r="E52" s="1712"/>
      <c r="F52" s="1712"/>
      <c r="G52" s="1712"/>
      <c r="H52" s="1712"/>
      <c r="I52" s="1712"/>
      <c r="J52" s="1820"/>
      <c r="K52" s="1821"/>
      <c r="L52" s="1821"/>
      <c r="M52" s="1712"/>
      <c r="N52" s="1712"/>
      <c r="O52" s="1712"/>
      <c r="P52" s="1712"/>
      <c r="Q52" s="1712"/>
      <c r="R52" s="1712"/>
      <c r="S52" s="1676"/>
      <c r="T52" s="1676"/>
      <c r="U52" s="1676"/>
    </row>
    <row r="53" spans="1:21">
      <c r="A53" s="1678"/>
      <c r="B53" s="1678"/>
      <c r="C53" s="1712"/>
      <c r="D53" s="1712"/>
      <c r="E53" s="1712"/>
      <c r="F53" s="1712"/>
      <c r="G53" s="1712"/>
      <c r="H53" s="1712"/>
      <c r="I53" s="1712"/>
      <c r="J53" s="1820"/>
      <c r="K53" s="1821"/>
      <c r="L53" s="1821"/>
      <c r="M53" s="1712"/>
      <c r="N53" s="1712"/>
      <c r="O53" s="1712"/>
      <c r="P53" s="1712"/>
      <c r="Q53" s="1712"/>
      <c r="R53" s="1712"/>
      <c r="S53" s="1676"/>
      <c r="T53" s="1676"/>
      <c r="U53" s="1676"/>
    </row>
    <row r="54" spans="1:21">
      <c r="A54" s="1678"/>
      <c r="B54" s="1678"/>
      <c r="C54" s="1678"/>
      <c r="D54" s="1678"/>
      <c r="E54" s="1678"/>
      <c r="F54" s="1712"/>
      <c r="G54" s="1678"/>
      <c r="H54" s="1678"/>
      <c r="I54" s="1678"/>
      <c r="J54" s="1822"/>
      <c r="K54" s="1821"/>
      <c r="L54" s="1821"/>
      <c r="M54" s="1821"/>
      <c r="N54" s="1678"/>
      <c r="O54" s="1678"/>
      <c r="P54" s="1678"/>
      <c r="Q54" s="1678"/>
      <c r="R54" s="1678"/>
      <c r="S54" s="1676"/>
      <c r="T54" s="1676"/>
      <c r="U54" s="1676"/>
    </row>
    <row r="55" spans="1:21">
      <c r="A55" s="1678"/>
      <c r="B55" s="1678"/>
      <c r="C55" s="1678"/>
      <c r="D55" s="1678"/>
      <c r="E55" s="1678"/>
      <c r="F55" s="1712"/>
      <c r="G55" s="1678"/>
      <c r="H55" s="1678"/>
      <c r="I55" s="1678"/>
      <c r="J55" s="1822"/>
      <c r="K55" s="1821"/>
      <c r="L55" s="1821"/>
      <c r="M55" s="1821"/>
      <c r="N55" s="1678"/>
      <c r="O55" s="1678"/>
      <c r="P55" s="1678"/>
      <c r="Q55" s="1678"/>
      <c r="R55" s="1678"/>
      <c r="S55" s="1676"/>
      <c r="T55" s="1676"/>
      <c r="U55" s="1676"/>
    </row>
    <row r="56" spans="1:21">
      <c r="A56" s="1678"/>
      <c r="B56" s="1678"/>
      <c r="C56" s="1678"/>
      <c r="D56" s="1678"/>
      <c r="E56" s="1678"/>
      <c r="F56" s="1712"/>
      <c r="G56" s="1678"/>
      <c r="H56" s="1678"/>
      <c r="I56" s="1678"/>
      <c r="J56" s="1822"/>
      <c r="K56" s="1821"/>
      <c r="L56" s="1821"/>
      <c r="M56" s="1821"/>
      <c r="N56" s="1678"/>
      <c r="O56" s="1678"/>
      <c r="P56" s="1678"/>
      <c r="Q56" s="1678"/>
      <c r="R56" s="1678"/>
      <c r="S56" s="1676"/>
      <c r="T56" s="1676"/>
      <c r="U56" s="1676"/>
    </row>
    <row r="57" spans="1:21">
      <c r="A57" s="1678"/>
      <c r="B57" s="1678"/>
      <c r="C57" s="1678"/>
      <c r="D57" s="1678"/>
      <c r="E57" s="1678"/>
      <c r="F57" s="1712"/>
      <c r="G57" s="1678"/>
      <c r="H57" s="1678"/>
      <c r="I57" s="1678"/>
      <c r="J57" s="1822"/>
      <c r="K57" s="1821"/>
      <c r="L57" s="1821"/>
      <c r="M57" s="1821"/>
      <c r="N57" s="1678"/>
      <c r="O57" s="1678"/>
      <c r="P57" s="1678"/>
      <c r="Q57" s="1678"/>
      <c r="R57" s="1678"/>
      <c r="S57" s="1676"/>
      <c r="T57" s="1676"/>
      <c r="U57" s="1676"/>
    </row>
    <row r="58" spans="1:21">
      <c r="A58" s="1678"/>
      <c r="B58" s="1678"/>
      <c r="C58" s="1678"/>
      <c r="D58" s="1678"/>
      <c r="E58" s="1678"/>
      <c r="F58" s="1712"/>
      <c r="G58" s="1678"/>
      <c r="H58" s="1678"/>
      <c r="I58" s="1678"/>
      <c r="J58" s="1822"/>
      <c r="K58" s="1821"/>
      <c r="L58" s="1821"/>
      <c r="M58" s="1821"/>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11.66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44140625" style="15" bestFit="1" customWidth="1"/>
    <col min="31" max="31" width="9.77734375" style="15" customWidth="1"/>
    <col min="32" max="32" width="9.44140625" style="15" customWidth="1"/>
    <col min="33" max="33" width="12" style="15" customWidth="1"/>
    <col min="34" max="34" width="11.44140625" style="15" customWidth="1"/>
    <col min="35"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2333</v>
      </c>
      <c r="BA2" s="2322"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v>15094.79</v>
      </c>
      <c r="B3" s="22">
        <f>IF(C3="否",G5-AT5,G5)</f>
        <v>69312.710000000006</v>
      </c>
      <c r="C3" s="23" t="s">
        <v>3004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69312.710000000006</v>
      </c>
      <c r="H5" s="27">
        <f t="shared" ref="H5:AT5" si="0">SUM(H13:H641)</f>
        <v>65338.640000000007</v>
      </c>
      <c r="I5" s="27">
        <f t="shared" si="0"/>
        <v>46924.41</v>
      </c>
      <c r="J5" s="27">
        <f t="shared" si="0"/>
        <v>0</v>
      </c>
      <c r="K5" s="27">
        <f t="shared" si="0"/>
        <v>1853.16</v>
      </c>
      <c r="L5" s="27">
        <f t="shared" si="0"/>
        <v>0</v>
      </c>
      <c r="M5" s="27">
        <f t="shared" si="0"/>
        <v>16561.07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3974.07</v>
      </c>
      <c r="AD5" s="27">
        <f t="shared" si="0"/>
        <v>676.67000000000007</v>
      </c>
      <c r="AE5" s="27">
        <f t="shared" si="0"/>
        <v>0</v>
      </c>
      <c r="AF5" s="27">
        <f t="shared" si="0"/>
        <v>2249.37</v>
      </c>
      <c r="AG5" s="27">
        <f t="shared" si="0"/>
        <v>0</v>
      </c>
      <c r="AH5" s="27">
        <f t="shared" si="0"/>
        <v>223.03</v>
      </c>
      <c r="AI5" s="27">
        <f t="shared" si="0"/>
        <v>0</v>
      </c>
      <c r="AJ5" s="27">
        <f t="shared" si="0"/>
        <v>55</v>
      </c>
      <c r="AK5" s="27">
        <f t="shared" si="0"/>
        <v>0</v>
      </c>
      <c r="AL5" s="27">
        <f t="shared" si="0"/>
        <v>0</v>
      </c>
      <c r="AM5" s="27">
        <f t="shared" si="0"/>
        <v>0</v>
      </c>
      <c r="AN5" s="27">
        <f t="shared" si="0"/>
        <v>770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69312.710000000006</v>
      </c>
      <c r="BA5" s="29">
        <f t="shared" si="1"/>
        <v>65338.640000000007</v>
      </c>
      <c r="BB5" s="29">
        <f t="shared" si="1"/>
        <v>46924.41</v>
      </c>
      <c r="BC5" s="29">
        <f t="shared" si="1"/>
        <v>1853.16</v>
      </c>
      <c r="BD5" s="29">
        <f t="shared" si="1"/>
        <v>16561.07</v>
      </c>
      <c r="BE5" s="29">
        <f t="shared" si="1"/>
        <v>0</v>
      </c>
      <c r="BF5" s="29">
        <f t="shared" si="1"/>
        <v>0</v>
      </c>
      <c r="BG5" s="29">
        <f t="shared" si="1"/>
        <v>0</v>
      </c>
      <c r="BH5" s="29">
        <f t="shared" si="1"/>
        <v>0</v>
      </c>
      <c r="BI5" s="29">
        <f t="shared" si="1"/>
        <v>0</v>
      </c>
      <c r="BJ5" s="29">
        <f t="shared" si="1"/>
        <v>0</v>
      </c>
      <c r="BK5" s="29">
        <f t="shared" si="1"/>
        <v>0</v>
      </c>
      <c r="BL5" s="29">
        <f t="shared" si="1"/>
        <v>3974.07</v>
      </c>
      <c r="BM5" s="29">
        <f t="shared" si="1"/>
        <v>676.67000000000007</v>
      </c>
      <c r="BN5" s="29">
        <f t="shared" si="1"/>
        <v>2249.37</v>
      </c>
      <c r="BO5" s="29">
        <f t="shared" si="1"/>
        <v>223.03</v>
      </c>
      <c r="BP5" s="29">
        <f t="shared" si="1"/>
        <v>55</v>
      </c>
      <c r="BQ5" s="29">
        <f t="shared" si="1"/>
        <v>0</v>
      </c>
      <c r="BR5" s="29">
        <f t="shared" si="1"/>
        <v>770</v>
      </c>
      <c r="BS5" s="29">
        <f t="shared" si="1"/>
        <v>0</v>
      </c>
      <c r="BT5" s="30">
        <f t="shared" si="1"/>
        <v>0</v>
      </c>
    </row>
    <row r="6" spans="1:72" s="37" customFormat="1" ht="13.2">
      <c r="A6" s="26" t="s">
        <v>169</v>
      </c>
      <c r="B6" s="31"/>
      <c r="C6" s="31"/>
      <c r="D6" s="32"/>
      <c r="E6" s="27">
        <f>H6+AC6+AT6</f>
        <v>15094.79</v>
      </c>
      <c r="F6" s="27" t="s">
        <v>1</v>
      </c>
      <c r="G6" s="27" t="s">
        <v>2</v>
      </c>
      <c r="H6" s="33">
        <f>SUMIF(I$12:AB$12,"总值",I6:AB6)</f>
        <v>14229.33</v>
      </c>
      <c r="I6" s="27">
        <f t="shared" ref="I6:AB6" si="2">ROUND($A$3*I5/$B$3,2)</f>
        <v>10219.11</v>
      </c>
      <c r="J6" s="27">
        <f t="shared" si="2"/>
        <v>0</v>
      </c>
      <c r="K6" s="27">
        <f t="shared" si="2"/>
        <v>403.58</v>
      </c>
      <c r="L6" s="27">
        <f t="shared" si="2"/>
        <v>0</v>
      </c>
      <c r="M6" s="27">
        <f t="shared" si="2"/>
        <v>3606.64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865.46</v>
      </c>
      <c r="AD6" s="27">
        <f t="shared" ref="AD6:AS6" si="3">ROUND($A$3*AD5/$B$3,2)</f>
        <v>147.36000000000001</v>
      </c>
      <c r="AE6" s="27">
        <f t="shared" si="3"/>
        <v>0</v>
      </c>
      <c r="AF6" s="27">
        <f t="shared" si="3"/>
        <v>489.86</v>
      </c>
      <c r="AG6" s="27">
        <f t="shared" si="3"/>
        <v>0</v>
      </c>
      <c r="AH6" s="27">
        <f t="shared" si="3"/>
        <v>48.57</v>
      </c>
      <c r="AI6" s="27">
        <f t="shared" si="3"/>
        <v>0</v>
      </c>
      <c r="AJ6" s="27">
        <f t="shared" si="3"/>
        <v>11.98</v>
      </c>
      <c r="AK6" s="27">
        <f t="shared" si="3"/>
        <v>0</v>
      </c>
      <c r="AL6" s="27">
        <f t="shared" si="3"/>
        <v>0</v>
      </c>
      <c r="AM6" s="27">
        <f t="shared" si="3"/>
        <v>0</v>
      </c>
      <c r="AN6" s="27">
        <f t="shared" si="3"/>
        <v>167.69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15094.79</v>
      </c>
      <c r="AZ6" s="27" t="s">
        <v>3</v>
      </c>
      <c r="BA6" s="27">
        <f>ROUND($AY$6*BA5/$AZ$5,2)</f>
        <v>14229.32</v>
      </c>
      <c r="BB6" s="27">
        <f>ROUND($AY$6*BB5/$AZ$5,2)</f>
        <v>10219.11</v>
      </c>
      <c r="BC6" s="27">
        <f t="shared" ref="BC6:BH6" si="4">ROUND($AY$6*BC5/$AZ$5,2)</f>
        <v>403.58</v>
      </c>
      <c r="BD6" s="27">
        <f t="shared" si="4"/>
        <v>3606.64</v>
      </c>
      <c r="BE6" s="27">
        <f t="shared" si="4"/>
        <v>0</v>
      </c>
      <c r="BF6" s="27">
        <f t="shared" si="4"/>
        <v>0</v>
      </c>
      <c r="BG6" s="27">
        <f t="shared" si="4"/>
        <v>0</v>
      </c>
      <c r="BH6" s="27">
        <f t="shared" si="4"/>
        <v>0</v>
      </c>
      <c r="BI6" s="27">
        <f t="shared" ref="BI6:BT6" si="5">ROUND($AY$6*BI5/$AZ$5,2)</f>
        <v>0</v>
      </c>
      <c r="BJ6" s="27">
        <f t="shared" si="5"/>
        <v>0</v>
      </c>
      <c r="BK6" s="27">
        <f t="shared" si="5"/>
        <v>0</v>
      </c>
      <c r="BL6" s="27">
        <f t="shared" si="5"/>
        <v>865.47</v>
      </c>
      <c r="BM6" s="27">
        <f t="shared" si="5"/>
        <v>147.36000000000001</v>
      </c>
      <c r="BN6" s="27">
        <f t="shared" si="5"/>
        <v>489.86</v>
      </c>
      <c r="BO6" s="27">
        <f t="shared" si="5"/>
        <v>48.57</v>
      </c>
      <c r="BP6" s="27">
        <f t="shared" si="5"/>
        <v>11.98</v>
      </c>
      <c r="BQ6" s="27">
        <f t="shared" si="5"/>
        <v>0</v>
      </c>
      <c r="BR6" s="27">
        <f t="shared" si="5"/>
        <v>167.69</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8" t="s">
        <v>3005</v>
      </c>
      <c r="J9" s="51"/>
      <c r="K9" s="2968" t="s">
        <v>3005</v>
      </c>
      <c r="L9" s="51"/>
      <c r="M9" s="2968" t="s">
        <v>3325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6" t="s">
        <v>2317</v>
      </c>
      <c r="AE10" s="2318"/>
      <c r="AF10" s="2296" t="s">
        <v>2317</v>
      </c>
      <c r="AG10" s="2318"/>
      <c r="AH10" s="2296" t="s">
        <v>2318</v>
      </c>
      <c r="AI10" s="2318"/>
      <c r="AJ10" s="26" t="s">
        <v>2331</v>
      </c>
      <c r="AK10" s="2315"/>
      <c r="AL10" s="2296" t="s">
        <v>2319</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9" t="s">
        <v>3006</v>
      </c>
      <c r="J11" s="71"/>
      <c r="K11" s="2969" t="s">
        <v>3324</v>
      </c>
      <c r="L11" s="71"/>
      <c r="M11" s="70" t="s">
        <v>2998</v>
      </c>
      <c r="N11" s="71"/>
      <c r="O11" s="70"/>
      <c r="P11" s="71"/>
      <c r="Q11" s="70"/>
      <c r="R11" s="71"/>
      <c r="S11" s="70"/>
      <c r="T11" s="71"/>
      <c r="U11" s="70"/>
      <c r="V11" s="71"/>
      <c r="W11" s="70"/>
      <c r="X11" s="71"/>
      <c r="Y11" s="70"/>
      <c r="Z11" s="71"/>
      <c r="AA11" s="70"/>
      <c r="AB11" s="71"/>
      <c r="AC11" s="55"/>
      <c r="AD11" s="2316" t="s">
        <v>2330</v>
      </c>
      <c r="AE11" s="1000"/>
      <c r="AF11" s="2316" t="s">
        <v>2330</v>
      </c>
      <c r="AG11" s="1000"/>
      <c r="AH11" s="2316" t="s">
        <v>2329</v>
      </c>
      <c r="AI11" s="2317"/>
      <c r="AJ11" s="2316" t="s">
        <v>2329</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t="str">
        <f>K11</f>
        <v>独立商业</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3"/>
      <c r="B13" s="2963"/>
      <c r="C13" s="2963"/>
      <c r="D13" s="2964" t="s">
        <v>1678</v>
      </c>
      <c r="E13" s="27">
        <f t="shared" ref="E13:E20" si="6">IF($C$3="是",ROUND($A$3*G13/$B$3,2),ROUND($A$3*(G13-AT13)/$B$3,2))</f>
        <v>15094.79</v>
      </c>
      <c r="F13" s="81"/>
      <c r="G13" s="82">
        <f t="shared" ref="G13:G20" si="7">H13+AC13+AT13</f>
        <v>69312.710000000006</v>
      </c>
      <c r="H13" s="33">
        <f t="shared" ref="H13:H20" si="8">SUMIF(I$12:AB$12,"总值",I13:AB13)</f>
        <v>65338.640000000007</v>
      </c>
      <c r="I13" s="2967">
        <v>46924.41</v>
      </c>
      <c r="J13" s="2967"/>
      <c r="K13" s="2967">
        <v>1853.16</v>
      </c>
      <c r="L13" s="2967"/>
      <c r="M13" s="2967">
        <v>16561.07</v>
      </c>
      <c r="N13" s="83"/>
      <c r="O13" s="83"/>
      <c r="P13" s="83"/>
      <c r="Q13" s="83"/>
      <c r="R13" s="83"/>
      <c r="S13" s="83"/>
      <c r="T13" s="83"/>
      <c r="U13" s="83"/>
      <c r="V13" s="83"/>
      <c r="W13" s="83"/>
      <c r="X13" s="83"/>
      <c r="Y13" s="83"/>
      <c r="Z13" s="83"/>
      <c r="AA13" s="83"/>
      <c r="AB13" s="83"/>
      <c r="AC13" s="27">
        <f t="shared" ref="AC13:AC20" si="9">SUMIF(AD$12:AS$12,"总值",AD13:AS13)</f>
        <v>3974.07</v>
      </c>
      <c r="AD13" s="2971">
        <f>356.3+300.36+20.01</f>
        <v>676.67000000000007</v>
      </c>
      <c r="AE13" s="2971"/>
      <c r="AF13" s="2971">
        <f>2249.37</f>
        <v>2249.37</v>
      </c>
      <c r="AG13" s="2971"/>
      <c r="AH13" s="2971">
        <v>223.03</v>
      </c>
      <c r="AI13" s="2971"/>
      <c r="AJ13" s="2971">
        <v>55</v>
      </c>
      <c r="AK13" s="2971"/>
      <c r="AL13" s="2971"/>
      <c r="AM13" s="2971"/>
      <c r="AN13" s="2971">
        <f>205+50+90+200+100+125</f>
        <v>770</v>
      </c>
      <c r="AO13" s="2971"/>
      <c r="AP13" s="2971"/>
      <c r="AQ13" s="2971"/>
      <c r="AR13" s="2971"/>
      <c r="AS13" s="2971"/>
      <c r="AT13" s="2972"/>
      <c r="AU13" s="2973"/>
      <c r="AV13" s="17">
        <f t="shared" ref="AV13:AX20" si="10">A13</f>
        <v>0</v>
      </c>
      <c r="AW13" s="17">
        <f t="shared" si="10"/>
        <v>0</v>
      </c>
      <c r="AX13" s="17">
        <f t="shared" si="10"/>
        <v>0</v>
      </c>
      <c r="AY13" s="994">
        <f t="shared" ref="AY13:AY20" si="11">ROUND($AY$6*AZ13/$AZ$5,2)</f>
        <v>15094.79</v>
      </c>
      <c r="AZ13" s="27">
        <f t="shared" ref="AZ13:AZ20" si="12">BA13+BL13</f>
        <v>69312.710000000006</v>
      </c>
      <c r="BA13" s="27">
        <f t="shared" ref="BA13:BA20" si="13">SUM(BB13:BK13)</f>
        <v>65338.640000000007</v>
      </c>
      <c r="BB13" s="27">
        <f t="shared" ref="BB13:BB20" si="14">IF($D13="是",I13-J13,0)</f>
        <v>46924.41</v>
      </c>
      <c r="BC13" s="27">
        <f t="shared" ref="BC13:BC20" si="15">IF($D13="是",K13-L13,0)</f>
        <v>1853.16</v>
      </c>
      <c r="BD13" s="27">
        <f t="shared" ref="BD13:BD20" si="16">IF($D13="是",M13-N13,0)</f>
        <v>16561.07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3974.07</v>
      </c>
      <c r="BM13" s="27">
        <f t="shared" ref="BM13:BM20" si="25">IF($D13="是",AD13-AE13,0)</f>
        <v>676.67000000000007</v>
      </c>
      <c r="BN13" s="27">
        <f t="shared" ref="BN13:BN20" si="26">IF($D13="是",AF13-AG13,0)</f>
        <v>2249.37</v>
      </c>
      <c r="BO13" s="27">
        <f t="shared" ref="BO13:BO20" si="27">IF($D13="是",AH13-AI13,0)</f>
        <v>223.03</v>
      </c>
      <c r="BP13" s="27">
        <f t="shared" ref="BP13:BP20" si="28">IF($D13="是",AJ13-AK13,0)</f>
        <v>55</v>
      </c>
      <c r="BQ13" s="27">
        <f t="shared" ref="BQ13:BQ20" si="29">IF($D13="是",AL13-AM13,0)</f>
        <v>0</v>
      </c>
      <c r="BR13" s="27">
        <f t="shared" ref="BR13:BR20" si="30">IF($D13="是",AN13-AO13,0)</f>
        <v>770</v>
      </c>
      <c r="BS13" s="27">
        <f t="shared" ref="BS13:BS20" si="31">IF($D13="是",AP13-AQ13,0)</f>
        <v>0</v>
      </c>
      <c r="BT13" s="36">
        <f t="shared" ref="BT13:BT20" si="32">IF($D13="是",AR13-AS13,0)</f>
        <v>0</v>
      </c>
    </row>
    <row r="14" spans="1:72" s="18" customFormat="1" ht="13.2">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3178"/>
      <c r="B18" s="3179"/>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1393"/>
      <c r="B19" s="3179"/>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3178"/>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3178"/>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3178"/>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3178"/>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3178"/>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3178"/>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46.8">
      <c r="A3" s="3277"/>
      <c r="B3" s="3277"/>
      <c r="C3" s="3277"/>
      <c r="D3" s="3278"/>
      <c r="E3" s="327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7" zoomScale="90" zoomScaleNormal="90" zoomScaleSheetLayoutView="90" workbookViewId="0">
      <selection activeCell="G24" sqref="G24"/>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288" t="s">
        <v>203</v>
      </c>
      <c r="B2" s="3288"/>
      <c r="C2" s="3288"/>
      <c r="D2" s="1957" t="s">
        <v>204</v>
      </c>
      <c r="E2" s="106" t="s">
        <v>205</v>
      </c>
      <c r="F2" s="1966"/>
      <c r="G2" s="1192"/>
      <c r="H2" s="1193"/>
      <c r="I2" s="1194" t="s">
        <v>857</v>
      </c>
      <c r="J2" s="1966"/>
      <c r="K2" s="1966"/>
      <c r="L2" s="1966"/>
    </row>
    <row r="3" spans="1:16" ht="15" thickBot="1">
      <c r="A3" s="3289" t="s">
        <v>206</v>
      </c>
      <c r="B3" s="3289"/>
      <c r="C3" s="3289"/>
      <c r="D3" s="107">
        <f>'数据-基础表'!AY6</f>
        <v>15094.79</v>
      </c>
      <c r="E3" s="107">
        <f>'数据-基础表'!AZ5</f>
        <v>69312.710000000006</v>
      </c>
      <c r="F3" s="1966"/>
      <c r="G3" s="279" t="s">
        <v>858</v>
      </c>
      <c r="H3" s="274" t="s">
        <v>859</v>
      </c>
      <c r="I3" s="1958">
        <f>ROUND('数据-基础表'!B3/'数据-基础表'!A3,2)</f>
        <v>4.59</v>
      </c>
      <c r="J3" s="1966"/>
      <c r="K3" s="1966"/>
      <c r="L3" s="1966"/>
    </row>
    <row r="4" spans="1:16" ht="14.4">
      <c r="A4" s="3290"/>
      <c r="B4" s="3291"/>
      <c r="C4" s="3292"/>
      <c r="D4" s="108" t="s">
        <v>204</v>
      </c>
      <c r="E4" s="109" t="s">
        <v>205</v>
      </c>
      <c r="F4" s="1966"/>
      <c r="G4" s="1195"/>
      <c r="H4" s="274" t="s">
        <v>860</v>
      </c>
      <c r="I4" s="1958">
        <f>ROUND(SUMIF('数据-基础表'!I9:AS9,"地上",'数据-基础表'!I5:AS5)/'数据-基础表'!A3,2)</f>
        <v>3.29</v>
      </c>
      <c r="J4" s="1966"/>
      <c r="K4" s="1966"/>
      <c r="L4" s="1966"/>
    </row>
    <row r="5" spans="1:16" ht="14.4">
      <c r="A5" s="110" t="s">
        <v>207</v>
      </c>
      <c r="B5" s="3293" t="s">
        <v>230</v>
      </c>
      <c r="C5" s="3293"/>
      <c r="D5" s="111">
        <f>ROUND($D$3*E5/$E$3,2)</f>
        <v>10219.11</v>
      </c>
      <c r="E5" s="112">
        <f>SUMIF('数据-基础表'!$11:$11,"住宅",'数据-基础表'!$5:$5)</f>
        <v>46924.41</v>
      </c>
      <c r="F5" s="1966"/>
      <c r="G5" s="279" t="s">
        <v>861</v>
      </c>
      <c r="H5" s="274" t="s">
        <v>859</v>
      </c>
      <c r="I5" s="1958">
        <f>ROUND(E31/D31,2)</f>
        <v>4.59</v>
      </c>
      <c r="J5" s="1966"/>
      <c r="K5" s="1966"/>
      <c r="L5" s="1966"/>
    </row>
    <row r="6" spans="1:16" ht="15" thickBot="1">
      <c r="A6" s="113"/>
      <c r="B6" s="3293" t="s">
        <v>208</v>
      </c>
      <c r="C6" s="3293"/>
      <c r="D6" s="111">
        <f>ROUND($D$3*E6/$E$3,2)</f>
        <v>4875.68</v>
      </c>
      <c r="E6" s="112">
        <f>E3-E5</f>
        <v>22388.300000000003</v>
      </c>
      <c r="F6" s="1966"/>
      <c r="G6" s="1195"/>
      <c r="H6" s="274" t="s">
        <v>860</v>
      </c>
      <c r="I6" s="1958">
        <f>ROUND(F31/D31,2)</f>
        <v>3.29</v>
      </c>
      <c r="J6" s="1966"/>
      <c r="K6" s="1966"/>
      <c r="L6" s="1966"/>
    </row>
    <row r="7" spans="1:16" ht="14.4">
      <c r="A7" s="3285"/>
      <c r="B7" s="3286"/>
      <c r="C7" s="3287"/>
      <c r="D7" s="108" t="s">
        <v>204</v>
      </c>
      <c r="E7" s="114" t="s">
        <v>231</v>
      </c>
      <c r="F7" s="1966"/>
      <c r="G7" s="1150" t="s">
        <v>1645</v>
      </c>
      <c r="H7" s="1151"/>
      <c r="I7" s="1828"/>
      <c r="J7" s="1966"/>
      <c r="K7" s="1966"/>
      <c r="L7" s="1966"/>
    </row>
    <row r="8" spans="1:16" ht="14.4">
      <c r="A8" s="110" t="s">
        <v>209</v>
      </c>
      <c r="B8" s="115" t="s">
        <v>210</v>
      </c>
      <c r="C8" s="111" t="s">
        <v>211</v>
      </c>
      <c r="D8" s="111">
        <f t="shared" ref="D8:D15" si="0">ROUND($D$3*E8/$E$3,2)</f>
        <v>10622.69</v>
      </c>
      <c r="E8" s="116">
        <f>SUMIF('数据-基础表'!BB10:BK10,"地上",'数据-基础表'!BB5:BK5)</f>
        <v>48777.570000000007</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ht="14.4">
      <c r="A11" s="117"/>
      <c r="B11" s="118"/>
      <c r="C11" s="2313" t="s">
        <v>2327</v>
      </c>
      <c r="D11" s="111">
        <f t="shared" si="0"/>
        <v>11.98</v>
      </c>
      <c r="E11" s="116">
        <f>SUMPRODUCT(('数据-基础表'!BB10:BK10="地下")*('数据-基础表'!BB11:BK11="办公")*('数据-基础表'!BB5:BK5))+'数据-基础表'!AJ5</f>
        <v>55</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2334</v>
      </c>
      <c r="D13" s="111">
        <f t="shared" si="0"/>
        <v>3606.64</v>
      </c>
      <c r="E13" s="116">
        <f>SUMPRODUCT(('数据-基础表'!BB10:BK10="地下")*('数据-基础表'!BB11:BK11="车库")*('数据-基础表'!BB5:BK5))</f>
        <v>16561.07</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14241.31</v>
      </c>
      <c r="E16" s="120">
        <f>SUM(E8:E15)</f>
        <v>65393.640000000007</v>
      </c>
      <c r="F16" s="1966"/>
      <c r="G16" s="1968"/>
      <c r="H16" s="966" t="s">
        <v>219</v>
      </c>
      <c r="I16" s="967"/>
      <c r="J16" s="1966"/>
      <c r="K16" s="3279" t="s">
        <v>2565</v>
      </c>
      <c r="L16" s="3280"/>
      <c r="M16" s="3280"/>
      <c r="N16" s="3280"/>
      <c r="O16" s="3280"/>
      <c r="P16" s="3281"/>
    </row>
    <row r="17" spans="1:19" ht="14.4">
      <c r="A17" s="121" t="s">
        <v>216</v>
      </c>
      <c r="B17" s="122" t="s">
        <v>217</v>
      </c>
      <c r="C17" s="2280" t="s">
        <v>2313</v>
      </c>
      <c r="D17" s="108" t="s">
        <v>204</v>
      </c>
      <c r="E17" s="124" t="s">
        <v>205</v>
      </c>
      <c r="F17" s="125"/>
      <c r="G17" s="1360"/>
      <c r="H17" s="968" t="s">
        <v>218</v>
      </c>
      <c r="I17" s="969" t="s">
        <v>2312</v>
      </c>
      <c r="J17" s="1966"/>
      <c r="K17" s="3282" t="s">
        <v>2566</v>
      </c>
      <c r="L17" s="3283"/>
      <c r="M17" s="3284"/>
      <c r="N17" s="3282" t="s">
        <v>2567</v>
      </c>
      <c r="O17" s="3283"/>
      <c r="P17" s="3284"/>
      <c r="R17" s="2281" t="s">
        <v>2311</v>
      </c>
      <c r="S17" s="144"/>
    </row>
    <row r="18" spans="1:19" ht="14.4">
      <c r="A18" s="117"/>
      <c r="B18" s="128"/>
      <c r="C18" s="129"/>
      <c r="D18" s="2603"/>
      <c r="E18" s="130" t="s">
        <v>220</v>
      </c>
      <c r="F18" s="131" t="s">
        <v>221</v>
      </c>
      <c r="G18" s="1361" t="s">
        <v>222</v>
      </c>
      <c r="H18" s="970" t="s">
        <v>223</v>
      </c>
      <c r="I18" s="971" t="s">
        <v>224</v>
      </c>
      <c r="J18" s="1966"/>
      <c r="K18" s="2566" t="s">
        <v>2568</v>
      </c>
      <c r="L18" s="2567" t="s">
        <v>2569</v>
      </c>
      <c r="M18" s="2568" t="s">
        <v>2570</v>
      </c>
      <c r="N18" s="2566" t="s">
        <v>2568</v>
      </c>
      <c r="O18" s="2567" t="s">
        <v>2569</v>
      </c>
      <c r="P18" s="2568" t="s">
        <v>2570</v>
      </c>
      <c r="R18" s="2282" t="s">
        <v>2309</v>
      </c>
      <c r="S18" s="2282" t="s">
        <v>2310</v>
      </c>
    </row>
    <row r="19" spans="1:19" ht="14.4">
      <c r="A19" s="133"/>
      <c r="B19" s="115" t="s">
        <v>225</v>
      </c>
      <c r="C19" s="2974" t="s">
        <v>3007</v>
      </c>
      <c r="D19" s="111">
        <f t="shared" ref="D19:D26" si="1">ROUND($D$3*E19/$E$3,2)</f>
        <v>10219.11</v>
      </c>
      <c r="E19" s="134">
        <f t="shared" ref="E19:E26" si="2">SUM(F19:G19)</f>
        <v>46924.41</v>
      </c>
      <c r="F19" s="135">
        <f>'数据-基础表'!BB5</f>
        <v>46924.41</v>
      </c>
      <c r="G19" s="1362"/>
      <c r="H19" s="972">
        <f>ROUND($D$3*I19/$E$3,2)</f>
        <v>818.21</v>
      </c>
      <c r="I19" s="116">
        <f>IF($I$17="自定义",P19,M19)</f>
        <v>3757.0600000000004</v>
      </c>
      <c r="J19" s="1966"/>
      <c r="K19" s="2569">
        <f t="shared" ref="K19:K26" si="3">ROUND(E$28*E19/E$27,2)</f>
        <v>552.99</v>
      </c>
      <c r="L19" s="274">
        <f t="shared" ref="L19:L26" si="4">ROUND(IF(COUNTIF(C19,"*住宅*")&gt;0,E$29*E19/E$32,0),2)</f>
        <v>3204.07</v>
      </c>
      <c r="M19" s="2570">
        <f>K19+L19</f>
        <v>3757.0600000000004</v>
      </c>
      <c r="N19" s="2571"/>
      <c r="O19" s="2572"/>
      <c r="P19" s="2573">
        <f>N19+O19</f>
        <v>0</v>
      </c>
      <c r="R19" s="274">
        <f t="shared" ref="R19:S26" si="5">D19+H19</f>
        <v>11037.32</v>
      </c>
      <c r="S19" s="2283">
        <f t="shared" si="5"/>
        <v>50681.47</v>
      </c>
    </row>
    <row r="20" spans="1:19" ht="14.4">
      <c r="A20" s="138"/>
      <c r="B20" s="115" t="s">
        <v>226</v>
      </c>
      <c r="C20" s="2974" t="s">
        <v>3326</v>
      </c>
      <c r="D20" s="111">
        <f t="shared" si="1"/>
        <v>403.58</v>
      </c>
      <c r="E20" s="134">
        <f t="shared" si="2"/>
        <v>1853.16</v>
      </c>
      <c r="F20" s="135">
        <f>'数据-基础表'!K5</f>
        <v>1853.16</v>
      </c>
      <c r="G20" s="1362"/>
      <c r="H20" s="972">
        <f t="shared" ref="H20:H26" si="6">ROUND($D$3*I20/$E$3,2)</f>
        <v>4.76</v>
      </c>
      <c r="I20" s="116">
        <f t="shared" ref="I20:I26" si="7">IF($I$17="自定义",P20,M20)</f>
        <v>21.84</v>
      </c>
      <c r="J20" s="1966"/>
      <c r="K20" s="2569">
        <f t="shared" si="3"/>
        <v>21.84</v>
      </c>
      <c r="L20" s="274">
        <f t="shared" si="4"/>
        <v>0</v>
      </c>
      <c r="M20" s="2570">
        <f t="shared" ref="M20:M26" si="8">K20+L20</f>
        <v>21.84</v>
      </c>
      <c r="N20" s="2571"/>
      <c r="O20" s="2572"/>
      <c r="P20" s="2573">
        <f t="shared" ref="P20:P26" si="9">N20+O20</f>
        <v>0</v>
      </c>
      <c r="R20" s="274">
        <f t="shared" si="5"/>
        <v>408.34</v>
      </c>
      <c r="S20" s="2283">
        <f t="shared" si="5"/>
        <v>1875</v>
      </c>
    </row>
    <row r="21" spans="1:19" ht="14.4">
      <c r="A21" s="138"/>
      <c r="B21" s="115" t="s">
        <v>226</v>
      </c>
      <c r="C21" s="2974" t="s">
        <v>3327</v>
      </c>
      <c r="D21" s="111">
        <f t="shared" si="1"/>
        <v>3606.64</v>
      </c>
      <c r="E21" s="134">
        <f t="shared" si="2"/>
        <v>16561.07</v>
      </c>
      <c r="F21" s="135"/>
      <c r="G21" s="1362">
        <f>'数据-基础表'!M5</f>
        <v>16561.07</v>
      </c>
      <c r="H21" s="972">
        <f t="shared" si="6"/>
        <v>42.5</v>
      </c>
      <c r="I21" s="116">
        <f t="shared" si="7"/>
        <v>195.17</v>
      </c>
      <c r="J21" s="1966"/>
      <c r="K21" s="2569">
        <f t="shared" si="3"/>
        <v>195.17</v>
      </c>
      <c r="L21" s="274">
        <f t="shared" si="4"/>
        <v>0</v>
      </c>
      <c r="M21" s="2570">
        <f t="shared" si="8"/>
        <v>195.17</v>
      </c>
      <c r="N21" s="2571"/>
      <c r="O21" s="2572"/>
      <c r="P21" s="2573">
        <f t="shared" si="9"/>
        <v>0</v>
      </c>
      <c r="R21" s="274">
        <f t="shared" si="5"/>
        <v>3649.14</v>
      </c>
      <c r="S21" s="2283">
        <f t="shared" si="5"/>
        <v>16756.239999999998</v>
      </c>
    </row>
    <row r="22" spans="1:19" ht="14.4">
      <c r="A22" s="138"/>
      <c r="B22" s="115" t="s">
        <v>226</v>
      </c>
      <c r="C22" s="1359"/>
      <c r="D22" s="111">
        <f t="shared" si="1"/>
        <v>0</v>
      </c>
      <c r="E22" s="134">
        <f t="shared" si="2"/>
        <v>0</v>
      </c>
      <c r="F22" s="140"/>
      <c r="G22" s="1363"/>
      <c r="H22" s="972">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ht="14.4">
      <c r="A23" s="138"/>
      <c r="B23" s="115" t="s">
        <v>226</v>
      </c>
      <c r="C23" s="139"/>
      <c r="D23" s="111">
        <f>ROUND($D$3*E23/$E$3,2)</f>
        <v>0</v>
      </c>
      <c r="E23" s="134">
        <f>SUM(F23:G23)</f>
        <v>0</v>
      </c>
      <c r="F23" s="140"/>
      <c r="G23" s="1363"/>
      <c r="H23" s="972">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ht="14.4">
      <c r="A24" s="138"/>
      <c r="B24" s="115" t="s">
        <v>226</v>
      </c>
      <c r="C24" s="139"/>
      <c r="D24" s="111">
        <f>ROUND($D$3*E24/$E$3,2)</f>
        <v>0</v>
      </c>
      <c r="E24" s="134">
        <f>SUM(F24:G24)</f>
        <v>0</v>
      </c>
      <c r="F24" s="140"/>
      <c r="G24" s="1363"/>
      <c r="H24" s="972">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ht="14.4">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ht="14.4">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28.2" thickBot="1">
      <c r="A27" s="138"/>
      <c r="B27" s="111"/>
      <c r="C27" s="127" t="s">
        <v>215</v>
      </c>
      <c r="D27" s="134">
        <f>SUM(D19:D26)</f>
        <v>14229.33</v>
      </c>
      <c r="E27" s="143">
        <f>IF(SUM(E19:E26)='数据-基础表'!BA5,SUM(E19:E26),IF(F27="地上面积有误","面积有误","地下面积有误"))</f>
        <v>65338.640000000007</v>
      </c>
      <c r="F27" s="134">
        <f>IF(SUM(F19:F26)=E8,SUM(F19:F26),"地上面积有误")</f>
        <v>48777.570000000007</v>
      </c>
      <c r="G27" s="112">
        <f>SUM(G19:G26)</f>
        <v>16561.07</v>
      </c>
      <c r="H27" s="973">
        <f>SUM(H19:H26)</f>
        <v>865.47</v>
      </c>
      <c r="I27" s="974">
        <f>SUM(I19:I26)</f>
        <v>3974.0700000000006</v>
      </c>
      <c r="J27" s="1966"/>
      <c r="K27" s="2578">
        <f>SUM(K19:K26)</f>
        <v>770</v>
      </c>
      <c r="L27" s="2579">
        <f>SUM(L19:L26)</f>
        <v>3204.07</v>
      </c>
      <c r="M27" s="2580">
        <f>SUM(M19:M26)</f>
        <v>3974.0700000000006</v>
      </c>
      <c r="N27" s="2578">
        <f t="shared" ref="N27:O27" si="10">SUM(N19:N26)</f>
        <v>0</v>
      </c>
      <c r="O27" s="2579">
        <f t="shared" si="10"/>
        <v>0</v>
      </c>
      <c r="P27" s="2581">
        <f>SUM(P19:P26)</f>
        <v>0</v>
      </c>
      <c r="R27" s="2287" t="str">
        <f>IF(SUM(R19:R26)=$D$3,SUM(R19:R26),SUM(R19:R26)&amp;"误差"&amp;ROUND(SUM(R19:R26)-$D$3,2))</f>
        <v>15094.8误差0.01</v>
      </c>
      <c r="S27" s="274">
        <f>IF(SUM(S19:S26)=$E$3,SUM(S19:S26),SUM(S19:S26)&amp;"误差"&amp;ROUND(SUM(S19:S26)-E3,2))</f>
        <v>69312.709999999992</v>
      </c>
    </row>
    <row r="28" spans="1:19" ht="14.4">
      <c r="A28" s="138"/>
      <c r="B28" s="115" t="s">
        <v>227</v>
      </c>
      <c r="C28" s="136" t="s">
        <v>228</v>
      </c>
      <c r="D28" s="111">
        <f>ROUND($D$3*E28/$E$3,2)</f>
        <v>167.69</v>
      </c>
      <c r="E28" s="134">
        <f>SUM(F28:G28)</f>
        <v>770</v>
      </c>
      <c r="F28" s="144">
        <f>'数据-基础表'!BQ5+'数据-基础表'!BS5</f>
        <v>0</v>
      </c>
      <c r="G28" s="145">
        <f>'数据-基础表'!BR5+'数据-基础表'!BT5</f>
        <v>770</v>
      </c>
      <c r="H28" s="1966"/>
      <c r="I28" s="1966"/>
      <c r="J28" s="1966"/>
      <c r="K28" s="1966"/>
      <c r="L28" s="1966"/>
    </row>
    <row r="29" spans="1:19" ht="14.4">
      <c r="A29" s="138"/>
      <c r="B29" s="115" t="s">
        <v>227</v>
      </c>
      <c r="C29" s="2295" t="s">
        <v>2320</v>
      </c>
      <c r="D29" s="111">
        <f>ROUND($D$3*E29/$E$3,2)</f>
        <v>697.78</v>
      </c>
      <c r="E29" s="134">
        <f>SUM(F29:G29)</f>
        <v>3204.0699999999997</v>
      </c>
      <c r="F29" s="144">
        <f>'数据-基础表'!BM5+'数据-基础表'!BO5</f>
        <v>899.7</v>
      </c>
      <c r="G29" s="146">
        <f>'数据-基础表'!BN5+'数据-基础表'!BP5</f>
        <v>2304.37</v>
      </c>
      <c r="H29" s="1966"/>
      <c r="I29" s="1966"/>
      <c r="J29" s="1966"/>
      <c r="K29" s="1966"/>
      <c r="L29" s="1966"/>
    </row>
    <row r="30" spans="1:19" ht="14.4">
      <c r="A30" s="138"/>
      <c r="B30" s="111"/>
      <c r="C30" s="147" t="s">
        <v>215</v>
      </c>
      <c r="D30" s="134">
        <f>SUM(D28:D29)</f>
        <v>865.47</v>
      </c>
      <c r="E30" s="134">
        <f>SUM(E28:E29)</f>
        <v>3974.0699999999997</v>
      </c>
      <c r="F30" s="134">
        <f>SUM(F28:F29)</f>
        <v>899.7</v>
      </c>
      <c r="G30" s="112">
        <f>SUM(G28:G29)</f>
        <v>3074.37</v>
      </c>
      <c r="H30" s="1966"/>
      <c r="I30" s="1966"/>
      <c r="J30" s="1966"/>
      <c r="K30" s="1966"/>
      <c r="L30" s="1966"/>
    </row>
    <row r="31" spans="1:19" ht="32.25" customHeight="1" thickBot="1">
      <c r="A31" s="1364"/>
      <c r="B31" s="1365" t="s">
        <v>229</v>
      </c>
      <c r="C31" s="2312" t="s">
        <v>2322</v>
      </c>
      <c r="D31" s="1366">
        <f>D27+D30</f>
        <v>15094.8</v>
      </c>
      <c r="E31" s="1366">
        <f>E27+E30</f>
        <v>69312.710000000006</v>
      </c>
      <c r="F31" s="1367">
        <f>F27+F30</f>
        <v>49677.270000000004</v>
      </c>
      <c r="G31" s="1368">
        <f>G27+G30</f>
        <v>19635.439999999999</v>
      </c>
      <c r="H31" s="1966"/>
      <c r="I31" s="1966"/>
      <c r="J31" s="1966"/>
      <c r="K31" s="1966"/>
      <c r="L31" s="1966"/>
    </row>
    <row r="32" spans="1:19" ht="14.4">
      <c r="A32" s="1966"/>
      <c r="B32" s="2324" t="s">
        <v>2321</v>
      </c>
      <c r="C32" s="2608"/>
      <c r="D32" s="1195"/>
      <c r="E32" s="1195">
        <f>SUMIF(C19:C26,"*住宅*",E19:E26)</f>
        <v>46924.41</v>
      </c>
      <c r="F32" s="1195"/>
      <c r="G32" s="1195"/>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F6" activePane="bottomRight" state="frozen"/>
      <selection pane="topRight" activeCell="D1" sqref="D1"/>
      <selection pane="bottomLeft" activeCell="A4" sqref="A4"/>
      <selection pane="bottomRight" activeCell="I10" sqref="I10"/>
    </sheetView>
  </sheetViews>
  <sheetFormatPr defaultColWidth="13.77734375" defaultRowHeight="13.2"/>
  <cols>
    <col min="1" max="1" width="20.88671875" style="1210" customWidth="1"/>
    <col min="2" max="3" width="12" style="1197" customWidth="1"/>
    <col min="4" max="4" width="9.109375" style="1211" customWidth="1"/>
    <col min="5" max="5" width="17.21875" style="1197"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80"/>
    <col min="42" max="42" width="0" style="1980" hidden="1" customWidth="1"/>
    <col min="43" max="83" width="13.77734375" style="1980"/>
    <col min="84" max="16384" width="13.77734375" style="1197"/>
  </cols>
  <sheetData>
    <row r="1" spans="1:83" ht="18"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 thickBot="1">
      <c r="A2" s="149" t="s">
        <v>235</v>
      </c>
      <c r="B2" s="2320">
        <f>项目基本情况!D3</f>
        <v>43840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4.4"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7.6">
      <c r="A5" s="2286"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2827</v>
      </c>
      <c r="O5" s="163" t="s">
        <v>246</v>
      </c>
      <c r="P5" s="165" t="s">
        <v>247</v>
      </c>
      <c r="Q5" s="166" t="s">
        <v>248</v>
      </c>
      <c r="R5" s="167" t="s">
        <v>249</v>
      </c>
      <c r="S5" s="2582" t="s">
        <v>2571</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2323</v>
      </c>
      <c r="AI5" s="171" t="s">
        <v>2292</v>
      </c>
      <c r="AJ5" s="171" t="s">
        <v>258</v>
      </c>
      <c r="AK5" s="159" t="s">
        <v>259</v>
      </c>
      <c r="AL5" s="159" t="s">
        <v>260</v>
      </c>
      <c r="AM5" s="172"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4">
      <c r="A6" s="2284" t="str">
        <f>'数据-汇总表'!C19</f>
        <v>住宅</v>
      </c>
      <c r="B6" s="2319" t="str">
        <f>IF(A6=0,"","经营性")</f>
        <v>经营性</v>
      </c>
      <c r="C6" s="173" t="s">
        <v>923</v>
      </c>
      <c r="D6" s="2290">
        <f>SUMIF(项目基本情况!D$15:I$15,C6,项目基本情况!D$18:I$18)</f>
        <v>70</v>
      </c>
      <c r="E6" s="2291">
        <f>IF(B6="","",SUMIF(项目基本情况!D$15:I$15,C6,项目基本情况!D$17:I$17))</f>
        <v>69400</v>
      </c>
      <c r="F6" s="174">
        <f>SUMIF(项目基本情况!D$15:I$15,C6,项目基本情况!D$19:I$19)</f>
        <v>69.98</v>
      </c>
      <c r="G6" s="175">
        <f>IF(ISERROR(ROUND(POWER(1+H6,D6-F6)*(POWER(1+H6,F6)-1)/(POWER(1+H6,D6)-1),3)),0,ROUND(POWER(1+H6,D6-F6)*(POWER(1+H6,F6)-1)/(POWER(1+H6,D6)-1),3))</f>
        <v>1</v>
      </c>
      <c r="H6" s="2975">
        <v>0.04</v>
      </c>
      <c r="I6" s="2975">
        <v>4.4999999999999998E-2</v>
      </c>
      <c r="J6" s="176">
        <v>8.5000000000000006E-2</v>
      </c>
      <c r="K6" s="179">
        <f>SUMIF('数据-汇总表'!C$19:C$33,'数据-取费表'!A6,'数据-汇总表'!E$19:E$33)</f>
        <v>46924.41</v>
      </c>
      <c r="L6" s="2976">
        <v>2500</v>
      </c>
      <c r="M6" s="177">
        <f t="shared" ref="M6:M14" si="0">ROUND(K6*L6/10000,0)</f>
        <v>11731</v>
      </c>
      <c r="N6" s="2977">
        <v>0</v>
      </c>
      <c r="O6" s="177">
        <f>IF($N$5="成新度","——",ROUND(M6*N6,0))</f>
        <v>0</v>
      </c>
      <c r="P6" s="178">
        <f>IF($N$5="成新度","——",M6-O6)</f>
        <v>11731</v>
      </c>
      <c r="Q6" s="2978">
        <v>0.2</v>
      </c>
      <c r="R6" s="179">
        <f>SUMIF('数据-汇总表'!C$19:C$33,A6,'数据-汇总表'!R$19:R$33)</f>
        <v>11037.32</v>
      </c>
      <c r="S6" s="132">
        <f>IF('数据-汇总表'!$I$17="按面积比例",SUMIF('数据-汇总表'!C$19:C$33,A6,'数据-汇总表'!K$19:K$33),SUMIF('数据-汇总表'!C$19:C$33,A6,'数据-汇总表'!N$19:N$33))</f>
        <v>552.99</v>
      </c>
      <c r="T6" s="2216">
        <f>IF($T$4="按面积比例",IF(ISERROR(ROUND($M$14*S6/S$16,0)),"0",ROUND($M$14*S6/S$16,0)),"需自行计算录入")</f>
        <v>139</v>
      </c>
      <c r="U6" s="180"/>
      <c r="V6" s="181"/>
      <c r="W6" s="181"/>
      <c r="X6" s="2303"/>
      <c r="Y6" s="182"/>
      <c r="Z6" s="183"/>
      <c r="AA6" s="176"/>
      <c r="AB6" s="176"/>
      <c r="AC6" s="2306"/>
      <c r="AD6" s="184"/>
      <c r="AE6" s="970">
        <f ca="1">IF(AN6="",0,SUMIF(INDIRECT("'"&amp;AN6&amp;"'"&amp;"!E:E"),$AE$5,INDIRECT("'"&amp;AN6&amp;"'"&amp;"!F:F")))</f>
        <v>0</v>
      </c>
      <c r="AF6" s="141"/>
      <c r="AG6" s="1207">
        <f>IF(AF6="",0,AE6-AF6)</f>
        <v>0</v>
      </c>
      <c r="AH6" s="141"/>
      <c r="AI6" s="187"/>
      <c r="AJ6" s="188"/>
      <c r="AK6" s="189"/>
      <c r="AL6" s="190"/>
      <c r="AM6" s="2989"/>
      <c r="AN6" s="2353"/>
      <c r="AO6" s="1982"/>
      <c r="AP6" s="1198">
        <f>ROUND(1-1/(1+H6)^F6,3)</f>
        <v>0.93600000000000005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4">
      <c r="A7" s="2284" t="str">
        <f>'数据-汇总表'!C20</f>
        <v>商业</v>
      </c>
      <c r="B7" s="2319" t="str">
        <f t="shared" ref="B7:B13" si="1">IF(A7=0,"","经营性")</f>
        <v>经营性</v>
      </c>
      <c r="C7" s="173" t="s">
        <v>2997</v>
      </c>
      <c r="D7" s="2290">
        <f>SUMIF(项目基本情况!D$15:I$15,C7,项目基本情况!D$18:I$18)</f>
        <v>40</v>
      </c>
      <c r="E7" s="2291">
        <f>IF(B7="","",SUMIF(项目基本情况!D$15:I$15,C7,项目基本情况!D$17:I$17))</f>
        <v>58442</v>
      </c>
      <c r="F7" s="174">
        <f>SUMIF(项目基本情况!D$15:I$15,C7,项目基本情况!D$19:I$19)</f>
        <v>39.979999999999997</v>
      </c>
      <c r="G7" s="175">
        <f t="shared" ref="G7:G11" si="2">IF(ISERROR(ROUND(POWER(1+H7,D7-F7)*(POWER(1+H7,F7)-1)/(POWER(1+H7,D7)-1),3)),0,ROUND(POWER(1+H7,D7-F7)*(POWER(1+H7,F7)-1)/(POWER(1+H7,D7)-1),3))</f>
        <v>1</v>
      </c>
      <c r="H7" s="2975">
        <v>0.05</v>
      </c>
      <c r="I7" s="2975">
        <v>5.5E-2</v>
      </c>
      <c r="J7" s="176">
        <v>8.5000000000000006E-2</v>
      </c>
      <c r="K7" s="179">
        <f>SUMIF('数据-汇总表'!C$19:C$33,'数据-取费表'!A7,'数据-汇总表'!E$19:E$33)</f>
        <v>1853.16</v>
      </c>
      <c r="L7" s="2976">
        <f>L6</f>
        <v>2500</v>
      </c>
      <c r="M7" s="177">
        <f t="shared" si="0"/>
        <v>463</v>
      </c>
      <c r="N7" s="2977">
        <v>0</v>
      </c>
      <c r="O7" s="177">
        <f t="shared" ref="O7:O14" si="3">IF($N$5="成新度","——",ROUND(M7*N7,0))</f>
        <v>0</v>
      </c>
      <c r="P7" s="178">
        <f t="shared" ref="P7:P14" si="4">IF($N$5="成新度","——",M7-O7)</f>
        <v>463</v>
      </c>
      <c r="Q7" s="2978">
        <v>0.25</v>
      </c>
      <c r="R7" s="179">
        <f>SUMIF('数据-汇总表'!C$19:C$33,A7,'数据-汇总表'!R$19:R$33)</f>
        <v>408.34</v>
      </c>
      <c r="S7" s="132">
        <f>IF('数据-汇总表'!$I$17="按面积比例",SUMIF('数据-汇总表'!C$19:C$33,A7,'数据-汇总表'!K$19:K$33),SUMIF('数据-汇总表'!C$19:C$33,A7,'数据-汇总表'!N$19:N$33))</f>
        <v>21.84</v>
      </c>
      <c r="T7" s="2216">
        <f t="shared" ref="T7:T13" si="5">IF($T$4="按面积比例",IF(ISERROR(ROUND($M$14*S7/S$16,0)),"0",ROUND($M$14*S7/S$16,0)),"需自行计算录入")</f>
        <v>5</v>
      </c>
      <c r="U7" s="180">
        <v>3.2</v>
      </c>
      <c r="V7" s="181">
        <v>0.03</v>
      </c>
      <c r="W7" s="181">
        <v>0.1</v>
      </c>
      <c r="X7" s="2303"/>
      <c r="Y7" s="182">
        <v>1</v>
      </c>
      <c r="Z7" s="183"/>
      <c r="AA7" s="176"/>
      <c r="AB7" s="176"/>
      <c r="AC7" s="2306"/>
      <c r="AD7" s="184"/>
      <c r="AE7" s="970">
        <f t="shared" ref="AE7:AE13" ca="1" si="6">IF(AN7="",0,SUMIF(INDIRECT("'"&amp;AN7&amp;"'"&amp;"!E:E"),$AE$5,INDIRECT("'"&amp;AN7&amp;"'"&amp;"!F:F")))</f>
        <v>37.979999999999997</v>
      </c>
      <c r="AF7" s="141"/>
      <c r="AG7" s="1207">
        <f t="shared" ref="AG7:AG13" si="7">IF(AF7="",0,AE7-AF7)</f>
        <v>0</v>
      </c>
      <c r="AH7" s="141"/>
      <c r="AI7" s="187">
        <v>365</v>
      </c>
      <c r="AJ7" s="188"/>
      <c r="AK7" s="189">
        <v>0.02</v>
      </c>
      <c r="AL7" s="190">
        <v>1.5E-3</v>
      </c>
      <c r="AM7" s="2351">
        <v>1.4999999999999999E-2</v>
      </c>
      <c r="AN7" s="2353" t="s">
        <v>3359</v>
      </c>
      <c r="AO7" s="1982"/>
      <c r="AP7" s="1198">
        <f t="shared" ref="AP7:AP13" si="8">ROUND(1-1/(1+H7)^F7,3)</f>
        <v>0.85799999999999998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4">
      <c r="A8" s="2284" t="str">
        <f>'数据-汇总表'!C21</f>
        <v>地下车库</v>
      </c>
      <c r="B8" s="2319" t="str">
        <f t="shared" si="1"/>
        <v>经营性</v>
      </c>
      <c r="C8" s="173" t="s">
        <v>2998</v>
      </c>
      <c r="D8" s="2290">
        <f>SUMIF(项目基本情况!D$15:I$15,C8,项目基本情况!D$18:I$18)</f>
        <v>50</v>
      </c>
      <c r="E8" s="2291">
        <f>IF(B8="","",SUMIF(项目基本情况!D$15:I$15,C8,项目基本情况!D$17:I$17))</f>
        <v>62095</v>
      </c>
      <c r="F8" s="174">
        <f>SUMIF(项目基本情况!D$15:I$15,C8,项目基本情况!D$19:I$19)</f>
        <v>49.98</v>
      </c>
      <c r="G8" s="175">
        <f t="shared" si="2"/>
        <v>0</v>
      </c>
      <c r="H8" s="2975"/>
      <c r="I8" s="2975">
        <v>0.05</v>
      </c>
      <c r="J8" s="176">
        <v>8.5000000000000006E-2</v>
      </c>
      <c r="K8" s="179">
        <f>SUMIF('数据-汇总表'!C$19:C$33,'数据-取费表'!A8,'数据-汇总表'!E$19:E$33)</f>
        <v>16561.07</v>
      </c>
      <c r="L8" s="2976">
        <f>L6</f>
        <v>2500</v>
      </c>
      <c r="M8" s="177">
        <f>ROUND(K8*L8/10000,0)</f>
        <v>4140</v>
      </c>
      <c r="N8" s="2977">
        <v>0</v>
      </c>
      <c r="O8" s="177">
        <f t="shared" si="3"/>
        <v>0</v>
      </c>
      <c r="P8" s="178">
        <f t="shared" si="4"/>
        <v>4140</v>
      </c>
      <c r="Q8" s="2978">
        <v>0.05</v>
      </c>
      <c r="R8" s="179">
        <f>SUMIF('数据-汇总表'!C$19:C$33,A8,'数据-汇总表'!R$19:R$33)</f>
        <v>3649.14</v>
      </c>
      <c r="S8" s="132">
        <f>IF('数据-汇总表'!$I$17="按面积比例",SUMIF('数据-汇总表'!C$19:C$33,A8,'数据-汇总表'!K$19:K$33),SUMIF('数据-汇总表'!C$19:C$33,A8,'数据-汇总表'!N$19:N$33))</f>
        <v>195.17</v>
      </c>
      <c r="T8" s="2216">
        <f t="shared" si="5"/>
        <v>49</v>
      </c>
      <c r="U8" s="180">
        <v>0.5</v>
      </c>
      <c r="V8" s="181">
        <v>2.5000000000000001E-2</v>
      </c>
      <c r="W8" s="181">
        <v>0.1</v>
      </c>
      <c r="X8" s="2303"/>
      <c r="Y8" s="182">
        <v>1</v>
      </c>
      <c r="Z8" s="183"/>
      <c r="AA8" s="176"/>
      <c r="AB8" s="176"/>
      <c r="AC8" s="2306"/>
      <c r="AD8" s="184"/>
      <c r="AE8" s="970">
        <f t="shared" ca="1" si="6"/>
        <v>47.98</v>
      </c>
      <c r="AF8" s="141"/>
      <c r="AG8" s="1207">
        <f t="shared" si="7"/>
        <v>0</v>
      </c>
      <c r="AH8" s="141"/>
      <c r="AI8" s="187">
        <v>365</v>
      </c>
      <c r="AJ8" s="188"/>
      <c r="AK8" s="189">
        <v>0.02</v>
      </c>
      <c r="AL8" s="190">
        <v>1.5E-3</v>
      </c>
      <c r="AM8" s="2351">
        <v>1.4999999999999999E-2</v>
      </c>
      <c r="AN8" s="2353" t="s">
        <v>3355</v>
      </c>
      <c r="AO8" s="1982">
        <f>K8/421</f>
        <v>39.337458432304039</v>
      </c>
      <c r="AP8" s="1198">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4">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4">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3.8">
      <c r="A14" s="2285" t="s">
        <v>2314</v>
      </c>
      <c r="B14" s="2288" t="s">
        <v>1679</v>
      </c>
      <c r="C14" s="2289" t="s">
        <v>2314</v>
      </c>
      <c r="D14" s="2290"/>
      <c r="E14" s="2291"/>
      <c r="F14" s="174"/>
      <c r="G14" s="175"/>
      <c r="H14" s="2292"/>
      <c r="I14" s="2292"/>
      <c r="J14" s="2292"/>
      <c r="K14" s="179">
        <f>SUMIF('数据-汇总表'!C$19:C$33,'数据-取费表'!A14,'数据-汇总表'!E$19:E$33)</f>
        <v>770</v>
      </c>
      <c r="L14" s="193">
        <f>L8</f>
        <v>2500</v>
      </c>
      <c r="M14" s="177">
        <f t="shared" si="0"/>
        <v>193</v>
      </c>
      <c r="N14" s="194">
        <f>N6</f>
        <v>0</v>
      </c>
      <c r="O14" s="177">
        <f t="shared" si="3"/>
        <v>0</v>
      </c>
      <c r="P14" s="178">
        <f t="shared" si="4"/>
        <v>193</v>
      </c>
      <c r="Q14" s="2300"/>
      <c r="R14" s="179"/>
      <c r="S14" s="132"/>
      <c r="T14" s="2299"/>
      <c r="U14" s="972"/>
      <c r="V14" s="2302"/>
      <c r="W14" s="2302"/>
      <c r="X14" s="2303"/>
      <c r="Y14" s="2304"/>
      <c r="Z14" s="136"/>
      <c r="AA14" s="2305"/>
      <c r="AB14" s="2305"/>
      <c r="AC14" s="2306"/>
      <c r="AD14" s="2303"/>
      <c r="AE14" s="970"/>
      <c r="AF14" s="2278"/>
      <c r="AG14" s="1207"/>
      <c r="AH14" s="2278"/>
      <c r="AI14" s="1556"/>
      <c r="AJ14" s="1556"/>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8.8">
      <c r="A15" s="2294" t="s">
        <v>2316</v>
      </c>
      <c r="B15" s="2288" t="s">
        <v>1679</v>
      </c>
      <c r="C15" s="2289" t="s">
        <v>2315</v>
      </c>
      <c r="D15" s="2290"/>
      <c r="E15" s="2291"/>
      <c r="F15" s="174"/>
      <c r="G15" s="175"/>
      <c r="H15" s="2292"/>
      <c r="I15" s="2292"/>
      <c r="J15" s="2292"/>
      <c r="K15" s="179">
        <f>SUMIF('数据-汇总表'!C$19:C$33,'数据-取费表'!A15,'数据-汇总表'!E$19:E$33)</f>
        <v>3204.0699999999997</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6"/>
      <c r="AJ15" s="1556"/>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69312.710000000021</v>
      </c>
      <c r="L16" s="206">
        <f>ROUND(M16*10000/SUM(K6:K14),0)</f>
        <v>2500</v>
      </c>
      <c r="M16" s="206">
        <f>SUM(M6:M14)</f>
        <v>16527</v>
      </c>
      <c r="N16" s="207">
        <f>ROUND(SUMPRODUCT(M6:M14,N6:N14)/M16,3)</f>
        <v>0</v>
      </c>
      <c r="O16" s="206">
        <f>SUM(O6:O14)</f>
        <v>0</v>
      </c>
      <c r="P16" s="206">
        <f>SUM(P6:P14)</f>
        <v>16527</v>
      </c>
      <c r="Q16" s="208">
        <f>ROUND(SUMPRODUCT(Q6:Q13,K6:K13)/SUMPRODUCT((Q6:Q13&gt;0)*(K6:K13)),2)</f>
        <v>0.16</v>
      </c>
      <c r="R16" s="2293">
        <f>SUM(R6:R13)</f>
        <v>15094.8</v>
      </c>
      <c r="S16" s="209">
        <f>SUM(S6:S13)</f>
        <v>770</v>
      </c>
      <c r="T16" s="210">
        <f>IF(SUMIF(T6:T13,"&lt;9E307")=M14,SUMIF(T6:T13,"&lt;9E307"),"有误，请检查")</f>
        <v>193</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0.93300000000000005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2336</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3206">
        <v>2</v>
      </c>
      <c r="C20" s="2325" t="s">
        <v>2335</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8.8">
      <c r="A27" s="226" t="s">
        <v>2338</v>
      </c>
      <c r="B27" s="227">
        <v>170</v>
      </c>
      <c r="C27" s="3023" t="s">
        <v>3378</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8.8">
      <c r="A28" s="228" t="s">
        <v>2339</v>
      </c>
      <c r="B28" s="229">
        <v>170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9.4" thickBot="1">
      <c r="A29" s="231" t="s">
        <v>2337</v>
      </c>
      <c r="B29" s="232">
        <v>0</v>
      </c>
      <c r="C29" s="1537" t="s">
        <v>2340</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8.8">
      <c r="A30" s="235" t="s">
        <v>273</v>
      </c>
      <c r="B30" s="976">
        <v>220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8.8">
      <c r="A31" s="228" t="s">
        <v>274</v>
      </c>
      <c r="B31" s="230">
        <f>B30-B32</f>
        <v>220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9.4" thickBot="1">
      <c r="A32" s="237" t="s">
        <v>275</v>
      </c>
      <c r="B32" s="1372">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4">
      <c r="A33" s="226" t="s">
        <v>278</v>
      </c>
      <c r="B33" s="1373">
        <v>0.05</v>
      </c>
      <c r="C33" s="2326" t="s">
        <v>2892</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233">
        <v>0.05</v>
      </c>
      <c r="C34" s="2326" t="s">
        <v>2893</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f>B30</f>
        <v>220</v>
      </c>
      <c r="C35" s="2326" t="s">
        <v>2894</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2895</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5" t="s">
        <v>280</v>
      </c>
      <c r="B37" s="236">
        <v>0.02</v>
      </c>
      <c r="C37" s="2326" t="s">
        <v>2896</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3">
        <v>0.02</v>
      </c>
      <c r="C38" s="2326" t="s">
        <v>2896</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2455</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2341</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7" t="s">
        <v>283</v>
      </c>
      <c r="B42" s="240">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7"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9" t="s">
        <v>285</v>
      </c>
      <c r="B44" s="242">
        <v>7.0000000000000007E-2</v>
      </c>
      <c r="C44" s="2326" t="s">
        <v>2897</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9" t="s">
        <v>286</v>
      </c>
      <c r="B45" s="240">
        <v>0.03</v>
      </c>
      <c r="C45" s="2328" t="s">
        <v>2898</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9" t="s">
        <v>287</v>
      </c>
      <c r="B46" s="240">
        <v>0.02</v>
      </c>
      <c r="C46" s="2328" t="s">
        <v>2899</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2900</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5" t="s">
        <v>289</v>
      </c>
      <c r="B48" s="3204">
        <v>0.04</v>
      </c>
      <c r="C48" s="3024" t="s">
        <v>2901</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2902</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6" t="s">
        <v>293</v>
      </c>
      <c r="B52" s="249">
        <f>SUMIF(A54:A63,B53,B54:B63)</f>
        <v>18</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0" t="s">
        <v>1096</v>
      </c>
      <c r="C53" s="3025" t="s">
        <v>2903</v>
      </c>
      <c r="D53" s="3026" t="s">
        <v>4023</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8" t="s">
        <v>2904</v>
      </c>
      <c r="B54" s="186">
        <v>18</v>
      </c>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8" t="s">
        <v>2905</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8" t="s">
        <v>2906</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8" t="s">
        <v>2907</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8" t="s">
        <v>2908</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8" t="s">
        <v>2909</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8" t="s">
        <v>2910</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8" t="s">
        <v>2911</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8" t="s">
        <v>2912</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2913</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294" t="s">
        <v>1663</v>
      </c>
      <c r="B1" s="3295"/>
      <c r="C1" s="3295"/>
      <c r="D1" s="3295"/>
      <c r="E1" s="3295"/>
      <c r="F1" s="3295"/>
      <c r="G1" s="3295"/>
      <c r="H1" s="1984"/>
      <c r="I1" s="1985"/>
      <c r="J1" s="1986"/>
      <c r="K1" s="1984"/>
      <c r="L1" s="1985"/>
      <c r="M1" s="1986"/>
      <c r="N1" s="1984"/>
      <c r="O1" s="1985"/>
      <c r="P1" s="1986"/>
      <c r="Q1" s="1987"/>
      <c r="R1" s="1988"/>
    </row>
    <row r="2" spans="1:18" ht="15" thickBot="1">
      <c r="A2" s="1215"/>
      <c r="B2" s="1216"/>
      <c r="C2" s="1217" t="s">
        <v>1664</v>
      </c>
      <c r="D2" s="1218"/>
      <c r="E2" s="1219"/>
      <c r="F2" s="1220"/>
      <c r="G2" s="1217" t="s">
        <v>1665</v>
      </c>
      <c r="H2" s="1990"/>
      <c r="I2" s="1990"/>
      <c r="J2" s="1990"/>
      <c r="K2" s="1990"/>
      <c r="L2" s="1990"/>
      <c r="M2" s="1990"/>
      <c r="N2" s="1990"/>
      <c r="O2" s="1990"/>
      <c r="P2" s="1990"/>
      <c r="Q2" s="1990"/>
      <c r="R2" s="1990"/>
    </row>
    <row r="3" spans="1:18" ht="43.2">
      <c r="A3" s="1221" t="s">
        <v>1666</v>
      </c>
      <c r="B3" s="1222" t="s">
        <v>1653</v>
      </c>
      <c r="C3" s="3180" t="s">
        <v>3372</v>
      </c>
      <c r="D3" s="1991"/>
      <c r="E3" s="1223" t="s">
        <v>1666</v>
      </c>
      <c r="F3" s="1224" t="s">
        <v>1654</v>
      </c>
      <c r="G3" s="3032" t="s">
        <v>2918</v>
      </c>
      <c r="H3" s="1990"/>
      <c r="I3" s="1990"/>
      <c r="J3" s="1990"/>
      <c r="K3" s="1990"/>
      <c r="L3" s="1990"/>
      <c r="M3" s="1990"/>
      <c r="N3" s="1990"/>
      <c r="O3" s="1990"/>
      <c r="P3" s="1990"/>
      <c r="Q3" s="1990"/>
      <c r="R3" s="1990"/>
    </row>
    <row r="4" spans="1:18" ht="43.2">
      <c r="A4" s="1223"/>
      <c r="B4" s="1225" t="s">
        <v>1667</v>
      </c>
      <c r="C4" s="3181" t="s">
        <v>3009</v>
      </c>
      <c r="D4" s="1991"/>
      <c r="E4" s="1226"/>
      <c r="F4" s="1227" t="s">
        <v>1668</v>
      </c>
      <c r="G4" s="3030" t="s">
        <v>2915</v>
      </c>
      <c r="H4" s="1990"/>
      <c r="I4" s="1990"/>
      <c r="J4" s="1990"/>
      <c r="K4" s="1990"/>
      <c r="L4" s="1990"/>
      <c r="M4" s="1990"/>
      <c r="N4" s="1990"/>
      <c r="O4" s="1990"/>
      <c r="P4" s="1990"/>
      <c r="Q4" s="1990"/>
      <c r="R4" s="1990"/>
    </row>
    <row r="5" spans="1:18" ht="28.8">
      <c r="A5" s="1223"/>
      <c r="B5" s="1225" t="s">
        <v>1669</v>
      </c>
      <c r="C5" s="3181" t="s">
        <v>3009</v>
      </c>
      <c r="D5" s="1991"/>
      <c r="E5" s="1226"/>
      <c r="F5" s="1225" t="s">
        <v>2545</v>
      </c>
      <c r="G5" s="3030" t="s">
        <v>2916</v>
      </c>
      <c r="H5" s="1990"/>
      <c r="I5" s="1990"/>
      <c r="J5" s="1990"/>
      <c r="K5" s="1990"/>
      <c r="L5" s="1990"/>
      <c r="M5" s="1990"/>
      <c r="N5" s="1990"/>
      <c r="O5" s="1990"/>
      <c r="P5" s="1990"/>
      <c r="Q5" s="1990"/>
      <c r="R5" s="1990"/>
    </row>
    <row r="6" spans="1:18" ht="28.8">
      <c r="A6" s="1223"/>
      <c r="B6" s="1225" t="s">
        <v>1655</v>
      </c>
      <c r="C6" s="3182" t="s">
        <v>3009</v>
      </c>
      <c r="D6" s="1991"/>
      <c r="E6" s="1226"/>
      <c r="F6" s="1225" t="s">
        <v>2546</v>
      </c>
      <c r="G6" s="3030" t="s">
        <v>2914</v>
      </c>
      <c r="H6" s="1990"/>
      <c r="I6" s="1990"/>
      <c r="J6" s="1990"/>
      <c r="K6" s="1990"/>
      <c r="L6" s="1990"/>
      <c r="M6" s="1990"/>
      <c r="N6" s="1990"/>
      <c r="O6" s="1990"/>
      <c r="P6" s="1990"/>
      <c r="Q6" s="1990"/>
      <c r="R6" s="1990"/>
    </row>
    <row r="7" spans="1:18" ht="43.8" thickBot="1">
      <c r="A7" s="1223"/>
      <c r="B7" s="1225" t="s">
        <v>2545</v>
      </c>
      <c r="C7" s="3182" t="s">
        <v>3372</v>
      </c>
      <c r="D7" s="1992"/>
      <c r="E7" s="1228"/>
      <c r="F7" s="1229" t="s">
        <v>1670</v>
      </c>
      <c r="G7" s="3033" t="s">
        <v>2917</v>
      </c>
      <c r="H7" s="1990"/>
      <c r="I7" s="1990"/>
      <c r="J7" s="1990"/>
      <c r="K7" s="1990"/>
      <c r="L7" s="1990"/>
      <c r="M7" s="1990"/>
      <c r="N7" s="1990"/>
      <c r="O7" s="1990"/>
      <c r="P7" s="1990"/>
      <c r="Q7" s="1990"/>
      <c r="R7" s="1990"/>
    </row>
    <row r="8" spans="1:18">
      <c r="A8" s="1223"/>
      <c r="B8" s="1225" t="s">
        <v>2546</v>
      </c>
      <c r="C8" s="3182" t="s">
        <v>3011</v>
      </c>
      <c r="D8" s="1992"/>
      <c r="E8" s="1992"/>
      <c r="F8" s="1538"/>
      <c r="G8" s="1538"/>
      <c r="H8" s="1990"/>
      <c r="I8" s="1990"/>
      <c r="J8" s="1990"/>
      <c r="K8" s="1990"/>
      <c r="L8" s="1990"/>
      <c r="M8" s="1990"/>
      <c r="N8" s="1990"/>
      <c r="O8" s="1990"/>
      <c r="P8" s="1990"/>
      <c r="Q8" s="1990"/>
      <c r="R8" s="1990"/>
    </row>
    <row r="9" spans="1:18">
      <c r="A9" s="1223"/>
      <c r="B9" s="1225" t="s">
        <v>1656</v>
      </c>
      <c r="C9" s="3181" t="s">
        <v>3372</v>
      </c>
      <c r="D9" s="1991"/>
      <c r="E9" s="1992"/>
      <c r="F9" s="1538"/>
      <c r="G9" s="1538"/>
      <c r="H9" s="1990"/>
      <c r="I9" s="1990"/>
      <c r="J9" s="1990"/>
      <c r="K9" s="1990"/>
      <c r="L9" s="1990"/>
      <c r="M9" s="1990"/>
      <c r="N9" s="1990"/>
      <c r="O9" s="1990"/>
      <c r="P9" s="1990"/>
      <c r="Q9" s="1990"/>
      <c r="R9" s="1990"/>
    </row>
    <row r="10" spans="1:18" s="1998" customFormat="1" ht="15" thickBot="1">
      <c r="A10" s="1230"/>
      <c r="B10" s="1231" t="s">
        <v>1671</v>
      </c>
      <c r="C10" s="3031"/>
      <c r="D10" s="1991"/>
      <c r="E10" s="1991"/>
      <c r="F10" s="1538"/>
      <c r="G10" s="1538"/>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1672</v>
      </c>
      <c r="B13" s="2539"/>
      <c r="C13" s="2539"/>
      <c r="D13" s="1218"/>
      <c r="E13" s="2539"/>
      <c r="F13" s="2539"/>
      <c r="G13" s="2539"/>
    </row>
    <row r="14" spans="1:18" ht="15" thickBot="1">
      <c r="A14" s="1232"/>
      <c r="B14" s="1233"/>
      <c r="C14" s="1234" t="s">
        <v>1664</v>
      </c>
      <c r="D14" s="1991"/>
      <c r="E14" s="1235"/>
      <c r="F14" s="1235"/>
      <c r="G14" s="1217" t="s">
        <v>1665</v>
      </c>
    </row>
    <row r="15" spans="1:18" ht="43.2">
      <c r="A15" s="2549" t="s">
        <v>1657</v>
      </c>
      <c r="B15" s="1236" t="s">
        <v>1653</v>
      </c>
      <c r="C15" s="1237" t="str">
        <f>C3</f>
        <v>较好</v>
      </c>
      <c r="D15" s="1991"/>
      <c r="E15" s="2546" t="s">
        <v>1658</v>
      </c>
      <c r="F15" s="1236" t="s">
        <v>1673</v>
      </c>
      <c r="G15" s="1238" t="str">
        <f>G3</f>
        <v>估价对象位于XX开发区，园区建设成熟度XX，产业集聚程度XX</v>
      </c>
    </row>
    <row r="16" spans="1:18" ht="43.2">
      <c r="A16" s="2550"/>
      <c r="B16" s="1239" t="s">
        <v>1667</v>
      </c>
      <c r="C16" s="1240" t="str">
        <f>C4</f>
        <v>一般</v>
      </c>
      <c r="D16" s="1991"/>
      <c r="E16" s="2547"/>
      <c r="F16" s="1241" t="s">
        <v>1668</v>
      </c>
      <c r="G16" s="1003" t="str">
        <f>G4</f>
        <v>估价对象周边道路状况、公共交通通达情况、停车便捷程度，综合评价交通便捷度较好</v>
      </c>
    </row>
    <row r="17" spans="1:7">
      <c r="A17" s="2550"/>
      <c r="B17" s="1239" t="s">
        <v>1669</v>
      </c>
      <c r="C17" s="1240" t="str">
        <f>C5</f>
        <v>一般</v>
      </c>
      <c r="D17" s="1992"/>
      <c r="E17" s="2547"/>
      <c r="F17" s="1241" t="s">
        <v>1674</v>
      </c>
      <c r="G17" s="2747"/>
    </row>
    <row r="18" spans="1:7" ht="43.2">
      <c r="A18" s="2550"/>
      <c r="B18" s="1241" t="s">
        <v>1655</v>
      </c>
      <c r="C18" s="1003" t="str">
        <f>C6</f>
        <v>一般</v>
      </c>
      <c r="D18" s="1992"/>
      <c r="E18" s="2547"/>
      <c r="F18" s="1241" t="s">
        <v>1670</v>
      </c>
      <c r="G18" s="1003" t="str">
        <f>G7</f>
        <v>该园区内是否有污染型企业，绿化情况，卫生条件，整体环境状况判断</v>
      </c>
    </row>
    <row r="19" spans="1:7" ht="28.8">
      <c r="A19" s="2550"/>
      <c r="B19" s="1241" t="s">
        <v>1659</v>
      </c>
      <c r="C19" s="2747"/>
      <c r="D19" s="1991"/>
      <c r="E19" s="2547"/>
      <c r="F19" s="1225" t="s">
        <v>2545</v>
      </c>
      <c r="G19" s="1003" t="str">
        <f>G5</f>
        <v>估价对象所在区域公共配套设施齐备情况</v>
      </c>
    </row>
    <row r="20" spans="1:7" ht="28.8">
      <c r="A20" s="2550"/>
      <c r="B20" s="1241" t="s">
        <v>1660</v>
      </c>
      <c r="C20" s="1240" t="str">
        <f>C9</f>
        <v>较好</v>
      </c>
      <c r="D20" s="1992"/>
      <c r="E20" s="2547"/>
      <c r="F20" s="1225" t="s">
        <v>2546</v>
      </c>
      <c r="G20" s="1003" t="str">
        <f>G6</f>
        <v>估价对象所在区域基础设施水平</v>
      </c>
    </row>
    <row r="21" spans="1:7">
      <c r="A21" s="2550"/>
      <c r="B21" s="1225" t="s">
        <v>2545</v>
      </c>
      <c r="C21" s="1003" t="str">
        <f>C7</f>
        <v>较好</v>
      </c>
      <c r="D21" s="1991"/>
      <c r="E21" s="2547"/>
      <c r="F21" s="1241" t="s">
        <v>1661</v>
      </c>
      <c r="G21" s="3034"/>
    </row>
    <row r="22" spans="1:7">
      <c r="A22" s="2550"/>
      <c r="B22" s="1225" t="s">
        <v>2546</v>
      </c>
      <c r="C22" s="1003" t="str">
        <f>C8</f>
        <v>七通</v>
      </c>
      <c r="D22" s="1991"/>
      <c r="E22" s="2547"/>
      <c r="F22" s="1241" t="s">
        <v>1671</v>
      </c>
      <c r="G22" s="2747"/>
    </row>
    <row r="23" spans="1:7" ht="15" thickBot="1">
      <c r="A23" s="2550"/>
      <c r="B23" s="1241" t="s">
        <v>1661</v>
      </c>
      <c r="C23" s="3034"/>
      <c r="E23" s="2548"/>
      <c r="F23" s="1242" t="s">
        <v>1675</v>
      </c>
      <c r="G23" s="3035"/>
    </row>
    <row r="24" spans="1:7" ht="15" thickBot="1">
      <c r="A24" s="2551"/>
      <c r="B24" s="1242" t="s">
        <v>1662</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4" t="s">
        <v>2843</v>
      </c>
      <c r="B1" s="2994">
        <f>SUM(B14:B23)</f>
        <v>69312.710000000006</v>
      </c>
      <c r="C1" s="2995"/>
      <c r="D1" s="2995"/>
      <c r="E1" s="2995"/>
      <c r="F1" s="2995"/>
    </row>
    <row r="2" spans="1:9" ht="15.6">
      <c r="A2" s="2994" t="s">
        <v>2844</v>
      </c>
      <c r="B2" s="2994">
        <f>SUM(C14:C23)</f>
        <v>15094.79</v>
      </c>
      <c r="C2" s="2995"/>
      <c r="D2" s="2995"/>
      <c r="E2" s="2995"/>
      <c r="F2" s="2995"/>
    </row>
    <row r="3" spans="1:9" ht="15.6">
      <c r="A3" s="2994" t="s">
        <v>2845</v>
      </c>
      <c r="B3" s="2996">
        <f>项目基本情况!D3</f>
        <v>43840</v>
      </c>
      <c r="C3" s="2995"/>
      <c r="D3" s="2995"/>
      <c r="E3" s="2995"/>
      <c r="F3" s="2995"/>
    </row>
    <row r="4" spans="1:9" ht="31.2">
      <c r="A4" s="2994" t="s">
        <v>2846</v>
      </c>
      <c r="B4" s="2994" t="s">
        <v>2847</v>
      </c>
      <c r="C4" s="2994" t="s">
        <v>2848</v>
      </c>
      <c r="D4" s="2994" t="s">
        <v>2849</v>
      </c>
      <c r="E4" s="2995"/>
      <c r="F4" s="2995"/>
    </row>
    <row r="5" spans="1:9" ht="15.6">
      <c r="A5" s="2994" t="s">
        <v>2850</v>
      </c>
      <c r="B5" s="2994">
        <f ca="1">SUM(D14:D23)</f>
        <v>42747</v>
      </c>
      <c r="C5" s="2994">
        <f ca="1">ROUND(B5*10000/$B$1,0)</f>
        <v>6167</v>
      </c>
      <c r="D5" s="2994">
        <f ca="1">ROUND(B5*10000/$B$2,0)</f>
        <v>28319</v>
      </c>
      <c r="E5" s="2995"/>
      <c r="F5" s="2995"/>
    </row>
    <row r="6" spans="1:9" ht="15.6">
      <c r="A6" s="2994" t="s">
        <v>2851</v>
      </c>
      <c r="B6" s="2994">
        <f ca="1">SUM(G14:G23)</f>
        <v>42747</v>
      </c>
      <c r="C6" s="2994">
        <f t="shared" ref="C6:C8" ca="1" si="0">ROUND(B6*10000/$B$1,0)</f>
        <v>6167</v>
      </c>
      <c r="D6" s="2994">
        <f t="shared" ref="D6:D8" ca="1" si="1">ROUND(B6*10000/$B$2,0)</f>
        <v>28319</v>
      </c>
      <c r="E6" s="2995"/>
      <c r="F6" s="2995"/>
    </row>
    <row r="7" spans="1:9" ht="15.6">
      <c r="A7" s="2994" t="s">
        <v>2852</v>
      </c>
      <c r="B7" s="2994">
        <f>SUM(H14:H23)</f>
        <v>0</v>
      </c>
      <c r="C7" s="2994">
        <f t="shared" si="0"/>
        <v>0</v>
      </c>
      <c r="D7" s="2994">
        <f t="shared" si="1"/>
        <v>0</v>
      </c>
      <c r="E7" s="2995"/>
      <c r="F7" s="2995"/>
    </row>
    <row r="8" spans="1:9" ht="15.6">
      <c r="A8" s="2994" t="s">
        <v>2853</v>
      </c>
      <c r="B8" s="2994">
        <f>SUM(I14:I23)</f>
        <v>0</v>
      </c>
      <c r="C8" s="2994">
        <f t="shared" si="0"/>
        <v>0</v>
      </c>
      <c r="D8" s="2994">
        <f t="shared" si="1"/>
        <v>0</v>
      </c>
      <c r="E8" s="2995"/>
      <c r="F8" s="2995"/>
    </row>
    <row r="9" spans="1:9" ht="15.6">
      <c r="A9" s="2994" t="s">
        <v>2854</v>
      </c>
      <c r="B9" s="2997"/>
      <c r="C9" s="2995"/>
      <c r="D9" s="2995"/>
      <c r="E9" s="2995"/>
      <c r="F9" s="2995"/>
    </row>
    <row r="10" spans="1:9" ht="15.6">
      <c r="A10" s="2994" t="s">
        <v>2855</v>
      </c>
      <c r="B10" s="2997"/>
      <c r="C10" s="2995"/>
      <c r="D10" s="2995"/>
      <c r="E10" s="2995"/>
      <c r="F10" s="2995"/>
    </row>
    <row r="11" spans="1:9" ht="15.6">
      <c r="A11" s="2994" t="s">
        <v>2872</v>
      </c>
      <c r="B11" s="2997"/>
      <c r="C11" s="2995"/>
      <c r="D11" s="2995"/>
      <c r="E11" s="2995"/>
      <c r="F11" s="2995"/>
    </row>
    <row r="12" spans="1:9" ht="15.6">
      <c r="A12" s="2995"/>
      <c r="B12" s="2995"/>
      <c r="C12" s="2995"/>
      <c r="D12" s="2995"/>
      <c r="E12" s="2995"/>
      <c r="F12" s="2995"/>
    </row>
    <row r="13" spans="1:9" ht="31.2">
      <c r="A13" s="3000" t="s">
        <v>2871</v>
      </c>
      <c r="B13" s="2998" t="s">
        <v>2843</v>
      </c>
      <c r="C13" s="2998" t="s">
        <v>2844</v>
      </c>
      <c r="D13" s="2998" t="s">
        <v>2856</v>
      </c>
      <c r="E13" s="2994" t="s">
        <v>2870</v>
      </c>
      <c r="F13" s="2994" t="s">
        <v>2849</v>
      </c>
      <c r="G13" s="2998" t="s">
        <v>2857</v>
      </c>
      <c r="H13" s="2998" t="s">
        <v>2858</v>
      </c>
      <c r="I13" s="2998" t="s">
        <v>2859</v>
      </c>
    </row>
    <row r="14" spans="1:9" ht="15.6">
      <c r="A14" s="3001" t="s">
        <v>2869</v>
      </c>
      <c r="B14" s="2998">
        <f>结果表!L38</f>
        <v>69312.710000000006</v>
      </c>
      <c r="C14" s="2998">
        <f>结果表!K38</f>
        <v>15094.79</v>
      </c>
      <c r="D14" s="2998">
        <f ca="1">结果表!C42</f>
        <v>42747</v>
      </c>
      <c r="E14" s="2998">
        <f ca="1">ROUND(D14*10000/B14,0)</f>
        <v>6167</v>
      </c>
      <c r="F14" s="2998">
        <f ca="1">ROUND(D14*10000/C14,0)</f>
        <v>28319</v>
      </c>
      <c r="G14" s="2998">
        <f ca="1">结果表!C44</f>
        <v>42747</v>
      </c>
      <c r="H14" s="2998" t="str">
        <f>结果表!C45</f>
        <v>——</v>
      </c>
      <c r="I14" s="2998" t="str">
        <f>结果表!C46</f>
        <v>——</v>
      </c>
    </row>
    <row r="15" spans="1:9" ht="15.6">
      <c r="A15" s="3001" t="s">
        <v>2860</v>
      </c>
      <c r="B15" s="3002"/>
      <c r="C15" s="3002"/>
      <c r="D15" s="3002"/>
      <c r="E15" s="2998" t="e">
        <f t="shared" ref="E15:E23" si="2">ROUND(D15*10000/B15,0)</f>
        <v>#DIV/0!</v>
      </c>
      <c r="F15" s="2998" t="e">
        <f t="shared" ref="F15:F23" si="3">ROUND(D15*10000/C15,0)</f>
        <v>#DIV/0!</v>
      </c>
      <c r="G15" s="2999"/>
      <c r="H15" s="2999"/>
      <c r="I15" s="3002"/>
    </row>
    <row r="16" spans="1:9" ht="15.6">
      <c r="A16" s="3001" t="s">
        <v>2861</v>
      </c>
      <c r="B16" s="3002"/>
      <c r="C16" s="3002"/>
      <c r="D16" s="3002"/>
      <c r="E16" s="2998" t="e">
        <f t="shared" si="2"/>
        <v>#DIV/0!</v>
      </c>
      <c r="F16" s="2998" t="e">
        <f t="shared" si="3"/>
        <v>#DIV/0!</v>
      </c>
      <c r="G16" s="2999"/>
      <c r="H16" s="2999"/>
      <c r="I16" s="3002"/>
    </row>
    <row r="17" spans="1:9" ht="15.6">
      <c r="A17" s="3001" t="s">
        <v>2862</v>
      </c>
      <c r="B17" s="3002"/>
      <c r="C17" s="3002"/>
      <c r="D17" s="3002"/>
      <c r="E17" s="2998" t="e">
        <f t="shared" si="2"/>
        <v>#DIV/0!</v>
      </c>
      <c r="F17" s="2998" t="e">
        <f t="shared" si="3"/>
        <v>#DIV/0!</v>
      </c>
      <c r="G17" s="2999"/>
      <c r="H17" s="2999"/>
      <c r="I17" s="3002"/>
    </row>
    <row r="18" spans="1:9" ht="15.6">
      <c r="A18" s="3001" t="s">
        <v>2863</v>
      </c>
      <c r="B18" s="3002"/>
      <c r="C18" s="3002"/>
      <c r="D18" s="3002"/>
      <c r="E18" s="2998" t="e">
        <f t="shared" si="2"/>
        <v>#DIV/0!</v>
      </c>
      <c r="F18" s="2998" t="e">
        <f t="shared" si="3"/>
        <v>#DIV/0!</v>
      </c>
      <c r="G18" s="3002"/>
      <c r="H18" s="3002"/>
      <c r="I18" s="3002"/>
    </row>
    <row r="19" spans="1:9" ht="15.6">
      <c r="A19" s="3001" t="s">
        <v>2864</v>
      </c>
      <c r="B19" s="3002"/>
      <c r="C19" s="3002"/>
      <c r="D19" s="3002"/>
      <c r="E19" s="2998" t="e">
        <f t="shared" si="2"/>
        <v>#DIV/0!</v>
      </c>
      <c r="F19" s="2998" t="e">
        <f t="shared" si="3"/>
        <v>#DIV/0!</v>
      </c>
      <c r="G19" s="3002"/>
      <c r="H19" s="3002"/>
      <c r="I19" s="3002"/>
    </row>
    <row r="20" spans="1:9" ht="15.6">
      <c r="A20" s="3001" t="s">
        <v>2865</v>
      </c>
      <c r="B20" s="3002"/>
      <c r="C20" s="3002"/>
      <c r="D20" s="3002"/>
      <c r="E20" s="2998" t="e">
        <f t="shared" si="2"/>
        <v>#DIV/0!</v>
      </c>
      <c r="F20" s="2998" t="e">
        <f t="shared" si="3"/>
        <v>#DIV/0!</v>
      </c>
      <c r="G20" s="3002"/>
      <c r="H20" s="3002"/>
      <c r="I20" s="3002"/>
    </row>
    <row r="21" spans="1:9" ht="15.6">
      <c r="A21" s="3001" t="s">
        <v>2866</v>
      </c>
      <c r="B21" s="3002"/>
      <c r="C21" s="3002"/>
      <c r="D21" s="3002"/>
      <c r="E21" s="2998" t="e">
        <f t="shared" si="2"/>
        <v>#DIV/0!</v>
      </c>
      <c r="F21" s="2998" t="e">
        <f t="shared" si="3"/>
        <v>#DIV/0!</v>
      </c>
      <c r="G21" s="3002"/>
      <c r="H21" s="3002"/>
      <c r="I21" s="3002"/>
    </row>
    <row r="22" spans="1:9" ht="15.6">
      <c r="A22" s="3001" t="s">
        <v>2867</v>
      </c>
      <c r="B22" s="3002"/>
      <c r="C22" s="3002"/>
      <c r="D22" s="3002"/>
      <c r="E22" s="2998" t="e">
        <f t="shared" si="2"/>
        <v>#DIV/0!</v>
      </c>
      <c r="F22" s="2998" t="e">
        <f t="shared" si="3"/>
        <v>#DIV/0!</v>
      </c>
      <c r="G22" s="3002"/>
      <c r="H22" s="3002"/>
      <c r="I22" s="3002"/>
    </row>
    <row r="23" spans="1:9" ht="15.6">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27" sqref="F27"/>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4"/>
  </cols>
  <sheetData>
    <row r="1" spans="1:22" ht="21.75" customHeight="1" thickBot="1">
      <c r="A1" s="1758" t="s">
        <v>2055</v>
      </c>
      <c r="B1" s="1759"/>
      <c r="C1" s="1787" t="s">
        <v>2056</v>
      </c>
      <c r="D1" s="1788"/>
      <c r="E1" s="1787" t="s">
        <v>2057</v>
      </c>
      <c r="F1" s="1789" t="s">
        <v>4022</v>
      </c>
      <c r="G1" s="310"/>
      <c r="H1" s="310"/>
      <c r="I1" s="310"/>
      <c r="J1" s="2011"/>
      <c r="K1" s="2011"/>
      <c r="L1" s="2011"/>
      <c r="M1" s="2011"/>
      <c r="N1" s="2011"/>
      <c r="O1" s="2011"/>
      <c r="P1" s="2011"/>
      <c r="Q1" s="2011"/>
      <c r="R1" s="2011"/>
      <c r="S1" s="2011"/>
      <c r="T1" s="2011"/>
      <c r="U1" s="2011"/>
      <c r="V1" s="2011"/>
    </row>
    <row r="2" spans="1:22" ht="21.75" customHeight="1" thickBot="1">
      <c r="A2" s="3341" t="str">
        <f>项目基本情况!K2</f>
        <v>河南省郑州市金水区金水区经一路东、明鸿路南出让国有建设用地使用权</v>
      </c>
      <c r="B2" s="3342"/>
      <c r="C2" s="3343"/>
      <c r="D2" s="3343"/>
      <c r="E2" s="3343"/>
      <c r="F2" s="3343"/>
      <c r="G2" s="3342"/>
      <c r="H2" s="3342"/>
      <c r="I2" s="3344"/>
      <c r="J2" s="2012"/>
      <c r="K2" s="2011"/>
      <c r="L2" s="2011"/>
      <c r="M2" s="2011"/>
      <c r="N2" s="2011"/>
      <c r="O2" s="2011"/>
      <c r="P2" s="2011"/>
      <c r="Q2" s="2011"/>
      <c r="R2" s="2011"/>
      <c r="S2" s="2011"/>
      <c r="T2" s="2011"/>
      <c r="U2" s="2011"/>
      <c r="V2" s="2011"/>
    </row>
    <row r="3" spans="1:22" ht="13.8">
      <c r="A3" s="3352" t="s">
        <v>298</v>
      </c>
      <c r="B3" s="3353"/>
      <c r="C3" s="3353"/>
      <c r="D3" s="3353"/>
      <c r="E3" s="3353"/>
      <c r="F3" s="3353"/>
      <c r="G3" s="3353"/>
      <c r="H3" s="3353"/>
      <c r="I3" s="3353"/>
      <c r="J3" s="2012"/>
      <c r="K3" s="2011"/>
      <c r="L3" s="2011"/>
      <c r="M3" s="2011"/>
      <c r="N3" s="2011"/>
      <c r="O3" s="2011"/>
      <c r="P3" s="2011"/>
      <c r="Q3" s="2011"/>
      <c r="R3" s="2011"/>
      <c r="S3" s="2011"/>
      <c r="T3" s="2011"/>
      <c r="U3" s="2011"/>
      <c r="V3" s="2011"/>
    </row>
    <row r="4" spans="1:22" ht="14.4">
      <c r="A4" s="257" t="s">
        <v>299</v>
      </c>
      <c r="B4" s="258" t="s">
        <v>300</v>
      </c>
      <c r="C4" s="259" t="s">
        <v>3066</v>
      </c>
      <c r="D4" s="259" t="s">
        <v>3067</v>
      </c>
      <c r="E4" s="3316" t="s">
        <v>301</v>
      </c>
      <c r="F4" s="3358"/>
      <c r="G4" s="3358"/>
      <c r="H4" s="3358"/>
      <c r="I4" s="3317"/>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3.8">
      <c r="A5" s="3345" t="s">
        <v>302</v>
      </c>
      <c r="B5" s="3346">
        <v>25</v>
      </c>
      <c r="C5" s="3354"/>
      <c r="D5" s="3357"/>
      <c r="E5" s="260" t="s">
        <v>303</v>
      </c>
      <c r="F5" s="261"/>
      <c r="G5" s="261"/>
      <c r="H5" s="261"/>
      <c r="I5" s="262"/>
      <c r="J5" s="2012"/>
      <c r="K5" s="2011"/>
      <c r="L5" s="2011"/>
      <c r="M5" s="2011"/>
      <c r="N5" s="2011"/>
      <c r="O5" s="2011"/>
      <c r="P5" s="2011"/>
      <c r="Q5" s="2011"/>
      <c r="R5" s="2011"/>
      <c r="S5" s="2011"/>
      <c r="T5" s="2011"/>
      <c r="U5" s="2011"/>
      <c r="V5" s="2011"/>
    </row>
    <row r="6" spans="1:22" ht="13.8">
      <c r="A6" s="3345"/>
      <c r="B6" s="3346"/>
      <c r="C6" s="3355"/>
      <c r="D6" s="3357"/>
      <c r="E6" s="260" t="s">
        <v>304</v>
      </c>
      <c r="F6" s="261"/>
      <c r="G6" s="261"/>
      <c r="H6" s="261"/>
      <c r="I6" s="262"/>
      <c r="J6" s="2012"/>
      <c r="K6" s="2011"/>
      <c r="L6" s="2011"/>
      <c r="M6" s="2011"/>
      <c r="N6" s="2011"/>
      <c r="O6" s="2011"/>
      <c r="P6" s="2011"/>
      <c r="Q6" s="2011"/>
      <c r="R6" s="2011"/>
      <c r="S6" s="2011"/>
      <c r="T6" s="2011"/>
      <c r="U6" s="2011"/>
      <c r="V6" s="2011"/>
    </row>
    <row r="7" spans="1:22" ht="13.8">
      <c r="A7" s="3345"/>
      <c r="B7" s="3346"/>
      <c r="C7" s="3356"/>
      <c r="D7" s="3357"/>
      <c r="E7" s="260" t="s">
        <v>305</v>
      </c>
      <c r="F7" s="261"/>
      <c r="G7" s="261"/>
      <c r="H7" s="261"/>
      <c r="I7" s="262"/>
      <c r="J7" s="2012"/>
      <c r="K7" s="2011"/>
      <c r="L7" s="2011"/>
      <c r="M7" s="2011"/>
      <c r="N7" s="2011"/>
      <c r="O7" s="2011"/>
      <c r="P7" s="2011"/>
      <c r="Q7" s="2011"/>
      <c r="R7" s="2011"/>
      <c r="S7" s="2011"/>
      <c r="T7" s="2011"/>
      <c r="U7" s="2011"/>
      <c r="V7" s="2011"/>
    </row>
    <row r="8" spans="1:22" ht="13.8">
      <c r="A8" s="3345" t="s">
        <v>306</v>
      </c>
      <c r="B8" s="3346">
        <v>15</v>
      </c>
      <c r="C8" s="3354"/>
      <c r="D8" s="3357"/>
      <c r="E8" s="260" t="s">
        <v>307</v>
      </c>
      <c r="F8" s="261"/>
      <c r="G8" s="261"/>
      <c r="H8" s="261"/>
      <c r="I8" s="262"/>
      <c r="J8" s="2012"/>
      <c r="K8" s="2011"/>
      <c r="L8" s="2011"/>
      <c r="M8" s="2011"/>
      <c r="N8" s="2011"/>
      <c r="O8" s="2011"/>
      <c r="P8" s="2011"/>
      <c r="Q8" s="2011"/>
      <c r="R8" s="2011"/>
      <c r="S8" s="2011"/>
      <c r="T8" s="2011"/>
      <c r="U8" s="2011"/>
      <c r="V8" s="2011"/>
    </row>
    <row r="9" spans="1:22" ht="13.8">
      <c r="A9" s="3345"/>
      <c r="B9" s="3346"/>
      <c r="C9" s="3356"/>
      <c r="D9" s="3357"/>
      <c r="E9" s="260" t="s">
        <v>308</v>
      </c>
      <c r="F9" s="261"/>
      <c r="G9" s="261"/>
      <c r="H9" s="261"/>
      <c r="I9" s="262"/>
      <c r="J9" s="2012"/>
      <c r="K9" s="2011"/>
      <c r="L9" s="2011"/>
      <c r="M9" s="2011"/>
      <c r="N9" s="2011"/>
      <c r="O9" s="2011"/>
      <c r="P9" s="2011"/>
      <c r="Q9" s="2011"/>
      <c r="R9" s="2011"/>
      <c r="S9" s="2011"/>
      <c r="T9" s="2011"/>
      <c r="U9" s="2011"/>
      <c r="V9" s="2011"/>
    </row>
    <row r="10" spans="1:22" ht="13.8">
      <c r="A10" s="3345" t="s">
        <v>309</v>
      </c>
      <c r="B10" s="3346">
        <v>15</v>
      </c>
      <c r="C10" s="3354"/>
      <c r="D10" s="3357"/>
      <c r="E10" s="260" t="s">
        <v>310</v>
      </c>
      <c r="F10" s="261"/>
      <c r="G10" s="261"/>
      <c r="H10" s="261"/>
      <c r="I10" s="262"/>
      <c r="J10" s="2012"/>
      <c r="K10" s="2011"/>
      <c r="L10" s="2011"/>
      <c r="M10" s="2011"/>
      <c r="N10" s="2011"/>
      <c r="O10" s="2011"/>
      <c r="P10" s="2011"/>
      <c r="Q10" s="2011"/>
      <c r="R10" s="2011"/>
      <c r="S10" s="2011"/>
      <c r="T10" s="2011"/>
      <c r="U10" s="2011"/>
      <c r="V10" s="2011"/>
    </row>
    <row r="11" spans="1:22" ht="13.8">
      <c r="A11" s="3345"/>
      <c r="B11" s="3346"/>
      <c r="C11" s="3356"/>
      <c r="D11" s="3357"/>
      <c r="E11" s="260" t="s">
        <v>311</v>
      </c>
      <c r="F11" s="261"/>
      <c r="G11" s="261"/>
      <c r="H11" s="261"/>
      <c r="I11" s="262"/>
      <c r="J11" s="2012"/>
      <c r="K11" s="2011"/>
      <c r="L11" s="2011"/>
      <c r="M11" s="2011"/>
      <c r="N11" s="2011"/>
      <c r="O11" s="2011"/>
      <c r="P11" s="2011"/>
      <c r="Q11" s="2011"/>
      <c r="R11" s="2011"/>
      <c r="S11" s="2011"/>
      <c r="T11" s="2011"/>
      <c r="U11" s="2011"/>
      <c r="V11" s="2011"/>
    </row>
    <row r="12" spans="1:22" ht="13.8">
      <c r="A12" s="3345" t="s">
        <v>312</v>
      </c>
      <c r="B12" s="3346">
        <v>15</v>
      </c>
      <c r="C12" s="3354"/>
      <c r="D12" s="3357"/>
      <c r="E12" s="260" t="s">
        <v>313</v>
      </c>
      <c r="F12" s="261"/>
      <c r="G12" s="261"/>
      <c r="H12" s="261"/>
      <c r="I12" s="262"/>
      <c r="J12" s="2012"/>
      <c r="K12" s="2011"/>
      <c r="L12" s="2011"/>
      <c r="M12" s="2011"/>
      <c r="N12" s="2011"/>
      <c r="O12" s="2011"/>
      <c r="P12" s="2011"/>
      <c r="Q12" s="2011"/>
      <c r="R12" s="2011"/>
      <c r="S12" s="2011"/>
      <c r="T12" s="2011"/>
      <c r="U12" s="2011"/>
      <c r="V12" s="2011"/>
    </row>
    <row r="13" spans="1:22" ht="13.8">
      <c r="A13" s="3345"/>
      <c r="B13" s="3346"/>
      <c r="C13" s="3356"/>
      <c r="D13" s="3357"/>
      <c r="E13" s="260" t="s">
        <v>314</v>
      </c>
      <c r="F13" s="261"/>
      <c r="G13" s="261"/>
      <c r="H13" s="261"/>
      <c r="I13" s="262"/>
      <c r="J13" s="2012"/>
      <c r="K13" s="2011"/>
      <c r="L13" s="2011"/>
      <c r="M13" s="2011"/>
      <c r="N13" s="2011"/>
      <c r="O13" s="2011"/>
      <c r="P13" s="2011"/>
      <c r="Q13" s="2011"/>
      <c r="R13" s="2011"/>
      <c r="S13" s="2011"/>
      <c r="T13" s="2011"/>
      <c r="U13" s="2011"/>
      <c r="V13" s="2011"/>
    </row>
    <row r="14" spans="1:22" ht="13.8">
      <c r="A14" s="3345" t="s">
        <v>315</v>
      </c>
      <c r="B14" s="3346">
        <v>30</v>
      </c>
      <c r="C14" s="3354">
        <v>5</v>
      </c>
      <c r="D14" s="3357">
        <v>5</v>
      </c>
      <c r="E14" s="260" t="s">
        <v>316</v>
      </c>
      <c r="F14" s="261"/>
      <c r="G14" s="261"/>
      <c r="H14" s="261"/>
      <c r="I14" s="262"/>
      <c r="J14" s="2012"/>
      <c r="K14" s="2011"/>
      <c r="L14" s="2011"/>
      <c r="M14" s="2011"/>
      <c r="N14" s="2011"/>
      <c r="O14" s="2011"/>
      <c r="P14" s="2011"/>
      <c r="Q14" s="2011"/>
      <c r="R14" s="2011"/>
      <c r="S14" s="2011"/>
      <c r="T14" s="2011"/>
      <c r="U14" s="2011"/>
      <c r="V14" s="2011"/>
    </row>
    <row r="15" spans="1:22" ht="13.8">
      <c r="A15" s="3345"/>
      <c r="B15" s="3346"/>
      <c r="C15" s="3355"/>
      <c r="D15" s="3357"/>
      <c r="E15" s="260" t="s">
        <v>317</v>
      </c>
      <c r="F15" s="261"/>
      <c r="G15" s="261"/>
      <c r="H15" s="261"/>
      <c r="I15" s="262"/>
      <c r="J15" s="2012"/>
      <c r="K15" s="2011"/>
      <c r="L15" s="2011"/>
      <c r="M15" s="2011"/>
      <c r="N15" s="2011"/>
      <c r="O15" s="2011"/>
      <c r="P15" s="2011"/>
      <c r="Q15" s="2011"/>
      <c r="R15" s="2011"/>
      <c r="S15" s="2011"/>
      <c r="T15" s="2011"/>
      <c r="U15" s="2011"/>
      <c r="V15" s="2011"/>
    </row>
    <row r="16" spans="1:22" ht="13.8">
      <c r="A16" s="3345"/>
      <c r="B16" s="3346"/>
      <c r="C16" s="3356"/>
      <c r="D16" s="3357"/>
      <c r="E16" s="260" t="s">
        <v>318</v>
      </c>
      <c r="F16" s="261"/>
      <c r="G16" s="261"/>
      <c r="H16" s="261"/>
      <c r="I16" s="262"/>
      <c r="J16" s="2012"/>
      <c r="K16" s="2011"/>
      <c r="L16" s="2011"/>
      <c r="M16" s="2011"/>
      <c r="N16" s="2011"/>
      <c r="O16" s="2011"/>
      <c r="P16" s="2011"/>
      <c r="Q16" s="2011"/>
      <c r="R16" s="2011"/>
      <c r="S16" s="2011"/>
      <c r="T16" s="2011"/>
      <c r="U16" s="2011"/>
      <c r="V16" s="2011"/>
    </row>
    <row r="17" spans="1:26" ht="14.4">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4.4">
      <c r="A19" s="267" t="s">
        <v>321</v>
      </c>
      <c r="B19" s="268" t="s">
        <v>322</v>
      </c>
      <c r="C19" s="269">
        <f ca="1">SUMIF(INDIRECT("'"&amp;C4&amp;"'"&amp;"!A:A"),结果表!B19,INDIRECT("'"&amp;C4&amp;"'"&amp;"!B:B"))</f>
        <v>30393</v>
      </c>
      <c r="D19" s="270">
        <f ca="1">SUMIF(INDIRECT("'"&amp;D4&amp;"'"&amp;"!A:A"),结果表!B19,INDIRECT("'"&amp;D4&amp;"'"&amp;"!B:B"))</f>
        <v>55854</v>
      </c>
      <c r="E19" s="267" t="s">
        <v>323</v>
      </c>
      <c r="F19" s="268" t="s">
        <v>322</v>
      </c>
      <c r="G19" s="271">
        <f ca="1">ROUND(C19*$C$18+D19*$D$18,0)</f>
        <v>43124</v>
      </c>
      <c r="H19" s="272" t="s">
        <v>324</v>
      </c>
      <c r="I19" s="310"/>
      <c r="J19" s="2011"/>
      <c r="K19" s="2011"/>
      <c r="L19" s="2011"/>
      <c r="M19" s="2011"/>
      <c r="N19" s="2011"/>
      <c r="O19" s="2011"/>
      <c r="P19" s="2011"/>
      <c r="Q19" s="2011"/>
      <c r="R19" s="2011"/>
      <c r="S19" s="2011"/>
      <c r="T19" s="2011"/>
      <c r="U19" s="2011"/>
      <c r="V19" s="2011"/>
    </row>
    <row r="20" spans="1:26" ht="14.4">
      <c r="A20" s="273"/>
      <c r="B20" s="274" t="s">
        <v>325</v>
      </c>
      <c r="C20" s="275">
        <f ca="1">SUMIF(INDIRECT("'"&amp;C4&amp;"'"&amp;"!A:A"),结果表!B20,INDIRECT("'"&amp;C4&amp;"'"&amp;"!B:B"))</f>
        <v>4385</v>
      </c>
      <c r="D20" s="276">
        <f ca="1">SUMIF(INDIRECT("'"&amp;D4&amp;"'"&amp;"!A:A"),结果表!B20,INDIRECT("'"&amp;D4&amp;"'"&amp;"!B:B"))</f>
        <v>8058</v>
      </c>
      <c r="E20" s="273"/>
      <c r="F20" s="274" t="s">
        <v>325</v>
      </c>
      <c r="G20" s="277">
        <f ca="1">ROUND(C20*$C$18+D20*$D$18,0)</f>
        <v>6222</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20135</v>
      </c>
      <c r="D21" s="151">
        <f ca="1">SUMIF(INDIRECT("'"&amp;D4&amp;"'"&amp;"!A:A"),结果表!B21,INDIRECT("'"&amp;D4&amp;"'"&amp;"!B:B"))</f>
        <v>37002</v>
      </c>
      <c r="E21" s="273"/>
      <c r="F21" s="279" t="s">
        <v>327</v>
      </c>
      <c r="G21" s="281">
        <f ca="1">ROUND(C21*$C$18+D21*$D$18,0)</f>
        <v>28569</v>
      </c>
      <c r="H21" s="1245" t="s">
        <v>326</v>
      </c>
      <c r="I21" s="310"/>
      <c r="J21" s="2011"/>
      <c r="K21" s="2011"/>
      <c r="L21" s="2011"/>
      <c r="M21" s="2011"/>
      <c r="N21" s="2011"/>
      <c r="O21" s="2011"/>
      <c r="P21" s="2011"/>
      <c r="Q21" s="2011"/>
      <c r="R21" s="2011"/>
      <c r="S21" s="2011"/>
      <c r="T21" s="2011"/>
      <c r="U21" s="2011"/>
      <c r="V21" s="2011"/>
    </row>
    <row r="22" spans="1:26" ht="15" thickBot="1">
      <c r="A22" s="126" t="s">
        <v>328</v>
      </c>
      <c r="B22" s="1246"/>
      <c r="C22" s="1247"/>
      <c r="D22" s="282">
        <f ca="1">IF(C19&lt;D19,D19/C19-1,C19/D19-1)</f>
        <v>0.83772579212318621</v>
      </c>
      <c r="E22" s="283"/>
      <c r="F22" s="284"/>
      <c r="G22" s="285">
        <f ca="1">ROUND(G19/('数据-汇总表'!D3/666.67),0)</f>
        <v>1905</v>
      </c>
      <c r="H22" s="286" t="s">
        <v>329</v>
      </c>
      <c r="I22" s="310"/>
      <c r="J22" s="2011"/>
      <c r="K22" s="2011"/>
      <c r="L22" s="2011"/>
      <c r="M22" s="2011"/>
      <c r="N22" s="2011"/>
      <c r="O22" s="2011"/>
      <c r="P22" s="2011"/>
      <c r="Q22" s="2011"/>
      <c r="R22" s="2011"/>
      <c r="S22" s="2011"/>
      <c r="T22" s="2011"/>
      <c r="U22" s="2011"/>
      <c r="V22" s="2011"/>
    </row>
    <row r="23" spans="1:26" ht="13.8"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18" t="s">
        <v>330</v>
      </c>
      <c r="B24" s="268" t="s">
        <v>322</v>
      </c>
      <c r="C24" s="287">
        <f>IF(B30=0,0,D30)</f>
        <v>377</v>
      </c>
      <c r="D24" s="288"/>
      <c r="E24" s="310"/>
      <c r="F24" s="310"/>
      <c r="G24" s="310"/>
      <c r="H24" s="310"/>
      <c r="I24" s="310"/>
      <c r="J24" s="2011"/>
      <c r="K24" s="2011"/>
      <c r="L24" s="2011"/>
      <c r="M24" s="2011"/>
      <c r="N24" s="2011"/>
      <c r="O24" s="2011"/>
      <c r="P24" s="2011"/>
      <c r="Q24" s="2011"/>
      <c r="R24" s="2011"/>
      <c r="S24" s="2011"/>
      <c r="T24" s="2011"/>
      <c r="U24" s="2011"/>
      <c r="V24" s="2011"/>
    </row>
    <row r="25" spans="1:26" ht="17.399999999999999">
      <c r="A25" s="3360"/>
      <c r="B25" s="1315" t="s">
        <v>331</v>
      </c>
      <c r="C25" s="289">
        <f>IF(B30=0,0,C30)</f>
        <v>0</v>
      </c>
      <c r="D25" s="290"/>
      <c r="E25" s="310"/>
      <c r="F25" s="310"/>
      <c r="G25" s="310"/>
      <c r="H25" s="310"/>
      <c r="I25" s="310"/>
      <c r="J25" s="2011"/>
      <c r="K25" s="1249" t="str">
        <f ca="1">项目基本情况!B16&amp;"国有建设用地使用权价格："&amp;O38&amp;"万元"</f>
        <v>出让国有建设用地使用权价格：42747万元</v>
      </c>
      <c r="L25" s="1250"/>
      <c r="M25" s="1250"/>
      <c r="N25" s="1250"/>
      <c r="O25" s="1251"/>
      <c r="P25" s="2011"/>
      <c r="Q25" s="2011"/>
      <c r="R25" s="2011"/>
      <c r="S25" s="2011"/>
      <c r="T25" s="2011"/>
      <c r="U25" s="2011"/>
      <c r="V25" s="2011"/>
    </row>
    <row r="26" spans="1:26" s="1248" customFormat="1" ht="17.399999999999999">
      <c r="A26" s="292" t="s">
        <v>332</v>
      </c>
      <c r="B26" s="293" t="s">
        <v>333</v>
      </c>
      <c r="C26" s="293" t="s">
        <v>334</v>
      </c>
      <c r="D26" s="294" t="s">
        <v>335</v>
      </c>
      <c r="E26" s="310"/>
      <c r="F26" s="310"/>
      <c r="G26" s="310"/>
      <c r="H26" s="310"/>
      <c r="I26" s="310"/>
      <c r="J26" s="2011"/>
      <c r="K26" s="1252" t="str">
        <f ca="1">"大写金额：人民币"&amp;NUMBERSTRING(INT(O38*10000),2)&amp;"元整"</f>
        <v>大写金额：人民币肆亿贰仟柒佰肆拾柒万元整</v>
      </c>
      <c r="L26" s="1246"/>
      <c r="M26" s="1246"/>
      <c r="N26" s="1246"/>
      <c r="O26" s="1245"/>
      <c r="P26" s="2011"/>
      <c r="Q26" s="2011"/>
      <c r="R26" s="2011"/>
      <c r="S26" s="2011"/>
      <c r="T26" s="2011"/>
      <c r="U26" s="2011"/>
      <c r="V26" s="2011"/>
      <c r="W26" s="291"/>
      <c r="X26" s="291"/>
      <c r="Y26" s="291"/>
      <c r="Z26" s="291"/>
    </row>
    <row r="27" spans="1:26" ht="17.399999999999999">
      <c r="A27" s="3205" t="s">
        <v>4021</v>
      </c>
      <c r="B27" s="293">
        <f>'数据-汇总表'!D3</f>
        <v>15094.79</v>
      </c>
      <c r="C27" s="293">
        <v>250</v>
      </c>
      <c r="D27" s="294">
        <f>ROUND(B27*C27/10000,0)</f>
        <v>377</v>
      </c>
      <c r="E27" s="310"/>
      <c r="F27" s="310"/>
      <c r="G27" s="310"/>
      <c r="H27" s="310"/>
      <c r="I27" s="310"/>
      <c r="J27" s="2011"/>
      <c r="K27" s="1252" t="str">
        <f ca="1">"单位面积地价："&amp;M38&amp;"元/平方米"</f>
        <v>单位面积地价：28319元/平方米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楼面地价：6167元/平方米</v>
      </c>
      <c r="L28" s="1246"/>
      <c r="M28" s="1246"/>
      <c r="N28" s="1246"/>
      <c r="O28" s="1245"/>
      <c r="P28" s="2011"/>
      <c r="V28" s="2011"/>
    </row>
    <row r="29" spans="1:26" ht="17.399999999999999">
      <c r="A29" s="292"/>
      <c r="B29" s="293"/>
      <c r="C29" s="293"/>
      <c r="D29" s="294"/>
      <c r="E29" s="310"/>
      <c r="F29" s="310"/>
      <c r="G29" s="310"/>
      <c r="H29" s="310"/>
      <c r="I29" s="310"/>
      <c r="J29" s="2011"/>
      <c r="K29" s="1252" t="str">
        <f ca="1">IF(OR(项目基本情况!E8="抵押价格",项目基本情况!E8="已注销及未注销"),"抵押价格："&amp;O39&amp;"万元","——")</f>
        <v>抵押价格：42747万元</v>
      </c>
      <c r="L29" s="1246"/>
      <c r="M29" s="1246"/>
      <c r="N29" s="1246"/>
      <c r="O29" s="1245"/>
      <c r="P29" s="2011"/>
      <c r="V29" s="2011"/>
    </row>
    <row r="30" spans="1:26" ht="18" thickBot="1">
      <c r="A30" s="3077" t="s">
        <v>336</v>
      </c>
      <c r="B30" s="308">
        <f>B27</f>
        <v>15094.79</v>
      </c>
      <c r="C30" s="308"/>
      <c r="D30" s="309">
        <f>D27</f>
        <v>377</v>
      </c>
      <c r="E30" s="3078" t="s">
        <v>2962</v>
      </c>
      <c r="F30" s="310"/>
      <c r="G30" s="310"/>
      <c r="H30" s="310"/>
      <c r="I30" s="310"/>
      <c r="J30" s="2011"/>
      <c r="K30" s="1252" t="str">
        <f ca="1">IF(K29="——","——","大写金额：人民币"&amp;NUMBERSTRING(INT(O39*10000),2)&amp;"元整")</f>
        <v>大写金额：人民币肆亿贰仟柒佰肆拾柒万元整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 thickBot="1">
      <c r="A32" s="267" t="s">
        <v>337</v>
      </c>
      <c r="B32" s="1376" t="s">
        <v>1688</v>
      </c>
      <c r="C32" s="1377">
        <f ca="1">G19-C24</f>
        <v>42747</v>
      </c>
      <c r="D32" s="1378" t="s">
        <v>1689</v>
      </c>
      <c r="E32" s="310"/>
      <c r="F32" s="310"/>
      <c r="G32" s="310"/>
      <c r="H32" s="310"/>
      <c r="I32" s="310"/>
      <c r="J32" s="2011"/>
      <c r="K32" s="2425" t="str">
        <f>IF(K31="——","——","大写金额：人民币"&amp;NUMBERSTRING(INT(O40*10000),2)&amp;"元整")</f>
        <v>——</v>
      </c>
      <c r="L32" s="2428"/>
      <c r="M32" s="2428"/>
      <c r="N32" s="2428"/>
      <c r="O32" s="2429"/>
      <c r="P32" s="2011"/>
      <c r="V32" s="2011"/>
    </row>
    <row r="33" spans="1:26" ht="18" thickBot="1">
      <c r="A33" s="297" t="s">
        <v>340</v>
      </c>
      <c r="B33" s="1379" t="s">
        <v>1690</v>
      </c>
      <c r="C33" s="263">
        <f ca="1">ROUND(C32*10000/'数据-汇总表'!E3,0)</f>
        <v>6167</v>
      </c>
      <c r="D33" s="1380" t="s">
        <v>1691</v>
      </c>
      <c r="E33" s="3318" t="s">
        <v>338</v>
      </c>
      <c r="F33" s="295" t="s">
        <v>339</v>
      </c>
      <c r="G33" s="296"/>
      <c r="H33" s="978"/>
      <c r="I33" s="1253"/>
      <c r="J33" s="2011"/>
      <c r="K33" s="1252" t="str">
        <f>IF(项目基本情况!E9="——","——","抵押净值："&amp;C46&amp;"万元")</f>
        <v>——</v>
      </c>
      <c r="L33" s="1246"/>
      <c r="M33" s="1246"/>
      <c r="N33" s="1246"/>
      <c r="O33" s="1245"/>
      <c r="P33" s="2011"/>
      <c r="V33" s="2011"/>
    </row>
    <row r="34" spans="1:26" s="1248" customFormat="1" ht="18" thickBot="1">
      <c r="A34" s="299"/>
      <c r="B34" s="1381" t="s">
        <v>1692</v>
      </c>
      <c r="C34" s="263">
        <f ca="1">ROUND(C32*10000/'数据-汇总表'!D3,0)</f>
        <v>28319</v>
      </c>
      <c r="D34" s="1382" t="s">
        <v>1691</v>
      </c>
      <c r="E34" s="3319"/>
      <c r="F34" s="127" t="s">
        <v>341</v>
      </c>
      <c r="G34" s="298"/>
      <c r="H34" s="105"/>
      <c r="I34" s="310"/>
      <c r="J34" s="2011"/>
      <c r="K34" s="1255" t="str">
        <f>IF(K33="——","——","大写金额：人民币"&amp;NUMBERSTRING(INT(O41*10000),2)&amp;"元整")</f>
        <v>——</v>
      </c>
      <c r="L34" s="1256"/>
      <c r="M34" s="1256"/>
      <c r="N34" s="1256"/>
      <c r="O34" s="1257"/>
      <c r="P34" s="2011"/>
      <c r="Q34" s="291"/>
      <c r="R34" s="291"/>
      <c r="S34" s="291"/>
      <c r="T34" s="291"/>
      <c r="U34" s="291"/>
      <c r="V34" s="2011"/>
      <c r="W34" s="291"/>
      <c r="X34" s="291"/>
      <c r="Y34" s="291"/>
      <c r="Z34" s="291"/>
    </row>
    <row r="35" spans="1:26" ht="15" thickBot="1">
      <c r="A35" s="283"/>
      <c r="B35" s="1383"/>
      <c r="C35" s="1384">
        <f ca="1">ROUND(C32/('数据-汇总表'!D3/666.67),0)</f>
        <v>1888</v>
      </c>
      <c r="D35" s="1385" t="s">
        <v>1693</v>
      </c>
      <c r="E35" s="3320"/>
      <c r="F35" s="300" t="s">
        <v>342</v>
      </c>
      <c r="G35" s="980"/>
      <c r="H35" s="979" t="s">
        <v>343</v>
      </c>
      <c r="I35" s="310"/>
      <c r="J35" s="2011"/>
      <c r="K35" s="3324" t="s">
        <v>350</v>
      </c>
      <c r="L35" s="3324" t="s">
        <v>351</v>
      </c>
      <c r="M35" s="1258" t="s">
        <v>352</v>
      </c>
      <c r="N35" s="3324" t="s">
        <v>353</v>
      </c>
      <c r="O35" s="3324" t="s">
        <v>354</v>
      </c>
      <c r="P35" s="2011"/>
      <c r="V35" s="2011"/>
    </row>
    <row r="36" spans="1:26" ht="16.5" customHeight="1">
      <c r="A36" s="302" t="s">
        <v>344</v>
      </c>
      <c r="B36" s="303" t="s">
        <v>333</v>
      </c>
      <c r="C36" s="304" t="s">
        <v>345</v>
      </c>
      <c r="D36" s="304" t="s">
        <v>346</v>
      </c>
      <c r="E36" s="305" t="s">
        <v>347</v>
      </c>
      <c r="F36" s="310"/>
      <c r="G36" s="310"/>
      <c r="H36" s="310"/>
      <c r="I36" s="310"/>
      <c r="J36" s="2013"/>
      <c r="K36" s="3325"/>
      <c r="L36" s="3325"/>
      <c r="M36" s="1260" t="s">
        <v>355</v>
      </c>
      <c r="N36" s="3325"/>
      <c r="O36" s="3325"/>
      <c r="P36" s="2011"/>
      <c r="V36" s="2011"/>
    </row>
    <row r="37" spans="1:26" ht="16.5" customHeight="1" thickBot="1">
      <c r="A37" s="1254" t="s">
        <v>348</v>
      </c>
      <c r="B37" s="306"/>
      <c r="C37" s="293"/>
      <c r="D37" s="293"/>
      <c r="E37" s="294"/>
      <c r="F37" s="310"/>
      <c r="G37" s="310"/>
      <c r="H37" s="310"/>
      <c r="I37" s="310"/>
      <c r="J37" s="2013"/>
      <c r="K37" s="3326"/>
      <c r="L37" s="3326"/>
      <c r="M37" s="1261"/>
      <c r="N37" s="3326"/>
      <c r="O37" s="3326"/>
      <c r="P37" s="2011"/>
      <c r="V37" s="2011"/>
    </row>
    <row r="38" spans="1:26" ht="16.5" customHeight="1" thickBot="1">
      <c r="A38" s="1254" t="s">
        <v>349</v>
      </c>
      <c r="B38" s="306"/>
      <c r="C38" s="293"/>
      <c r="D38" s="293"/>
      <c r="E38" s="294"/>
      <c r="F38" s="310"/>
      <c r="G38" s="310"/>
      <c r="H38" s="310"/>
      <c r="I38" s="310"/>
      <c r="J38" s="2013"/>
      <c r="K38" s="1262">
        <f>'数据-汇总表'!D3</f>
        <v>15094.79</v>
      </c>
      <c r="L38" s="1263">
        <f>'数据-汇总表'!E3</f>
        <v>69312.710000000006</v>
      </c>
      <c r="M38" s="1263">
        <f ca="1">C34</f>
        <v>28319</v>
      </c>
      <c r="N38" s="1263">
        <f ca="1">C33</f>
        <v>6167</v>
      </c>
      <c r="O38" s="1264">
        <f ca="1">C32</f>
        <v>42747</v>
      </c>
      <c r="P38" s="2011"/>
      <c r="V38" s="2011"/>
    </row>
    <row r="39" spans="1:26" ht="16.5" customHeight="1" thickBot="1">
      <c r="A39" s="1259"/>
      <c r="B39" s="307"/>
      <c r="C39" s="308"/>
      <c r="D39" s="308"/>
      <c r="E39" s="309"/>
      <c r="F39" s="310"/>
      <c r="G39" s="310"/>
      <c r="H39" s="310"/>
      <c r="I39" s="310"/>
      <c r="J39" s="2013"/>
      <c r="K39" s="3301" t="str">
        <f>MID(A44,3,LEN(A44)-2)</f>
        <v>抵押价格</v>
      </c>
      <c r="L39" s="3302"/>
      <c r="M39" s="3302"/>
      <c r="N39" s="3303"/>
      <c r="O39" s="1387">
        <f ca="1">C44</f>
        <v>42747</v>
      </c>
      <c r="P39" s="2011"/>
      <c r="V39" s="2011"/>
    </row>
    <row r="40" spans="1:26" ht="18" thickBot="1">
      <c r="A40" s="104" t="s">
        <v>873</v>
      </c>
      <c r="B40" s="310"/>
      <c r="C40" s="310"/>
      <c r="D40" s="310"/>
      <c r="E40" s="310"/>
      <c r="F40" s="310"/>
      <c r="G40" s="310"/>
      <c r="H40" s="310"/>
      <c r="I40" s="310"/>
      <c r="J40" s="2013"/>
      <c r="K40" s="3301" t="str">
        <f t="shared" ref="K40:K41" si="0">MID(A45,3,LEN(A45)-2)</f>
        <v/>
      </c>
      <c r="L40" s="3302"/>
      <c r="M40" s="3302"/>
      <c r="N40" s="3303"/>
      <c r="O40" s="1387" t="str">
        <f>C45</f>
        <v>——</v>
      </c>
      <c r="P40" s="2011"/>
      <c r="V40" s="2011"/>
    </row>
    <row r="41" spans="1:26" ht="16.2" thickBot="1">
      <c r="A41" s="311" t="s">
        <v>356</v>
      </c>
      <c r="B41" s="312"/>
      <c r="C41" s="313" t="s">
        <v>357</v>
      </c>
      <c r="D41" s="314" t="s">
        <v>358</v>
      </c>
      <c r="E41" s="314" t="s">
        <v>359</v>
      </c>
      <c r="F41" s="315" t="s">
        <v>360</v>
      </c>
      <c r="G41" s="310"/>
      <c r="H41" s="310"/>
      <c r="I41" s="310"/>
      <c r="J41" s="2013"/>
      <c r="K41" s="3301" t="str">
        <f t="shared" si="0"/>
        <v/>
      </c>
      <c r="L41" s="3302"/>
      <c r="M41" s="3302"/>
      <c r="N41" s="3303"/>
      <c r="O41" s="1387" t="str">
        <f>C46</f>
        <v>——</v>
      </c>
      <c r="P41" s="2011"/>
      <c r="V41" s="2011"/>
    </row>
    <row r="42" spans="1:26" ht="31.2">
      <c r="A42" s="3361" t="s">
        <v>2067</v>
      </c>
      <c r="B42" s="3362"/>
      <c r="C42" s="263">
        <f ca="1">C32</f>
        <v>42747</v>
      </c>
      <c r="D42" s="316">
        <f ca="1">C33</f>
        <v>6167</v>
      </c>
      <c r="E42" s="316">
        <f ca="1">C34</f>
        <v>28319</v>
      </c>
      <c r="F42" s="317">
        <f ca="1">C35</f>
        <v>1888</v>
      </c>
      <c r="G42" s="310"/>
      <c r="H42" s="310"/>
      <c r="I42" s="318"/>
      <c r="J42" s="2013"/>
      <c r="K42" s="1265" t="s">
        <v>361</v>
      </c>
      <c r="L42" s="2030" t="s">
        <v>362</v>
      </c>
      <c r="M42" s="1266" t="s">
        <v>363</v>
      </c>
      <c r="N42" s="2031" t="s">
        <v>364</v>
      </c>
      <c r="O42" s="2032" t="s">
        <v>365</v>
      </c>
      <c r="P42" s="2011"/>
      <c r="V42" s="2011"/>
    </row>
    <row r="43" spans="1:26" ht="30">
      <c r="A43" s="3371" t="s">
        <v>2729</v>
      </c>
      <c r="B43" s="3372"/>
      <c r="C43" s="263">
        <f>IF(H33="正常操作",G33+G34+G35,G34+G35)</f>
        <v>0</v>
      </c>
      <c r="D43" s="316" t="s">
        <v>43</v>
      </c>
      <c r="E43" s="316" t="s">
        <v>44</v>
      </c>
      <c r="F43" s="317" t="s">
        <v>44</v>
      </c>
      <c r="G43" s="2819" t="s">
        <v>952</v>
      </c>
      <c r="H43" s="310"/>
      <c r="I43" s="318"/>
      <c r="J43" s="2013"/>
      <c r="K43" s="1267" t="str">
        <f>C4</f>
        <v>比较法-住宅、综合</v>
      </c>
      <c r="L43" s="1268">
        <f ca="1">IF(L42="估价结果/万元",C19,C20)</f>
        <v>30393</v>
      </c>
      <c r="M43" s="1269">
        <f>C18</f>
        <v>0.5</v>
      </c>
      <c r="N43" s="1270">
        <f ca="1">IF(N42="测算结果/万元",G19,G20)</f>
        <v>43124</v>
      </c>
      <c r="O43" s="1271">
        <f ca="1">IF(O42="最终结果/万元",C32,C33)</f>
        <v>42747</v>
      </c>
      <c r="P43" s="2011"/>
      <c r="V43" s="2011"/>
    </row>
    <row r="44" spans="1:26" ht="30.6" thickBot="1">
      <c r="A44" s="3361" t="str">
        <f>IF(OR(项目基本情况!E8="抵押价格",项目基本情况!E8="已注销及未注销"),"3.抵押价格","——")</f>
        <v>3.抵押价格</v>
      </c>
      <c r="B44" s="3362"/>
      <c r="C44" s="263">
        <f ca="1">IF(A44="——","——",C42-C43)</f>
        <v>42747</v>
      </c>
      <c r="D44" s="316">
        <f ca="1">ROUND(C44*10000/'数据-汇总表'!E3,0)</f>
        <v>6167</v>
      </c>
      <c r="E44" s="316">
        <f ca="1">ROUND(C44*10000/'数据-汇总表'!D3,0)</f>
        <v>28319</v>
      </c>
      <c r="F44" s="317">
        <f ca="1">ROUND(C44/('数据-汇总表'!D3/666.67),0)</f>
        <v>1888</v>
      </c>
      <c r="G44" s="310"/>
      <c r="H44" s="310"/>
      <c r="I44" s="318"/>
      <c r="J44" s="2013"/>
      <c r="K44" s="1272" t="str">
        <f>D4</f>
        <v>剩余法-待开发</v>
      </c>
      <c r="L44" s="1273">
        <f ca="1">IF(L42="估价结果/万元",D19,D20)</f>
        <v>55854</v>
      </c>
      <c r="M44" s="1274">
        <f>D18</f>
        <v>0.5</v>
      </c>
      <c r="N44" s="1275"/>
      <c r="O44" s="1276"/>
      <c r="P44" s="2011"/>
      <c r="V44" s="2011"/>
    </row>
    <row r="45" spans="1:26" ht="13.8">
      <c r="A45" s="3366" t="str">
        <f>IF(项目基本情况!E8="已注销及未注销","4.抵押担保权已注销时的抵押价格",IF(项目基本情况!E8="已注销","3.抵押担保权已注销时的抵押价格","——"))</f>
        <v>——</v>
      </c>
      <c r="B45" s="3367"/>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4.4" thickBot="1">
      <c r="A46" s="3363" t="str">
        <f>IF(项目基本情况!E9="抵押净值",IF(A45="——","4.抵押净值","5.抵押净值"),"——")</f>
        <v>——</v>
      </c>
      <c r="B46" s="3364"/>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6">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3.2">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3.2">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3.2">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3.2">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3.2">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3.2">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3.2">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3.2">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3.2">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3.2">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3.2">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3.2">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3.2">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7.399999999999999">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29" t="s">
        <v>374</v>
      </c>
      <c r="B63" s="3330"/>
      <c r="C63" s="3331"/>
      <c r="D63" s="340">
        <f ca="1">ROUND(C42*F63,0)</f>
        <v>25648</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68" t="s">
        <v>378</v>
      </c>
      <c r="B64" s="3369"/>
      <c r="C64" s="3369"/>
      <c r="D64" s="3369"/>
      <c r="E64" s="3369"/>
      <c r="F64" s="3369"/>
      <c r="G64" s="3370"/>
      <c r="H64" s="1282"/>
      <c r="I64" s="946"/>
      <c r="J64" s="1973"/>
      <c r="K64" s="1546"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6.4">
      <c r="A66" s="3365" t="s">
        <v>386</v>
      </c>
      <c r="B66" s="3336"/>
      <c r="C66" s="3336"/>
      <c r="D66" s="260">
        <f ca="1">IF(H66="情况1",0,IF(H66="情况2",D70,IF(H66="情况3",D71,IF(H66="情况4",D72))))</f>
        <v>1368</v>
      </c>
      <c r="E66" s="991" t="str">
        <f>IF(H66="情况4","(销售额-原购置价)×税（费）率","销售额×税（费）率")</f>
        <v>销售额×税（费）率</v>
      </c>
      <c r="F66" s="349">
        <f>IF(H66="情况1","免征",'数据-取费表'!B41)</f>
        <v>5.6000000000000001E-2</v>
      </c>
      <c r="G66" s="350" t="s">
        <v>387</v>
      </c>
      <c r="H66" s="191" t="s">
        <v>388</v>
      </c>
      <c r="I66" s="1282"/>
      <c r="J66" s="2017"/>
      <c r="K66" s="1285">
        <v>1</v>
      </c>
      <c r="L66" s="3305" t="s">
        <v>385</v>
      </c>
      <c r="M66" s="3306"/>
      <c r="N66" s="2420"/>
      <c r="O66" s="2421"/>
      <c r="P66" s="2422"/>
      <c r="Q66" s="2011"/>
      <c r="R66" s="2011"/>
      <c r="S66" s="2011"/>
      <c r="T66" s="2011"/>
      <c r="U66" s="2011"/>
      <c r="V66" s="2011"/>
    </row>
    <row r="67" spans="1:22" ht="25.5" customHeight="1">
      <c r="A67" s="351" t="s">
        <v>390</v>
      </c>
      <c r="B67" s="3348" t="s">
        <v>391</v>
      </c>
      <c r="C67" s="3348"/>
      <c r="D67" s="352">
        <v>0</v>
      </c>
      <c r="E67" s="41" t="s">
        <v>392</v>
      </c>
      <c r="F67" s="62" t="s">
        <v>21</v>
      </c>
      <c r="G67" s="3332"/>
      <c r="H67" s="310"/>
      <c r="I67" s="1286"/>
      <c r="J67" s="2018"/>
      <c r="K67" s="1959">
        <v>2</v>
      </c>
      <c r="L67" s="3304" t="s">
        <v>389</v>
      </c>
      <c r="M67" s="3304"/>
      <c r="N67" s="1319">
        <f>'数据-取费表'!B2</f>
        <v>43840</v>
      </c>
      <c r="O67" s="1319"/>
      <c r="P67" s="1319"/>
      <c r="Q67" s="2011"/>
      <c r="R67" s="2011"/>
      <c r="S67" s="2011"/>
      <c r="T67" s="2011"/>
      <c r="U67" s="2011"/>
      <c r="V67" s="2011"/>
    </row>
    <row r="68" spans="1:22" ht="25.5" customHeight="1">
      <c r="A68" s="353"/>
      <c r="B68" s="3348" t="s">
        <v>394</v>
      </c>
      <c r="C68" s="3348"/>
      <c r="D68" s="354"/>
      <c r="E68" s="77"/>
      <c r="F68" s="355"/>
      <c r="G68" s="3333"/>
      <c r="H68" s="310"/>
      <c r="I68" s="1286"/>
      <c r="J68" s="2018"/>
      <c r="K68" s="1959">
        <v>3</v>
      </c>
      <c r="L68" s="3304" t="s">
        <v>393</v>
      </c>
      <c r="M68" s="3304"/>
      <c r="N68" s="1287">
        <f ca="1">C42</f>
        <v>42747</v>
      </c>
      <c r="O68" s="1287"/>
      <c r="P68" s="1287"/>
      <c r="Q68" s="2011"/>
      <c r="R68" s="2011"/>
      <c r="S68" s="2011"/>
      <c r="T68" s="2011"/>
      <c r="U68" s="2011"/>
      <c r="V68" s="2011"/>
    </row>
    <row r="69" spans="1:22" ht="12" customHeight="1">
      <c r="A69" s="356"/>
      <c r="B69" s="3348" t="s">
        <v>395</v>
      </c>
      <c r="C69" s="3348"/>
      <c r="D69" s="357"/>
      <c r="E69" s="73"/>
      <c r="F69" s="355"/>
      <c r="G69" s="3334"/>
      <c r="H69" s="310"/>
      <c r="I69" s="1286"/>
      <c r="J69" s="2018"/>
      <c r="K69" s="1288">
        <v>4</v>
      </c>
      <c r="L69" s="3310" t="s">
        <v>2882</v>
      </c>
      <c r="M69" s="3311"/>
      <c r="N69" s="1289">
        <f ca="1">C44</f>
        <v>42747</v>
      </c>
      <c r="O69" s="1289"/>
      <c r="P69" s="1289"/>
      <c r="Q69" s="2011"/>
      <c r="R69" s="2011"/>
      <c r="S69" s="2011"/>
      <c r="T69" s="2011"/>
      <c r="U69" s="2011"/>
      <c r="V69" s="2011"/>
    </row>
    <row r="70" spans="1:22" ht="24" customHeight="1">
      <c r="A70" s="358" t="s">
        <v>396</v>
      </c>
      <c r="B70" s="3348" t="s">
        <v>397</v>
      </c>
      <c r="C70" s="3348"/>
      <c r="D70" s="357">
        <f ca="1">ROUND(D63*'数据-取费表'!B41/(1+'数据-取费表'!C42),0)</f>
        <v>1368</v>
      </c>
      <c r="E70" s="17" t="s">
        <v>398</v>
      </c>
      <c r="F70" s="359">
        <f>'数据-取费表'!B41</f>
        <v>5.6000000000000001E-2</v>
      </c>
      <c r="G70" s="360"/>
      <c r="H70" s="310"/>
      <c r="I70" s="1286"/>
      <c r="J70" s="2018"/>
      <c r="K70" s="3011"/>
      <c r="L70" s="3012"/>
      <c r="M70" s="3012"/>
      <c r="N70" s="3013" t="s">
        <v>2887</v>
      </c>
      <c r="O70" s="3012"/>
      <c r="P70" s="3014"/>
      <c r="Q70" s="2011"/>
      <c r="R70" s="2011"/>
      <c r="S70" s="2011"/>
      <c r="T70" s="2011"/>
      <c r="U70" s="2011"/>
      <c r="V70" s="2011"/>
    </row>
    <row r="71" spans="1:22" ht="12" customHeight="1">
      <c r="A71" s="358" t="s">
        <v>404</v>
      </c>
      <c r="B71" s="3347" t="s">
        <v>405</v>
      </c>
      <c r="C71" s="3359"/>
      <c r="D71" s="357">
        <f ca="1">ROUND(D63*'数据-取费表'!B41/(1+'数据-取费表'!C42),0)</f>
        <v>1368</v>
      </c>
      <c r="E71" s="17" t="s">
        <v>398</v>
      </c>
      <c r="F71" s="359">
        <f>'数据-取费表'!B41</f>
        <v>5.6000000000000001E-2</v>
      </c>
      <c r="G71" s="360"/>
      <c r="H71" s="310"/>
      <c r="I71" s="1286"/>
      <c r="J71" s="2018"/>
      <c r="K71" s="3010" t="s">
        <v>399</v>
      </c>
      <c r="L71" s="3312" t="s">
        <v>400</v>
      </c>
      <c r="M71" s="3312"/>
      <c r="N71" s="3010" t="s">
        <v>401</v>
      </c>
      <c r="O71" s="3010" t="s">
        <v>402</v>
      </c>
      <c r="P71" s="3010" t="s">
        <v>403</v>
      </c>
      <c r="Q71" s="2011"/>
      <c r="R71" s="2011"/>
      <c r="S71" s="2011"/>
      <c r="T71" s="2011"/>
      <c r="U71" s="2011"/>
      <c r="V71" s="2011"/>
    </row>
    <row r="72" spans="1:22" ht="12" customHeight="1">
      <c r="A72" s="358" t="s">
        <v>407</v>
      </c>
      <c r="B72" s="3347" t="s">
        <v>408</v>
      </c>
      <c r="C72" s="3359"/>
      <c r="D72" s="357">
        <f ca="1">C86</f>
        <v>1256</v>
      </c>
      <c r="E72" s="73" t="s">
        <v>409</v>
      </c>
      <c r="F72" s="359">
        <f>'数据-取费表'!B41</f>
        <v>5.6000000000000001E-2</v>
      </c>
      <c r="G72" s="360"/>
      <c r="H72" s="1292"/>
      <c r="I72" s="1286"/>
      <c r="J72" s="2018"/>
      <c r="K72" s="1959">
        <v>1</v>
      </c>
      <c r="L72" s="3309" t="s">
        <v>406</v>
      </c>
      <c r="M72" s="3309"/>
      <c r="N72" s="1290">
        <f ca="1">D66</f>
        <v>1368</v>
      </c>
      <c r="O72" s="1842" t="str">
        <f>E66</f>
        <v>销售额×税（费）率</v>
      </c>
      <c r="P72" s="1291">
        <f>F66</f>
        <v>5.6000000000000001E-2</v>
      </c>
      <c r="Q72" s="2011"/>
      <c r="R72" s="2011"/>
      <c r="S72" s="2011"/>
      <c r="T72" s="2011"/>
      <c r="U72" s="2011"/>
      <c r="V72" s="2011"/>
    </row>
    <row r="73" spans="1:22" ht="24" customHeight="1">
      <c r="A73" s="3335" t="s">
        <v>411</v>
      </c>
      <c r="B73" s="3336"/>
      <c r="C73" s="3336"/>
      <c r="D73" s="361">
        <f>IF(H73="个人住宅",0,ROUND(D63*I73,0))</f>
        <v>0</v>
      </c>
      <c r="E73" s="17" t="s">
        <v>412</v>
      </c>
      <c r="F73" s="359" t="str">
        <f>IF(H73="正常",I73,"免征")</f>
        <v>免征</v>
      </c>
      <c r="G73" s="360"/>
      <c r="H73" s="191" t="s">
        <v>2454</v>
      </c>
      <c r="I73" s="359">
        <f>'数据-取费表'!B49</f>
        <v>5.0000000000000001E-4</v>
      </c>
      <c r="J73" s="2018"/>
      <c r="K73" s="1959">
        <v>2</v>
      </c>
      <c r="L73" s="3309" t="s">
        <v>410</v>
      </c>
      <c r="M73" s="3309"/>
      <c r="N73" s="1290">
        <f t="shared" ref="N73:P74" si="1">D73</f>
        <v>0</v>
      </c>
      <c r="O73" s="1842" t="str">
        <f t="shared" si="1"/>
        <v>销售额×税（费）率</v>
      </c>
      <c r="P73" s="1291" t="str">
        <f t="shared" si="1"/>
        <v>免征</v>
      </c>
      <c r="Q73" s="2011"/>
      <c r="R73" s="2011"/>
      <c r="S73" s="2011"/>
      <c r="T73" s="2011"/>
      <c r="U73" s="2011"/>
      <c r="V73" s="2011"/>
    </row>
    <row r="74" spans="1:22" ht="25.2">
      <c r="A74" s="3335" t="s">
        <v>415</v>
      </c>
      <c r="B74" s="3336"/>
      <c r="C74" s="3336"/>
      <c r="D74" s="361">
        <f ca="1">IF(H74="个人住宅",D75,D76)</f>
        <v>13856</v>
      </c>
      <c r="E74" s="17" t="s">
        <v>416</v>
      </c>
      <c r="F74" s="359" t="str">
        <f>IF(H74="正常",F76,"免征")</f>
        <v>——</v>
      </c>
      <c r="G74" s="981" t="s">
        <v>417</v>
      </c>
      <c r="H74" s="362" t="s">
        <v>413</v>
      </c>
      <c r="I74" s="42"/>
      <c r="J74" s="2018"/>
      <c r="K74" s="1959">
        <v>3</v>
      </c>
      <c r="L74" s="3309" t="s">
        <v>414</v>
      </c>
      <c r="M74" s="3309"/>
      <c r="N74" s="1290">
        <f t="shared" ca="1" si="1"/>
        <v>13856</v>
      </c>
      <c r="O74" s="1842" t="str">
        <f t="shared" si="1"/>
        <v>增值额×税（费）率</v>
      </c>
      <c r="P74" s="1293" t="str">
        <f t="shared" si="1"/>
        <v>——</v>
      </c>
      <c r="Q74" s="2011"/>
      <c r="R74" s="2011"/>
      <c r="S74" s="2011"/>
      <c r="T74" s="2011"/>
      <c r="U74" s="2011"/>
      <c r="V74" s="2011"/>
    </row>
    <row r="75" spans="1:22" ht="24">
      <c r="A75" s="358" t="s">
        <v>418</v>
      </c>
      <c r="B75" s="3316" t="s">
        <v>419</v>
      </c>
      <c r="C75" s="3317"/>
      <c r="D75" s="363">
        <v>0</v>
      </c>
      <c r="E75" s="41" t="s">
        <v>420</v>
      </c>
      <c r="F75" s="364"/>
      <c r="G75" s="360"/>
      <c r="H75" s="42"/>
      <c r="I75" s="42"/>
      <c r="J75" s="2018"/>
      <c r="K75" s="3003">
        <f>IF(H77="非个人房产","",4)</f>
        <v>4</v>
      </c>
      <c r="L75" s="3309" t="str">
        <f>IF(H77="非个人房产","——","个人所得税")</f>
        <v>个人所得税</v>
      </c>
      <c r="M75" s="3309"/>
      <c r="N75" s="1294">
        <f ca="1">D77</f>
        <v>256</v>
      </c>
      <c r="O75" s="1855" t="str">
        <f>E77</f>
        <v>销售额×税（费）率</v>
      </c>
      <c r="P75" s="1295">
        <f>F77</f>
        <v>0.01</v>
      </c>
      <c r="Q75" s="2011"/>
      <c r="R75" s="2011"/>
      <c r="S75" s="2011"/>
      <c r="T75" s="2011"/>
      <c r="U75" s="2011"/>
      <c r="V75" s="2011"/>
    </row>
    <row r="76" spans="1:22" ht="25.2">
      <c r="A76" s="358" t="s">
        <v>396</v>
      </c>
      <c r="B76" s="3316" t="s">
        <v>422</v>
      </c>
      <c r="C76" s="3358"/>
      <c r="D76" s="361">
        <f ca="1">IF(H76="转让取得",C99,C115)</f>
        <v>13856</v>
      </c>
      <c r="E76" s="17" t="s">
        <v>423</v>
      </c>
      <c r="F76" s="53" t="s">
        <v>21</v>
      </c>
      <c r="G76" s="360"/>
      <c r="H76" s="362" t="s">
        <v>424</v>
      </c>
      <c r="I76" s="42"/>
      <c r="J76" s="2018"/>
      <c r="K76" s="3003" t="str">
        <f>IF(项目基本情况!K6="上海银行",IF(K75="",4,K75+1),"")</f>
        <v/>
      </c>
      <c r="L76" s="3297" t="str">
        <f>IF(项目基本情况!K6="上海银行","其他处置费用","")</f>
        <v/>
      </c>
      <c r="M76" s="3298"/>
      <c r="N76" s="1290" t="str">
        <f>IF(项目基本情况!K6="上海银行",N89,"")</f>
        <v/>
      </c>
      <c r="O76" s="3299" t="str">
        <f>IF(项目基本情况!K6="上海银行","包含处置中涉及的律师、诉讼、拍卖、评估等费用","")</f>
        <v/>
      </c>
      <c r="P76" s="3300"/>
      <c r="Q76" s="2011"/>
      <c r="R76" s="2011"/>
      <c r="S76" s="2011"/>
      <c r="T76" s="2011"/>
      <c r="U76" s="2011"/>
      <c r="V76" s="2011"/>
    </row>
    <row r="77" spans="1:22" ht="27" thickBot="1">
      <c r="A77" s="3327" t="s">
        <v>426</v>
      </c>
      <c r="B77" s="3328"/>
      <c r="C77" s="3328"/>
      <c r="D77" s="365">
        <f ca="1">IF(H77="非个人房产","——",IF(H77="个人住宅",0,ROUND(D63*I77,0)))</f>
        <v>256</v>
      </c>
      <c r="E77" s="366" t="str">
        <f>IF(H77="非个人房产","——","销售额×税（费）率")</f>
        <v>销售额×税（费）率</v>
      </c>
      <c r="F77" s="367">
        <f>IF(H77="非个人房产","——",IF(H77="个人住宅","免征",I77))</f>
        <v>0.01</v>
      </c>
      <c r="G77" s="982" t="s">
        <v>417</v>
      </c>
      <c r="H77" s="362" t="s">
        <v>2883</v>
      </c>
      <c r="I77" s="368">
        <v>0.01</v>
      </c>
      <c r="J77" s="2018"/>
      <c r="K77" s="3323">
        <f>IF(AND(K75="",K76=""),4,IF(项目基本情况!K6="上海银行",K76+1,K75+1))</f>
        <v>5</v>
      </c>
      <c r="L77" s="3309" t="s">
        <v>2884</v>
      </c>
      <c r="M77" s="3009" t="s">
        <v>421</v>
      </c>
      <c r="N77" s="1296"/>
      <c r="O77" s="1297">
        <f ca="1">SUMIF(N72:N76,"&lt;9e307")</f>
        <v>15480</v>
      </c>
      <c r="P77" s="1298"/>
      <c r="Q77" s="3007">
        <f ca="1">O77/N69</f>
        <v>0.36213067583690084</v>
      </c>
      <c r="R77" s="2011"/>
      <c r="S77" s="2011"/>
      <c r="T77" s="2011"/>
      <c r="U77" s="2011"/>
      <c r="V77" s="2011"/>
    </row>
    <row r="78" spans="1:22" ht="12" customHeight="1">
      <c r="A78" s="1299"/>
      <c r="B78" s="310"/>
      <c r="C78" s="310"/>
      <c r="D78" s="310"/>
      <c r="E78" s="42"/>
      <c r="F78" s="42"/>
      <c r="G78" s="42"/>
      <c r="H78" s="1001"/>
      <c r="I78" s="310"/>
      <c r="J78" s="2018"/>
      <c r="K78" s="3323"/>
      <c r="L78" s="3309"/>
      <c r="M78" s="3009" t="s">
        <v>425</v>
      </c>
      <c r="N78" s="1296"/>
      <c r="O78" s="1297" t="str">
        <f ca="1">NUMBERSTRING(INT(O77*10000),2)&amp;"元整"</f>
        <v>壹亿伍仟肆佰捌拾万元整</v>
      </c>
      <c r="P78" s="1298"/>
      <c r="Q78" s="2011"/>
      <c r="R78" s="2011"/>
      <c r="S78" s="2011"/>
      <c r="T78" s="2011"/>
      <c r="U78" s="2011"/>
      <c r="V78" s="2011"/>
    </row>
    <row r="79" spans="1:22" ht="13.8" thickBot="1">
      <c r="A79" s="3313" t="s">
        <v>427</v>
      </c>
      <c r="B79" s="3313"/>
      <c r="C79" s="3313"/>
      <c r="D79" s="3313"/>
      <c r="E79" s="3313"/>
      <c r="F79" s="42"/>
      <c r="G79" s="42"/>
      <c r="H79" s="1001"/>
      <c r="I79" s="310"/>
      <c r="J79" s="2018"/>
      <c r="K79" s="3307">
        <f>K77+1</f>
        <v>6</v>
      </c>
      <c r="L79" s="3309" t="s">
        <v>2885</v>
      </c>
      <c r="M79" s="3009" t="s">
        <v>421</v>
      </c>
      <c r="N79" s="1296"/>
      <c r="O79" s="1297">
        <f ca="1">N69-O77</f>
        <v>27267</v>
      </c>
      <c r="P79" s="1298"/>
      <c r="Q79" s="2011"/>
      <c r="R79" s="2011"/>
      <c r="S79" s="2011"/>
      <c r="T79" s="2011"/>
      <c r="U79" s="2011"/>
      <c r="V79" s="2011"/>
    </row>
    <row r="80" spans="1:22" ht="26.4">
      <c r="A80" s="3314" t="s">
        <v>428</v>
      </c>
      <c r="B80" s="3315"/>
      <c r="C80" s="992"/>
      <c r="D80" s="992" t="s">
        <v>429</v>
      </c>
      <c r="E80" s="369" t="s">
        <v>430</v>
      </c>
      <c r="F80" s="42"/>
      <c r="G80" s="42"/>
      <c r="H80" s="1001"/>
      <c r="I80" s="310"/>
      <c r="J80" s="2011"/>
      <c r="K80" s="3308"/>
      <c r="L80" s="3309"/>
      <c r="M80" s="3009" t="s">
        <v>425</v>
      </c>
      <c r="N80" s="1296"/>
      <c r="O80" s="1297" t="str">
        <f ca="1">NUMBERSTRING(INT(O79*10000),2)&amp;"元整"</f>
        <v>贰亿柒仟贰佰陆拾柒万元整</v>
      </c>
      <c r="P80" s="1298"/>
      <c r="Q80" s="2011"/>
      <c r="R80" s="2011"/>
      <c r="S80" s="2011"/>
      <c r="T80" s="2011"/>
      <c r="U80" s="2011"/>
      <c r="V80" s="2011"/>
    </row>
    <row r="81" spans="1:26" ht="13.8" thickBot="1">
      <c r="A81" s="380" t="s">
        <v>1823</v>
      </c>
      <c r="B81" s="370" t="s">
        <v>431</v>
      </c>
      <c r="C81" s="371">
        <f ca="1">ROUND((C82+C83)/(1+'数据-取费表'!C42),0)</f>
        <v>24427</v>
      </c>
      <c r="D81" s="372"/>
      <c r="E81" s="373"/>
      <c r="F81" s="42"/>
      <c r="G81" s="42"/>
      <c r="H81" s="1001"/>
      <c r="I81" s="310"/>
      <c r="J81" s="2011"/>
      <c r="K81" s="3003">
        <f>K79+1</f>
        <v>7</v>
      </c>
      <c r="L81" s="3321" t="s">
        <v>2886</v>
      </c>
      <c r="M81" s="3322"/>
      <c r="N81" s="1300"/>
      <c r="O81" s="1301">
        <f ca="1">ROUND(O79*10000/'数据-汇总表'!E3,0)</f>
        <v>3934</v>
      </c>
      <c r="P81" s="1302"/>
      <c r="Q81" s="2011"/>
      <c r="R81" s="2011"/>
      <c r="S81" s="2011"/>
      <c r="T81" s="2011"/>
      <c r="U81" s="2011"/>
      <c r="V81" s="2011"/>
    </row>
    <row r="82" spans="1:26" ht="13.8" thickTop="1">
      <c r="A82" s="374" t="s">
        <v>1824</v>
      </c>
      <c r="B82" s="375" t="s">
        <v>432</v>
      </c>
      <c r="C82" s="376">
        <f ca="1">D63</f>
        <v>25648</v>
      </c>
      <c r="D82" s="377" t="s">
        <v>19</v>
      </c>
      <c r="E82" s="378"/>
      <c r="F82" s="42"/>
      <c r="G82" s="42"/>
      <c r="H82" s="1001"/>
      <c r="I82" s="310"/>
      <c r="J82" s="2011"/>
      <c r="K82" s="2011"/>
      <c r="L82" s="2011"/>
      <c r="M82" s="2011"/>
      <c r="N82" s="2011"/>
      <c r="O82" s="2011"/>
      <c r="P82" s="2011"/>
      <c r="Q82" s="2011"/>
      <c r="R82" s="2011"/>
      <c r="S82" s="2011"/>
      <c r="T82" s="2011"/>
      <c r="U82" s="2011"/>
      <c r="V82" s="2011"/>
    </row>
    <row r="83" spans="1:26" ht="13.2">
      <c r="A83" s="374" t="s">
        <v>1825</v>
      </c>
      <c r="B83" s="375" t="s">
        <v>433</v>
      </c>
      <c r="C83" s="379">
        <v>0</v>
      </c>
      <c r="D83" s="377"/>
      <c r="E83" s="378"/>
      <c r="F83" s="42"/>
      <c r="G83" s="42"/>
      <c r="H83" s="1001"/>
      <c r="I83" s="310"/>
      <c r="J83" s="2011"/>
      <c r="K83" s="3296" t="s">
        <v>2873</v>
      </c>
      <c r="L83" s="3015" t="s">
        <v>2874</v>
      </c>
      <c r="M83" s="3005">
        <f ca="1">IF(N69&gt;10000,N69*0.5%,IF(AND(N69&gt;1000,N69&lt;=10000),N69*1%,IF(AND(N69&gt;100,N69&lt;=1000),N69*3%,IF(AND(N69&gt;10,N69&lt;=100),N69*5%,N69*8%))))</f>
        <v>213.73500000000001</v>
      </c>
      <c r="N83" s="53">
        <f ca="1">ROUND(M83,1)</f>
        <v>213.7</v>
      </c>
      <c r="O83" s="3008"/>
      <c r="P83" s="2011"/>
      <c r="Q83" s="2011"/>
      <c r="R83" s="2011"/>
      <c r="S83" s="2011"/>
      <c r="T83" s="2011"/>
      <c r="U83" s="2011"/>
      <c r="V83" s="2011"/>
    </row>
    <row r="84" spans="1:26" ht="25.2">
      <c r="A84" s="380" t="s">
        <v>1826</v>
      </c>
      <c r="B84" s="381" t="s">
        <v>434</v>
      </c>
      <c r="C84" s="382">
        <v>2000</v>
      </c>
      <c r="D84" s="383" t="s">
        <v>19</v>
      </c>
      <c r="E84" s="3048" t="s">
        <v>2935</v>
      </c>
      <c r="F84" s="42"/>
      <c r="G84" s="42"/>
      <c r="H84" s="1001"/>
      <c r="I84" s="310"/>
      <c r="J84" s="2011"/>
      <c r="K84" s="3296"/>
      <c r="L84" s="3015" t="s">
        <v>2875</v>
      </c>
      <c r="M84" s="3005">
        <f ca="1">IF(N69&gt;2000,N69*0.5%,IF(AND(N69&gt;1000,N69&lt;=2000),N69*0.6%,IF(AND(N69&gt;500,N69&lt;=1000),N69*0.7%,IF(AND(N69&gt;200,N69&lt;=500),N69*0.8%,IF(AND(N69&gt;100,N69&lt;=200),N69*0.9%,IF(AND(N69&gt;50,N69&lt;=100),N69*1%,IF(AND(N69&gt;20,N69&lt;=50),N69*1.5%,IF(AND(N69&gt;10,N69&lt;=20),N69*2%,IF(AND(N69&gt;1,N69&lt;=10),N69*2.5%)))))))))</f>
        <v>213.73500000000001</v>
      </c>
      <c r="N84" s="53">
        <f t="shared" ref="N84:N85" ca="1" si="2">ROUND(M84,1)</f>
        <v>213.7</v>
      </c>
      <c r="O84" s="2011" t="s">
        <v>2876</v>
      </c>
      <c r="P84" s="2011"/>
      <c r="Q84" s="2011"/>
      <c r="R84" s="2011"/>
      <c r="S84" s="2011"/>
      <c r="T84" s="2011"/>
      <c r="U84" s="2011"/>
      <c r="V84" s="2011"/>
    </row>
    <row r="85" spans="1:26" ht="13.2">
      <c r="A85" s="380" t="s">
        <v>1827</v>
      </c>
      <c r="B85" s="381" t="s">
        <v>435</v>
      </c>
      <c r="C85" s="384">
        <f ca="1">C81-C84</f>
        <v>22427</v>
      </c>
      <c r="D85" s="377" t="s">
        <v>19</v>
      </c>
      <c r="E85" s="378"/>
      <c r="F85" s="42"/>
      <c r="G85" s="42"/>
      <c r="H85" s="1001"/>
      <c r="I85" s="310"/>
      <c r="J85" s="2011"/>
      <c r="K85" s="3296"/>
      <c r="L85" s="3015" t="s">
        <v>2877</v>
      </c>
      <c r="M85" s="3005">
        <f ca="1">IF(N69&gt;1000,N69*0.1%,IF(AND(N69&gt;500,N69&lt;=1000),N69*0.5%,IF(AND(N69&gt;50,N69&lt;=500),N69*1%,IF(AND(N69&gt;1,N69&lt;=50),N69*1.5%))))</f>
        <v>42.747</v>
      </c>
      <c r="N85" s="53">
        <f t="shared" ca="1" si="2"/>
        <v>42.7</v>
      </c>
      <c r="O85" s="2011" t="s">
        <v>2876</v>
      </c>
      <c r="P85" s="2011"/>
      <c r="Q85" s="2011"/>
      <c r="R85" s="2011"/>
      <c r="S85" s="2011"/>
      <c r="T85" s="2011"/>
      <c r="U85" s="2011"/>
      <c r="V85" s="2011"/>
    </row>
    <row r="86" spans="1:26" ht="13.8" thickBot="1">
      <c r="A86" s="385" t="s">
        <v>1828</v>
      </c>
      <c r="B86" s="386" t="s">
        <v>436</v>
      </c>
      <c r="C86" s="387">
        <f ca="1">IF(C85&lt;=0,0,ROUND(C85*D86,0))</f>
        <v>1256</v>
      </c>
      <c r="D86" s="388">
        <f>'数据-取费表'!B41</f>
        <v>5.6000000000000001E-2</v>
      </c>
      <c r="E86" s="389"/>
      <c r="F86" s="42"/>
      <c r="G86" s="42"/>
      <c r="H86" s="1001"/>
      <c r="I86" s="310"/>
      <c r="J86" s="2011"/>
      <c r="K86" s="3296"/>
      <c r="L86" s="3015" t="s">
        <v>2878</v>
      </c>
      <c r="M86" s="3005">
        <f ca="1">N69*0.5%</f>
        <v>213.73500000000001</v>
      </c>
      <c r="N86" s="53">
        <f ca="1">IF(M86&gt;0.5,0.5,ROUND(M86,0))</f>
        <v>0.5</v>
      </c>
      <c r="O86" s="2011" t="s">
        <v>2879</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296"/>
      <c r="L87" s="3015" t="s">
        <v>2880</v>
      </c>
      <c r="M87" s="3005">
        <f ca="1">IF(N69&gt;=10000,(8.25+(N69-10000)*0.01%),IF(AND(N69&gt;=8000,N69&lt;10000),(7.85+(N69-8000)*0.02%),IF(AND(N69&gt;=5000,N69&lt;8000),(6.65+(N69-5000)*0.04%),IF(AND(N69&gt;=2000,N69&lt;5000),(4.25+(PN69-2000)*0.08%),IF(AND(N69&gt;=1000,N69&lt;2000),(2.75+(N69-1000)*0.15%),IF(AND(N69&gt;=100,N69&lt;1000),(0.5+(N69-100)*0.25%),IF(AND(N69&gt;0,N69&lt;100),N69*0.5%)))))))</f>
        <v>11.524699999999999</v>
      </c>
      <c r="N87" s="53">
        <f ca="1">ROUND(M87*0.9,1)</f>
        <v>10.4</v>
      </c>
      <c r="O87" s="3008"/>
      <c r="P87" s="310"/>
      <c r="Q87" s="2011"/>
      <c r="R87" s="2011"/>
      <c r="S87" s="2011"/>
      <c r="T87" s="2011"/>
      <c r="U87" s="2011"/>
      <c r="V87" s="2011"/>
      <c r="W87" s="291"/>
      <c r="X87" s="291"/>
      <c r="Y87" s="291"/>
      <c r="Z87" s="291"/>
    </row>
    <row r="88" spans="1:26" s="1308" customFormat="1" ht="14.4" thickBot="1">
      <c r="A88" s="3350" t="s">
        <v>437</v>
      </c>
      <c r="B88" s="3351"/>
      <c r="C88" s="3351"/>
      <c r="D88" s="3351"/>
      <c r="E88" s="3351"/>
      <c r="F88" s="3351"/>
      <c r="G88" s="3351"/>
      <c r="H88" s="3351"/>
      <c r="I88" s="1309"/>
      <c r="J88" s="2019"/>
      <c r="K88" s="3296"/>
      <c r="L88" s="3015" t="s">
        <v>2881</v>
      </c>
      <c r="M88" s="3005">
        <f ca="1">IF(N69&gt;10000,N69*0.5%,IF(AND(N69&gt;5000,N69&lt;=10000),N69*1%,IF(AND(N69&gt;1000,N69&lt;=5000),N69*2%,IF(AND(N69&gt;200,N69&lt;=1000),N69*3%,N69*5%))))</f>
        <v>213.73500000000001</v>
      </c>
      <c r="N88" s="53">
        <f ca="1">ROUND(M88,1)</f>
        <v>213.7</v>
      </c>
      <c r="O88" s="3008"/>
      <c r="P88" s="11"/>
      <c r="Q88" s="2016"/>
      <c r="R88" s="2016"/>
      <c r="S88" s="2016"/>
      <c r="T88" s="2016"/>
      <c r="U88" s="2016"/>
      <c r="V88" s="2016"/>
      <c r="W88" s="2020"/>
      <c r="X88" s="2020"/>
      <c r="Y88" s="2020"/>
      <c r="Z88" s="2020"/>
    </row>
    <row r="89" spans="1:26" s="1308" customFormat="1" ht="13.8">
      <c r="A89" s="3314" t="s">
        <v>428</v>
      </c>
      <c r="B89" s="3315"/>
      <c r="C89" s="992"/>
      <c r="D89" s="992" t="s">
        <v>429</v>
      </c>
      <c r="E89" s="390" t="s">
        <v>438</v>
      </c>
      <c r="F89" s="391"/>
      <c r="G89" s="391"/>
      <c r="H89" s="392"/>
      <c r="I89" s="1310"/>
      <c r="J89" s="2021"/>
      <c r="K89" s="3296"/>
      <c r="L89" s="3015" t="s">
        <v>27</v>
      </c>
      <c r="M89" s="3006"/>
      <c r="N89" s="53">
        <f ca="1">ROUND(SUM(N83:N88),0)</f>
        <v>695</v>
      </c>
      <c r="O89" s="3016">
        <f ca="1">N89/N69</f>
        <v>1.6258450885442255E-2</v>
      </c>
      <c r="P89" s="2016"/>
      <c r="Q89" s="2016"/>
      <c r="R89" s="2016"/>
      <c r="S89" s="2016"/>
      <c r="T89" s="2016"/>
      <c r="U89" s="2016"/>
      <c r="V89" s="2016"/>
      <c r="W89" s="2020"/>
      <c r="X89" s="2020"/>
      <c r="Y89" s="2020"/>
      <c r="Z89" s="2020"/>
    </row>
    <row r="90" spans="1:26" s="1308" customFormat="1" ht="13.8">
      <c r="A90" s="380" t="s">
        <v>1823</v>
      </c>
      <c r="B90" s="381" t="s">
        <v>439</v>
      </c>
      <c r="C90" s="384">
        <f ca="1">ROUND(D63/(1+'数据-取费表'!C42),0)</f>
        <v>24427</v>
      </c>
      <c r="D90" s="377" t="s">
        <v>19</v>
      </c>
      <c r="E90" s="989"/>
      <c r="F90" s="988"/>
      <c r="G90" s="98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3.8">
      <c r="A91" s="380" t="s">
        <v>1829</v>
      </c>
      <c r="B91" s="347" t="s">
        <v>440</v>
      </c>
      <c r="C91" s="384">
        <f ca="1">C92+C96</f>
        <v>2728</v>
      </c>
      <c r="D91" s="377" t="s">
        <v>19</v>
      </c>
      <c r="E91" s="989"/>
      <c r="F91" s="988"/>
      <c r="G91" s="98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1830</v>
      </c>
      <c r="B92" s="375" t="s">
        <v>441</v>
      </c>
      <c r="C92" s="377">
        <f>ROUND(IF(G95="2016年5月1日后购买",C93/(1+'数据-取费表'!C30)+C94+C95,C93+C94+C95),0)</f>
        <v>2581</v>
      </c>
      <c r="D92" s="377" t="s">
        <v>19</v>
      </c>
      <c r="E92" s="989"/>
      <c r="F92" s="988"/>
      <c r="G92" s="98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4">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1832</v>
      </c>
      <c r="B94" s="399" t="s">
        <v>446</v>
      </c>
      <c r="C94" s="377">
        <f>IF(F93="购房发票",ROUND(C93*H93*5%,0),0)</f>
        <v>500</v>
      </c>
      <c r="D94" s="400">
        <v>0.05</v>
      </c>
      <c r="E94" s="3347" t="s">
        <v>447</v>
      </c>
      <c r="F94" s="3348"/>
      <c r="G94" s="3348"/>
      <c r="H94" s="3349"/>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2428</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1834</v>
      </c>
      <c r="B96" s="375" t="s">
        <v>450</v>
      </c>
      <c r="C96" s="404">
        <f ca="1">ROUND(D63*D96/(1+'数据-取费表'!C42),0)</f>
        <v>147</v>
      </c>
      <c r="D96" s="405">
        <f>'数据-取费表'!B43</f>
        <v>6.000000000000001E-3</v>
      </c>
      <c r="E96" s="3337" t="s">
        <v>2427</v>
      </c>
      <c r="F96" s="3338"/>
      <c r="G96" s="3338"/>
      <c r="H96" s="3339"/>
      <c r="I96" s="1311"/>
      <c r="J96" s="2022"/>
      <c r="K96" s="2016"/>
      <c r="L96" s="2016"/>
      <c r="M96" s="2016"/>
      <c r="N96" s="2016"/>
      <c r="O96" s="2016"/>
      <c r="P96" s="2016"/>
      <c r="Q96" s="2016"/>
      <c r="R96" s="2016"/>
      <c r="S96" s="2016"/>
      <c r="T96" s="2016"/>
      <c r="U96" s="2016"/>
      <c r="V96" s="2016"/>
      <c r="W96" s="2020"/>
      <c r="X96" s="2020"/>
      <c r="Y96" s="2020"/>
      <c r="Z96" s="2020"/>
    </row>
    <row r="97" spans="1:26" s="1308" customFormat="1" ht="13.8">
      <c r="A97" s="1601" t="s">
        <v>1835</v>
      </c>
      <c r="B97" s="381" t="s">
        <v>451</v>
      </c>
      <c r="C97" s="384">
        <f ca="1">C90-C91</f>
        <v>21699</v>
      </c>
      <c r="D97" s="377" t="s">
        <v>19</v>
      </c>
      <c r="E97" s="989"/>
      <c r="F97" s="988"/>
      <c r="G97" s="98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1" t="s">
        <v>1836</v>
      </c>
      <c r="B98" s="381" t="s">
        <v>452</v>
      </c>
      <c r="C98" s="406">
        <f ca="1">IF(C97&lt;=0,0,C97/C91)</f>
        <v>7.9541788856304985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6" thickBot="1">
      <c r="A99" s="1602" t="s">
        <v>1837</v>
      </c>
      <c r="B99" s="386" t="s">
        <v>453</v>
      </c>
      <c r="C99" s="407">
        <f ca="1">ROUND(IF(C97&lt;=0,0,IF(C98&gt;=200%,C97*60%-C91*35%,IF(C98&gt;=100%,C97*50%-C91*15%,IF(C98&gt;=50%,C97*40%-C91*5%,IF(C98&lt;50%,C97*30%,0))))),0)</f>
        <v>12065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4.4" thickBot="1">
      <c r="A101" s="3350" t="s">
        <v>454</v>
      </c>
      <c r="B101" s="3351"/>
      <c r="C101" s="3351"/>
      <c r="D101" s="3351"/>
      <c r="E101" s="3351"/>
      <c r="F101" s="3351"/>
      <c r="G101" s="3351"/>
      <c r="H101" s="3351"/>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3.8">
      <c r="A102" s="3314" t="s">
        <v>428</v>
      </c>
      <c r="B102" s="3315"/>
      <c r="C102" s="992"/>
      <c r="D102" s="992"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3.8">
      <c r="A103" s="380" t="s">
        <v>1823</v>
      </c>
      <c r="B103" s="381" t="s">
        <v>439</v>
      </c>
      <c r="C103" s="384">
        <f ca="1">ROUND(D63/(1+'数据-取费表'!C42),0)</f>
        <v>24427</v>
      </c>
      <c r="D103" s="377" t="s">
        <v>19</v>
      </c>
      <c r="E103" s="989"/>
      <c r="F103" s="988"/>
      <c r="G103" s="98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3.8">
      <c r="A104" s="380" t="s">
        <v>1829</v>
      </c>
      <c r="B104" s="347" t="s">
        <v>440</v>
      </c>
      <c r="C104" s="384">
        <f ca="1">IF(H106="仅含出让金",C105+C108+C109+C110+C111+C112,C105+C109+C110+C111+C112)</f>
        <v>842</v>
      </c>
      <c r="D104" s="414"/>
      <c r="E104" s="989"/>
      <c r="F104" s="988"/>
      <c r="G104" s="98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3.8">
      <c r="A105" s="394" t="s">
        <v>1830</v>
      </c>
      <c r="B105" s="375" t="s">
        <v>455</v>
      </c>
      <c r="C105" s="404">
        <f>C106+C107</f>
        <v>577</v>
      </c>
      <c r="D105" s="405"/>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26.4">
      <c r="A106" s="394" t="s">
        <v>1831</v>
      </c>
      <c r="B106" s="375" t="s">
        <v>456</v>
      </c>
      <c r="C106" s="415">
        <v>555</v>
      </c>
      <c r="D106" s="405"/>
      <c r="E106" s="416" t="s">
        <v>457</v>
      </c>
      <c r="F106" s="984"/>
      <c r="G106" s="417" t="s">
        <v>458</v>
      </c>
      <c r="H106" s="418"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3.8">
      <c r="A107" s="394" t="s">
        <v>1832</v>
      </c>
      <c r="B107" s="375" t="s">
        <v>448</v>
      </c>
      <c r="C107" s="404">
        <f>ROUND(C106*D107,0)</f>
        <v>22</v>
      </c>
      <c r="D107" s="405">
        <f>'数据-取费表'!B48+'数据-取费表'!B49</f>
        <v>4.0500000000000001E-2</v>
      </c>
      <c r="E107" s="416"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3.8">
      <c r="A108" s="394" t="s">
        <v>1834</v>
      </c>
      <c r="B108" s="375" t="s">
        <v>460</v>
      </c>
      <c r="C108" s="415"/>
      <c r="D108" s="405"/>
      <c r="E108" s="416"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3" t="s">
        <v>1838</v>
      </c>
      <c r="B109" s="375" t="s">
        <v>461</v>
      </c>
      <c r="C109" s="404">
        <f>IF(H109="——",IF(F1="现房",'剩余法-现房'!C18,'剩余法-待开发'!C18),I109)</f>
        <v>55</v>
      </c>
      <c r="D109" s="405"/>
      <c r="E109" s="3340" t="s">
        <v>462</v>
      </c>
      <c r="F109" s="3338"/>
      <c r="G109" s="3338"/>
      <c r="H109" s="1924" t="s">
        <v>2279</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3" t="s">
        <v>1839</v>
      </c>
      <c r="B110" s="375" t="s">
        <v>463</v>
      </c>
      <c r="C110" s="404">
        <f>ROUND((C105+C108+C109)*D110,0)</f>
        <v>63</v>
      </c>
      <c r="D110" s="405">
        <v>0.1</v>
      </c>
      <c r="E110" s="3340" t="s">
        <v>464</v>
      </c>
      <c r="F110" s="3338"/>
      <c r="G110" s="3338"/>
      <c r="H110" s="3339"/>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3" t="s">
        <v>1840</v>
      </c>
      <c r="B111" s="375" t="s">
        <v>450</v>
      </c>
      <c r="C111" s="404">
        <f ca="1">ROUND(D63*D111/(1+'数据-取费表'!C42),0)</f>
        <v>147</v>
      </c>
      <c r="D111" s="405">
        <f>'数据-取费表'!B43</f>
        <v>6.000000000000001E-3</v>
      </c>
      <c r="E111" s="3337" t="s">
        <v>2427</v>
      </c>
      <c r="F111" s="3338"/>
      <c r="G111" s="3338"/>
      <c r="H111" s="3339"/>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3" t="s">
        <v>1841</v>
      </c>
      <c r="B112" s="375" t="s">
        <v>465</v>
      </c>
      <c r="C112" s="404">
        <f>ROUND(C108*D112,0)</f>
        <v>0</v>
      </c>
      <c r="D112" s="405">
        <v>0.2</v>
      </c>
      <c r="E112" s="3340" t="s">
        <v>2452</v>
      </c>
      <c r="F112" s="3338"/>
      <c r="G112" s="3338"/>
      <c r="H112" s="3339"/>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3.8">
      <c r="A113" s="1601" t="s">
        <v>1835</v>
      </c>
      <c r="B113" s="381" t="s">
        <v>451</v>
      </c>
      <c r="C113" s="384">
        <f ca="1">ROUND(C103-C104,0)</f>
        <v>23585</v>
      </c>
      <c r="D113" s="377" t="s">
        <v>19</v>
      </c>
      <c r="E113" s="989"/>
      <c r="F113" s="988"/>
      <c r="G113" s="98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1" t="s">
        <v>1836</v>
      </c>
      <c r="B114" s="381" t="s">
        <v>452</v>
      </c>
      <c r="C114" s="406">
        <f ca="1">IF(C113&lt;=0,0,C113/C104)</f>
        <v>28.010688836104514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6" thickBot="1">
      <c r="A115" s="1602" t="s">
        <v>1837</v>
      </c>
      <c r="B115" s="386" t="s">
        <v>453</v>
      </c>
      <c r="C115" s="407">
        <f ca="1">ROUND(IF(C113&lt;=0,0,IF(C114&gt;=200%,C113*60%-C104*35%,IF(C114&gt;=100%,C113*50%-C104*15%,IF(C114&gt;=50%,C113*40%-C104*5%,IF(C114&lt;50%,C113*30%,0))))),0)</f>
        <v>13856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70" zoomScaleNormal="95" zoomScaleSheetLayoutView="70" workbookViewId="0">
      <selection activeCell="G13" sqref="G13"/>
    </sheetView>
  </sheetViews>
  <sheetFormatPr defaultColWidth="9" defaultRowHeight="13.8"/>
  <cols>
    <col min="1" max="1" width="15.6640625" style="1331" customWidth="1"/>
    <col min="2" max="2" width="15.77734375" style="1331" customWidth="1"/>
    <col min="3" max="3" width="17.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467</v>
      </c>
      <c r="B2" s="507">
        <f>F68</f>
        <v>30393</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c r="AD2" s="1329"/>
    </row>
    <row r="3" spans="1:30" s="1330" customFormat="1" ht="28.5" customHeight="1">
      <c r="A3" s="1374" t="s">
        <v>1684</v>
      </c>
      <c r="B3" s="509">
        <f>ROUND(B2*10000/'数据-汇总表'!E3,0)</f>
        <v>4385</v>
      </c>
      <c r="C3" s="2044"/>
      <c r="D3" s="2532"/>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30" s="1330" customFormat="1" ht="28.5" customHeight="1">
      <c r="A4" s="510" t="s">
        <v>520</v>
      </c>
      <c r="B4" s="426">
        <f>IF(B48="单位面积地价",C50,ROUND(B2*10000/'数据-汇总表'!D3,0))</f>
        <v>20135</v>
      </c>
      <c r="C4" s="2044"/>
      <c r="D4" s="2532"/>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1342</v>
      </c>
      <c r="C5" s="430" t="s">
        <v>469</v>
      </c>
      <c r="D5" s="2044"/>
      <c r="E5" s="2044"/>
      <c r="F5" s="2044"/>
      <c r="G5" s="2111"/>
      <c r="H5" s="2111"/>
      <c r="I5" s="2111"/>
      <c r="J5" s="2111"/>
      <c r="K5" s="2113"/>
      <c r="L5" s="2114"/>
      <c r="M5" s="2115"/>
      <c r="N5" s="2115"/>
      <c r="O5" s="2115"/>
      <c r="P5" s="1549"/>
      <c r="Q5" s="1549"/>
      <c r="R5" s="1549"/>
      <c r="S5" s="1549"/>
      <c r="T5" s="1549"/>
      <c r="U5" s="1549"/>
      <c r="V5" s="1549"/>
      <c r="W5" s="1549"/>
      <c r="X5" s="1549"/>
      <c r="Y5" s="1549"/>
      <c r="Z5" s="1549"/>
      <c r="AA5" s="1549"/>
      <c r="AB5" s="1549"/>
      <c r="AC5" s="427"/>
    </row>
    <row r="6" spans="1:30" ht="21">
      <c r="A6" s="511" t="s">
        <v>521</v>
      </c>
      <c r="B6" s="512"/>
      <c r="C6" s="3395" t="s">
        <v>522</v>
      </c>
      <c r="D6" s="3396"/>
      <c r="E6" s="3395" t="s">
        <v>523</v>
      </c>
      <c r="F6" s="3396"/>
      <c r="G6" s="3395" t="s">
        <v>524</v>
      </c>
      <c r="H6" s="3396"/>
      <c r="I6" s="3395" t="s">
        <v>525</v>
      </c>
      <c r="J6" s="3396"/>
      <c r="K6" s="513" t="s">
        <v>526</v>
      </c>
      <c r="L6" s="2116"/>
      <c r="M6" s="2115"/>
      <c r="N6" s="2115"/>
      <c r="O6" s="2117"/>
      <c r="P6" s="3397" t="s">
        <v>527</v>
      </c>
      <c r="Q6" s="3398"/>
      <c r="R6" s="3383" t="s">
        <v>523</v>
      </c>
      <c r="S6" s="3384"/>
      <c r="T6" s="3383" t="s">
        <v>524</v>
      </c>
      <c r="U6" s="3384"/>
      <c r="V6" s="3403" t="s">
        <v>525</v>
      </c>
      <c r="W6" s="3403"/>
      <c r="X6" s="1552"/>
      <c r="Y6" s="3383" t="s">
        <v>527</v>
      </c>
      <c r="Z6" s="3384"/>
      <c r="AA6" s="3378" t="s">
        <v>523</v>
      </c>
      <c r="AB6" s="3379" t="s">
        <v>524</v>
      </c>
      <c r="AC6" s="3378" t="s">
        <v>525</v>
      </c>
    </row>
    <row r="7" spans="1:30" ht="21">
      <c r="A7" s="514"/>
      <c r="B7" s="515"/>
      <c r="C7" s="3408" t="s">
        <v>2924</v>
      </c>
      <c r="D7" s="3407"/>
      <c r="E7" s="3406" t="s">
        <v>3367</v>
      </c>
      <c r="F7" s="3407"/>
      <c r="G7" s="3406" t="s">
        <v>3365</v>
      </c>
      <c r="H7" s="3407"/>
      <c r="I7" s="3406" t="s">
        <v>4024</v>
      </c>
      <c r="J7" s="3407"/>
      <c r="K7" s="513"/>
      <c r="L7" s="2116"/>
      <c r="M7" s="2115"/>
      <c r="N7" s="2115"/>
      <c r="O7" s="2117"/>
      <c r="P7" s="3399"/>
      <c r="Q7" s="3400"/>
      <c r="R7" s="3385"/>
      <c r="S7" s="3386"/>
      <c r="T7" s="3385"/>
      <c r="U7" s="3386"/>
      <c r="V7" s="3403"/>
      <c r="W7" s="3403"/>
      <c r="X7" s="1552"/>
      <c r="Y7" s="3385"/>
      <c r="Z7" s="3386"/>
      <c r="AA7" s="3379"/>
      <c r="AB7" s="3379"/>
      <c r="AC7" s="3379"/>
    </row>
    <row r="8" spans="1:30" ht="21.6" thickBot="1">
      <c r="A8" s="514"/>
      <c r="B8" s="515"/>
      <c r="C8" s="3409" t="s">
        <v>3362</v>
      </c>
      <c r="D8" s="3410"/>
      <c r="E8" s="3409" t="s">
        <v>3364</v>
      </c>
      <c r="F8" s="3410"/>
      <c r="G8" s="3404" t="s">
        <v>3363</v>
      </c>
      <c r="H8" s="3405"/>
      <c r="I8" s="3404" t="s">
        <v>3364</v>
      </c>
      <c r="J8" s="3405"/>
      <c r="K8" s="513" t="s">
        <v>528</v>
      </c>
      <c r="L8" s="2116"/>
      <c r="M8" s="2115"/>
      <c r="N8" s="2115"/>
      <c r="O8" s="2117"/>
      <c r="P8" s="3401"/>
      <c r="Q8" s="3402"/>
      <c r="R8" s="3385"/>
      <c r="S8" s="3386"/>
      <c r="T8" s="3387"/>
      <c r="U8" s="3388"/>
      <c r="V8" s="3403"/>
      <c r="W8" s="3403"/>
      <c r="X8" s="1552"/>
      <c r="Y8" s="3387"/>
      <c r="Z8" s="3388"/>
      <c r="AA8" s="3380"/>
      <c r="AB8" s="3380"/>
      <c r="AC8" s="3380"/>
    </row>
    <row r="9" spans="1:30" s="1214" customFormat="1" ht="21.6" thickBot="1">
      <c r="A9" s="2865"/>
      <c r="B9" s="2872" t="s">
        <v>529</v>
      </c>
      <c r="C9" s="2864">
        <f>'数据-取费表'!B2</f>
        <v>43840</v>
      </c>
      <c r="D9" s="519">
        <v>100</v>
      </c>
      <c r="E9" s="520">
        <v>43476</v>
      </c>
      <c r="F9" s="521">
        <f>SUMIF(72:72,YEAR(E9)&amp;"-"&amp;INT((MONTH(E9)+2)/3),73:73)</f>
        <v>98</v>
      </c>
      <c r="G9" s="522">
        <v>42779</v>
      </c>
      <c r="H9" s="519">
        <f>SUMIF(72:72,YEAR(G9)&amp;"-"&amp;INT((MONTH(G9)+2)/3),73:73)</f>
        <v>94</v>
      </c>
      <c r="I9" s="522">
        <v>43620</v>
      </c>
      <c r="J9" s="519">
        <f>SUMIF(72:72,YEAR(I9)&amp;"-"&amp;INT((MONTH(I9)+2)/3),73:73)</f>
        <v>98.5</v>
      </c>
      <c r="K9" s="523"/>
      <c r="L9" s="2118"/>
      <c r="M9" s="2115"/>
      <c r="N9" s="2115"/>
      <c r="O9" s="2119"/>
      <c r="P9" s="3381" t="s">
        <v>530</v>
      </c>
      <c r="Q9" s="3390"/>
      <c r="R9" s="1553" t="s">
        <v>8</v>
      </c>
      <c r="S9" s="1554">
        <f t="shared" ref="S9:S17" si="0">F9</f>
        <v>98</v>
      </c>
      <c r="T9" s="1553" t="s">
        <v>8</v>
      </c>
      <c r="U9" s="1554">
        <f t="shared" ref="U9:U17" si="1">H9</f>
        <v>94</v>
      </c>
      <c r="V9" s="1553" t="s">
        <v>8</v>
      </c>
      <c r="W9" s="1554">
        <f t="shared" ref="W9:W17" si="2">J9</f>
        <v>98.5</v>
      </c>
      <c r="X9" s="1555"/>
      <c r="Y9" s="3381" t="s">
        <v>530</v>
      </c>
      <c r="Z9" s="3382"/>
      <c r="AA9" s="1556">
        <f>D9/F9</f>
        <v>1.0204081632653061</v>
      </c>
      <c r="AB9" s="1556">
        <f>D9/H9</f>
        <v>1.0638297872340425</v>
      </c>
      <c r="AC9" s="1556">
        <f>D9/J9</f>
        <v>1.015228426395939</v>
      </c>
    </row>
    <row r="10" spans="1:30" s="1214" customFormat="1" ht="21.6" thickBot="1">
      <c r="A10" s="2866"/>
      <c r="B10" s="2873"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8"/>
      <c r="M10" s="2115"/>
      <c r="N10" s="2115"/>
      <c r="O10" s="2119"/>
      <c r="P10" s="3381" t="s">
        <v>533</v>
      </c>
      <c r="Q10" s="3382"/>
      <c r="R10" s="1553" t="s">
        <v>8</v>
      </c>
      <c r="S10" s="1554">
        <f t="shared" si="0"/>
        <v>100</v>
      </c>
      <c r="T10" s="1553" t="s">
        <v>8</v>
      </c>
      <c r="U10" s="1554">
        <f t="shared" si="1"/>
        <v>100</v>
      </c>
      <c r="V10" s="1553" t="s">
        <v>8</v>
      </c>
      <c r="W10" s="1554">
        <f t="shared" si="2"/>
        <v>100</v>
      </c>
      <c r="X10" s="1555"/>
      <c r="Y10" s="3381" t="s">
        <v>533</v>
      </c>
      <c r="Z10" s="3382"/>
      <c r="AA10" s="1556">
        <f t="shared" ref="AA10:AA47" si="3">D10/F10</f>
        <v>1</v>
      </c>
      <c r="AB10" s="1556">
        <f t="shared" ref="AB10:AB47" si="4">D10/H10</f>
        <v>1</v>
      </c>
      <c r="AC10" s="1556">
        <f t="shared" ref="AC10:AC47" si="5">D10/J10</f>
        <v>1</v>
      </c>
    </row>
    <row r="11" spans="1:30" s="1214" customFormat="1" ht="21">
      <c r="A11" s="2867"/>
      <c r="B11" s="2874" t="s">
        <v>2755</v>
      </c>
      <c r="C11" s="2861" t="s">
        <v>923</v>
      </c>
      <c r="D11" s="253">
        <v>100</v>
      </c>
      <c r="E11" s="2861" t="s">
        <v>923</v>
      </c>
      <c r="F11" s="253">
        <f>SUMIF(77:77,E11,78:78)-SUMIF(77:77,C11,78:78)+100</f>
        <v>100</v>
      </c>
      <c r="G11" s="2861" t="s">
        <v>923</v>
      </c>
      <c r="H11" s="253">
        <f>SUMIF(77:77,G11,78:78)-SUMIF(77:77,C11,78:78)+100</f>
        <v>100</v>
      </c>
      <c r="I11" s="2861" t="s">
        <v>923</v>
      </c>
      <c r="J11" s="253">
        <f>SUMIF(77:77,I11,78:78)-SUMIF(77:77,C11,78:78)+100</f>
        <v>100</v>
      </c>
      <c r="K11" s="523"/>
      <c r="L11" s="2118"/>
      <c r="M11" s="2115"/>
      <c r="N11" s="2115"/>
      <c r="O11" s="2120"/>
      <c r="P11" s="3389" t="s">
        <v>535</v>
      </c>
      <c r="Q11" s="1145" t="str">
        <f t="shared" ref="Q11:Q17" si="6">B11</f>
        <v>用途</v>
      </c>
      <c r="R11" s="1553" t="s">
        <v>8</v>
      </c>
      <c r="S11" s="1554">
        <f t="shared" si="0"/>
        <v>100</v>
      </c>
      <c r="T11" s="1553" t="s">
        <v>8</v>
      </c>
      <c r="U11" s="1554">
        <f t="shared" si="1"/>
        <v>100</v>
      </c>
      <c r="V11" s="1553" t="s">
        <v>8</v>
      </c>
      <c r="W11" s="1554">
        <f t="shared" si="2"/>
        <v>100</v>
      </c>
      <c r="X11" s="1555"/>
      <c r="Y11" s="3346" t="s">
        <v>536</v>
      </c>
      <c r="Z11" s="1144" t="str">
        <f t="shared" ref="Z11:Z17" si="7">Q11</f>
        <v>用途</v>
      </c>
      <c r="AA11" s="1556">
        <f t="shared" si="3"/>
        <v>1</v>
      </c>
      <c r="AB11" s="1556">
        <f t="shared" si="4"/>
        <v>1</v>
      </c>
      <c r="AC11" s="1556">
        <f t="shared" si="5"/>
        <v>1</v>
      </c>
    </row>
    <row r="12" spans="1:30" s="1332" customFormat="1" ht="28.8">
      <c r="A12" s="2868"/>
      <c r="B12" s="2873" t="s">
        <v>2756</v>
      </c>
      <c r="C12" s="908"/>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389"/>
      <c r="Q12" s="1145" t="str">
        <f t="shared" si="6"/>
        <v>土地使用年限（年）</v>
      </c>
      <c r="R12" s="1553" t="s">
        <v>8</v>
      </c>
      <c r="S12" s="1554">
        <f t="shared" si="0"/>
        <v>100</v>
      </c>
      <c r="T12" s="1553" t="s">
        <v>8</v>
      </c>
      <c r="U12" s="1554">
        <f t="shared" si="1"/>
        <v>100</v>
      </c>
      <c r="V12" s="1553" t="s">
        <v>8</v>
      </c>
      <c r="W12" s="1554">
        <f t="shared" si="2"/>
        <v>100</v>
      </c>
      <c r="X12" s="1555"/>
      <c r="Y12" s="3346"/>
      <c r="Z12" s="1144" t="str">
        <f t="shared" si="7"/>
        <v>土地使用年限（年）</v>
      </c>
      <c r="AA12" s="1556">
        <f t="shared" si="3"/>
        <v>1</v>
      </c>
      <c r="AB12" s="1556">
        <f t="shared" si="4"/>
        <v>1</v>
      </c>
      <c r="AC12" s="1556">
        <f t="shared" si="5"/>
        <v>1</v>
      </c>
    </row>
    <row r="13" spans="1:30" ht="21.6" thickBot="1">
      <c r="A13" s="2869"/>
      <c r="B13" s="2873" t="s">
        <v>2757</v>
      </c>
      <c r="C13" s="533">
        <f>'数据-汇总表'!I6</f>
        <v>3.29</v>
      </c>
      <c r="D13" s="254">
        <v>100</v>
      </c>
      <c r="E13" s="532">
        <v>2.5</v>
      </c>
      <c r="F13" s="254">
        <f>LOOKUP(E13,82:82,83:83)-LOOKUP(C13,82:82,83:83)+100</f>
        <v>101</v>
      </c>
      <c r="G13" s="533">
        <v>2.5</v>
      </c>
      <c r="H13" s="254">
        <f>LOOKUP(G13,82:82,83:83)-LOOKUP(C13,82:82,83:83)+100</f>
        <v>101</v>
      </c>
      <c r="I13" s="532">
        <v>3</v>
      </c>
      <c r="J13" s="254">
        <f>LOOKUP(I13,82:82,83:83)-LOOKUP(C13,82:82,83:83)+100</f>
        <v>100</v>
      </c>
      <c r="K13" s="534">
        <v>1</v>
      </c>
      <c r="L13" s="2123"/>
      <c r="M13" s="2115"/>
      <c r="N13" s="2115"/>
      <c r="O13" s="2124"/>
      <c r="P13" s="3389"/>
      <c r="Q13" s="1145" t="str">
        <f t="shared" si="6"/>
        <v>容积率</v>
      </c>
      <c r="R13" s="1553" t="s">
        <v>8</v>
      </c>
      <c r="S13" s="1554">
        <f t="shared" si="0"/>
        <v>101</v>
      </c>
      <c r="T13" s="1553" t="s">
        <v>8</v>
      </c>
      <c r="U13" s="1554">
        <f t="shared" si="1"/>
        <v>101</v>
      </c>
      <c r="V13" s="1553" t="s">
        <v>8</v>
      </c>
      <c r="W13" s="1554">
        <f t="shared" si="2"/>
        <v>100</v>
      </c>
      <c r="X13" s="1555"/>
      <c r="Y13" s="3346"/>
      <c r="Z13" s="1144" t="str">
        <f t="shared" si="7"/>
        <v>容积率</v>
      </c>
      <c r="AA13" s="1556">
        <f t="shared" si="3"/>
        <v>0.99009900990099009</v>
      </c>
      <c r="AB13" s="1556">
        <f t="shared" si="4"/>
        <v>0.99009900990099009</v>
      </c>
      <c r="AC13" s="1556">
        <f t="shared" si="5"/>
        <v>1</v>
      </c>
    </row>
    <row r="14" spans="1:30" s="1214" customFormat="1" ht="21" hidden="1">
      <c r="A14" s="2866"/>
      <c r="B14" s="2875" t="s">
        <v>2758</v>
      </c>
      <c r="C14" s="2862"/>
      <c r="D14" s="537">
        <v>100</v>
      </c>
      <c r="E14" s="1369"/>
      <c r="F14" s="254">
        <f>SUMIF(84:84,E14,85:85)-SUMIF(84:84,C14,85:85)+100</f>
        <v>100</v>
      </c>
      <c r="G14" s="529"/>
      <c r="H14" s="254">
        <f>SUMIF(84:84,G14,85:85)-SUMIF(84:84,C14,85:85)+100</f>
        <v>100</v>
      </c>
      <c r="I14" s="528"/>
      <c r="J14" s="254">
        <f>SUMIF(84:84,I14,85:85)-SUMIF(84:84,C14,85:85)+100</f>
        <v>100</v>
      </c>
      <c r="K14" s="530"/>
      <c r="L14" s="2118"/>
      <c r="M14" s="2115"/>
      <c r="N14" s="2115"/>
      <c r="O14" s="2120"/>
      <c r="P14" s="3389"/>
      <c r="Q14" s="1145" t="str">
        <f t="shared" si="6"/>
        <v>配建</v>
      </c>
      <c r="R14" s="1553" t="s">
        <v>8</v>
      </c>
      <c r="S14" s="1554">
        <f t="shared" si="0"/>
        <v>100</v>
      </c>
      <c r="T14" s="1553" t="s">
        <v>8</v>
      </c>
      <c r="U14" s="1554">
        <f t="shared" si="1"/>
        <v>100</v>
      </c>
      <c r="V14" s="1553" t="s">
        <v>8</v>
      </c>
      <c r="W14" s="1554">
        <f t="shared" si="2"/>
        <v>100</v>
      </c>
      <c r="X14" s="1555"/>
      <c r="Y14" s="3346"/>
      <c r="Z14" s="1144" t="str">
        <f t="shared" si="7"/>
        <v>配建</v>
      </c>
      <c r="AA14" s="1556">
        <f>D14/F14</f>
        <v>1</v>
      </c>
      <c r="AB14" s="1556">
        <f>D14/H14</f>
        <v>1</v>
      </c>
      <c r="AC14" s="1556">
        <f>D14/J14</f>
        <v>1</v>
      </c>
    </row>
    <row r="15" spans="1:30" ht="21" hidden="1">
      <c r="A15" s="2870"/>
      <c r="B15" s="2876">
        <v>111</v>
      </c>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389"/>
      <c r="Q15" s="1145">
        <f t="shared" si="6"/>
        <v>111</v>
      </c>
      <c r="R15" s="1553" t="s">
        <v>8</v>
      </c>
      <c r="S15" s="1554">
        <f t="shared" si="0"/>
        <v>100</v>
      </c>
      <c r="T15" s="1553" t="s">
        <v>8</v>
      </c>
      <c r="U15" s="1554">
        <f t="shared" si="1"/>
        <v>100</v>
      </c>
      <c r="V15" s="1553" t="s">
        <v>8</v>
      </c>
      <c r="W15" s="1554">
        <f t="shared" si="2"/>
        <v>100</v>
      </c>
      <c r="X15" s="1555"/>
      <c r="Y15" s="3346"/>
      <c r="Z15" s="1144">
        <f t="shared" si="7"/>
        <v>111</v>
      </c>
      <c r="AA15" s="1556">
        <f>D15/F15</f>
        <v>1</v>
      </c>
      <c r="AB15" s="1556">
        <f>D15/H15</f>
        <v>1</v>
      </c>
      <c r="AC15" s="1556">
        <f>D15/J15</f>
        <v>1</v>
      </c>
    </row>
    <row r="16" spans="1:30" ht="21.6" hidden="1" thickBot="1">
      <c r="A16" s="2871"/>
      <c r="B16" s="2877">
        <v>111</v>
      </c>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389"/>
      <c r="Q16" s="1145">
        <f t="shared" si="6"/>
        <v>111</v>
      </c>
      <c r="R16" s="1553" t="s">
        <v>8</v>
      </c>
      <c r="S16" s="1554">
        <f t="shared" si="0"/>
        <v>100</v>
      </c>
      <c r="T16" s="1553" t="s">
        <v>8</v>
      </c>
      <c r="U16" s="1554">
        <f t="shared" si="1"/>
        <v>100</v>
      </c>
      <c r="V16" s="1553" t="s">
        <v>8</v>
      </c>
      <c r="W16" s="1554">
        <f t="shared" si="2"/>
        <v>100</v>
      </c>
      <c r="X16" s="1555"/>
      <c r="Y16" s="3346"/>
      <c r="Z16" s="1144">
        <f t="shared" si="7"/>
        <v>111</v>
      </c>
      <c r="AA16" s="1556">
        <f>D16/F16</f>
        <v>1</v>
      </c>
      <c r="AB16" s="1556">
        <f>D16/H16</f>
        <v>1</v>
      </c>
      <c r="AC16" s="1556">
        <f>D16/J16</f>
        <v>1</v>
      </c>
    </row>
    <row r="17" spans="1:29" ht="21">
      <c r="A17" s="2863" t="s">
        <v>2753</v>
      </c>
      <c r="B17" s="577" t="s">
        <v>295</v>
      </c>
      <c r="C17" s="547" t="str">
        <f>估价对象房地状况!C15</f>
        <v>较好</v>
      </c>
      <c r="D17" s="550">
        <v>100</v>
      </c>
      <c r="E17" s="551"/>
      <c r="F17" s="548">
        <f>SUMIF(90:90,E18,91:91)-SUMIF(90:90,C18,91:91)+100</f>
        <v>95</v>
      </c>
      <c r="G17" s="551"/>
      <c r="H17" s="548">
        <f>SUMIF(90:90,G18,91:91)-SUMIF(90:90,C18,91:91)+100</f>
        <v>100</v>
      </c>
      <c r="I17" s="551"/>
      <c r="J17" s="548">
        <f>SUMIF(90:90,I18,91:91)-SUMIF(90:90,C18,91:91)+100</f>
        <v>100</v>
      </c>
      <c r="K17" s="534">
        <v>5</v>
      </c>
      <c r="L17" s="2125"/>
      <c r="M17" s="2115"/>
      <c r="N17" s="2115"/>
      <c r="O17" s="2124"/>
      <c r="P17" s="3391" t="s">
        <v>540</v>
      </c>
      <c r="Q17" s="1557" t="str">
        <f t="shared" si="6"/>
        <v>居住社区成熟度</v>
      </c>
      <c r="R17" s="1558" t="s">
        <v>8</v>
      </c>
      <c r="S17" s="1559">
        <f t="shared" si="0"/>
        <v>95</v>
      </c>
      <c r="T17" s="1558" t="s">
        <v>8</v>
      </c>
      <c r="U17" s="1559">
        <f t="shared" si="1"/>
        <v>100</v>
      </c>
      <c r="V17" s="1558" t="s">
        <v>8</v>
      </c>
      <c r="W17" s="1559">
        <f t="shared" si="2"/>
        <v>100</v>
      </c>
      <c r="X17" s="1552"/>
      <c r="Y17" s="3391" t="s">
        <v>540</v>
      </c>
      <c r="Z17" s="1560" t="str">
        <f t="shared" si="7"/>
        <v>居住社区成熟度</v>
      </c>
      <c r="AA17" s="1561">
        <f t="shared" si="3"/>
        <v>1.0526315789473684</v>
      </c>
      <c r="AB17" s="1561">
        <f t="shared" si="4"/>
        <v>1</v>
      </c>
      <c r="AC17" s="1561">
        <f t="shared" si="5"/>
        <v>1</v>
      </c>
    </row>
    <row r="18" spans="1:29" ht="21">
      <c r="A18" s="531"/>
      <c r="B18" s="552"/>
      <c r="C18" s="553" t="s">
        <v>3065</v>
      </c>
      <c r="D18" s="556"/>
      <c r="E18" s="553" t="s">
        <v>3008</v>
      </c>
      <c r="F18" s="554"/>
      <c r="G18" s="553" t="s">
        <v>3065</v>
      </c>
      <c r="H18" s="558"/>
      <c r="I18" s="553" t="s">
        <v>3065</v>
      </c>
      <c r="J18" s="554"/>
      <c r="K18" s="530"/>
      <c r="L18" s="2125"/>
      <c r="M18" s="2115"/>
      <c r="N18" s="2115"/>
      <c r="O18" s="2124"/>
      <c r="P18" s="3392"/>
      <c r="Q18" s="1557"/>
      <c r="R18" s="1558"/>
      <c r="S18" s="1559"/>
      <c r="T18" s="1558"/>
      <c r="U18" s="1559"/>
      <c r="V18" s="1558"/>
      <c r="W18" s="1559"/>
      <c r="X18" s="1552"/>
      <c r="Y18" s="3392"/>
      <c r="Z18" s="1560"/>
      <c r="AA18" s="1561">
        <v>1</v>
      </c>
      <c r="AB18" s="1561">
        <v>1</v>
      </c>
      <c r="AC18" s="1561">
        <v>1</v>
      </c>
    </row>
    <row r="19" spans="1:29" ht="21" hidden="1">
      <c r="A19" s="531"/>
      <c r="B19" s="559" t="s">
        <v>541</v>
      </c>
      <c r="C19" s="560" t="str">
        <f>估价对象房地状况!C16</f>
        <v>一般</v>
      </c>
      <c r="D19" s="562">
        <v>100</v>
      </c>
      <c r="E19" s="563"/>
      <c r="F19" s="558">
        <f>SUMIF(92:92,E20,93:93)-SUMIF(92:92,C20,93:93)+100</f>
        <v>100</v>
      </c>
      <c r="G19" s="563"/>
      <c r="H19" s="564">
        <f>SUMIF(92:92,G20,93:93)-SUMIF(92:92,C20,93:93)+100</f>
        <v>100</v>
      </c>
      <c r="I19" s="563"/>
      <c r="J19" s="564">
        <f>SUMIF(92:92,I20,93:93)-SUMIF(92:92,C20,93:93)+100</f>
        <v>100</v>
      </c>
      <c r="K19" s="534"/>
      <c r="L19" s="2125"/>
      <c r="M19" s="2115"/>
      <c r="N19" s="2115"/>
      <c r="O19" s="2124"/>
      <c r="P19" s="3392"/>
      <c r="Q19" s="1557" t="str">
        <f>B19</f>
        <v>商业繁华度</v>
      </c>
      <c r="R19" s="1558" t="s">
        <v>8</v>
      </c>
      <c r="S19" s="1559">
        <f>F19</f>
        <v>100</v>
      </c>
      <c r="T19" s="1558" t="s">
        <v>8</v>
      </c>
      <c r="U19" s="1559">
        <f>H19</f>
        <v>100</v>
      </c>
      <c r="V19" s="1558" t="s">
        <v>8</v>
      </c>
      <c r="W19" s="1559">
        <f>J19</f>
        <v>100</v>
      </c>
      <c r="X19" s="1552"/>
      <c r="Y19" s="3392"/>
      <c r="Z19" s="1560" t="str">
        <f>Q19</f>
        <v>商业繁华度</v>
      </c>
      <c r="AA19" s="1561">
        <f t="shared" si="3"/>
        <v>1</v>
      </c>
      <c r="AB19" s="1561">
        <f t="shared" si="4"/>
        <v>1</v>
      </c>
      <c r="AC19" s="1561">
        <f t="shared" si="5"/>
        <v>1</v>
      </c>
    </row>
    <row r="20" spans="1:29" ht="21" hidden="1">
      <c r="A20" s="531"/>
      <c r="B20" s="565"/>
      <c r="C20" s="566" t="s">
        <v>3008</v>
      </c>
      <c r="D20" s="562"/>
      <c r="E20" s="566" t="s">
        <v>3008</v>
      </c>
      <c r="F20" s="558"/>
      <c r="G20" s="566" t="s">
        <v>3008</v>
      </c>
      <c r="H20" s="554"/>
      <c r="I20" s="566" t="s">
        <v>3008</v>
      </c>
      <c r="J20" s="554"/>
      <c r="K20" s="530"/>
      <c r="L20" s="2125"/>
      <c r="M20" s="2115"/>
      <c r="N20" s="2115"/>
      <c r="O20" s="2124"/>
      <c r="P20" s="3392"/>
      <c r="Q20" s="1557"/>
      <c r="R20" s="1558"/>
      <c r="S20" s="1559"/>
      <c r="T20" s="1558"/>
      <c r="U20" s="1559"/>
      <c r="V20" s="1558"/>
      <c r="W20" s="1559"/>
      <c r="X20" s="1552"/>
      <c r="Y20" s="3392"/>
      <c r="Z20" s="1560"/>
      <c r="AA20" s="1561">
        <v>1</v>
      </c>
      <c r="AB20" s="1561">
        <v>1</v>
      </c>
      <c r="AC20" s="1561">
        <v>1</v>
      </c>
    </row>
    <row r="21" spans="1:29" ht="21" hidden="1">
      <c r="A21" s="531"/>
      <c r="B21" s="559" t="s">
        <v>542</v>
      </c>
      <c r="C21" s="560" t="str">
        <f>估价对象房地状况!C17</f>
        <v>一般</v>
      </c>
      <c r="D21" s="570">
        <v>100</v>
      </c>
      <c r="E21" s="571"/>
      <c r="F21" s="564">
        <f>SUMIF(94:94,E22,95:95)-SUMIF(94:94,C22,95:95)+100</f>
        <v>100</v>
      </c>
      <c r="G21" s="571"/>
      <c r="H21" s="558">
        <f>SUMIF(94:94,G22,95:95)-SUMIF(94:94,C22,95:95)+100</f>
        <v>100</v>
      </c>
      <c r="I21" s="571"/>
      <c r="J21" s="558">
        <f>SUMIF(94:94,I22,95:95)-SUMIF(94:94,C22,95:95)+100</f>
        <v>100</v>
      </c>
      <c r="K21" s="534"/>
      <c r="L21" s="2125"/>
      <c r="M21" s="2115"/>
      <c r="N21" s="2115"/>
      <c r="O21" s="2124"/>
      <c r="P21" s="3392"/>
      <c r="Q21" s="1557" t="str">
        <f>B21</f>
        <v>办公集聚程度</v>
      </c>
      <c r="R21" s="1558" t="s">
        <v>8</v>
      </c>
      <c r="S21" s="1559">
        <f>F21</f>
        <v>100</v>
      </c>
      <c r="T21" s="1558" t="s">
        <v>8</v>
      </c>
      <c r="U21" s="1559">
        <f>H21</f>
        <v>100</v>
      </c>
      <c r="V21" s="1558" t="s">
        <v>8</v>
      </c>
      <c r="W21" s="1559">
        <f>J21</f>
        <v>100</v>
      </c>
      <c r="X21" s="1552"/>
      <c r="Y21" s="3392"/>
      <c r="Z21" s="1560" t="str">
        <f>Q21</f>
        <v>办公集聚程度</v>
      </c>
      <c r="AA21" s="1561">
        <f t="shared" si="3"/>
        <v>1</v>
      </c>
      <c r="AB21" s="1561">
        <f t="shared" si="4"/>
        <v>1</v>
      </c>
      <c r="AC21" s="1561">
        <f t="shared" si="5"/>
        <v>1</v>
      </c>
    </row>
    <row r="22" spans="1:29" ht="21" hidden="1">
      <c r="A22" s="531"/>
      <c r="B22" s="565"/>
      <c r="C22" s="553" t="s">
        <v>3008</v>
      </c>
      <c r="D22" s="556"/>
      <c r="E22" s="553" t="s">
        <v>3008</v>
      </c>
      <c r="F22" s="554"/>
      <c r="G22" s="553" t="s">
        <v>3008</v>
      </c>
      <c r="H22" s="554"/>
      <c r="I22" s="553" t="s">
        <v>3008</v>
      </c>
      <c r="J22" s="554"/>
      <c r="K22" s="530"/>
      <c r="L22" s="2125"/>
      <c r="M22" s="2115"/>
      <c r="N22" s="2115"/>
      <c r="O22" s="2124"/>
      <c r="P22" s="3392"/>
      <c r="Q22" s="1557"/>
      <c r="R22" s="1558"/>
      <c r="S22" s="1559"/>
      <c r="T22" s="1558"/>
      <c r="U22" s="1559"/>
      <c r="V22" s="1558"/>
      <c r="W22" s="1559"/>
      <c r="X22" s="1552"/>
      <c r="Y22" s="3392"/>
      <c r="Z22" s="1560"/>
      <c r="AA22" s="1561">
        <v>1</v>
      </c>
      <c r="AB22" s="1561">
        <v>1</v>
      </c>
      <c r="AC22" s="1561">
        <v>1</v>
      </c>
    </row>
    <row r="23" spans="1:29" ht="21">
      <c r="A23" s="531"/>
      <c r="B23" s="559" t="s">
        <v>543</v>
      </c>
      <c r="C23" s="572" t="str">
        <f>估价对象房地状况!C18</f>
        <v>一般</v>
      </c>
      <c r="D23" s="562">
        <v>100</v>
      </c>
      <c r="E23" s="563"/>
      <c r="F23" s="564">
        <f>SUMIF(96:96,E24,97:97)-SUMIF(96:96,C24,97:97)+100</f>
        <v>100</v>
      </c>
      <c r="G23" s="563"/>
      <c r="H23" s="558">
        <f>SUMIF(96:96,G24,97:97)-SUMIF(96:96,C24,97:97)+100</f>
        <v>102</v>
      </c>
      <c r="I23" s="563"/>
      <c r="J23" s="558">
        <f>SUMIF(96:96,I24,97:97)-SUMIF(96:96,C24,97:97)+100</f>
        <v>102</v>
      </c>
      <c r="K23" s="534">
        <v>2</v>
      </c>
      <c r="L23" s="2125"/>
      <c r="M23" s="2115"/>
      <c r="N23" s="2115"/>
      <c r="O23" s="2124"/>
      <c r="P23" s="3392"/>
      <c r="Q23" s="1557" t="str">
        <f>B23</f>
        <v>交通便捷度</v>
      </c>
      <c r="R23" s="1558" t="s">
        <v>8</v>
      </c>
      <c r="S23" s="1559">
        <f>F23</f>
        <v>100</v>
      </c>
      <c r="T23" s="1558" t="s">
        <v>8</v>
      </c>
      <c r="U23" s="1559">
        <f>H23</f>
        <v>102</v>
      </c>
      <c r="V23" s="1558" t="s">
        <v>8</v>
      </c>
      <c r="W23" s="1559">
        <f>J23</f>
        <v>102</v>
      </c>
      <c r="X23" s="1552"/>
      <c r="Y23" s="3392"/>
      <c r="Z23" s="1560" t="str">
        <f>Q23</f>
        <v>交通便捷度</v>
      </c>
      <c r="AA23" s="1561">
        <f t="shared" si="3"/>
        <v>1</v>
      </c>
      <c r="AB23" s="1561">
        <f t="shared" si="4"/>
        <v>0.98039215686274506</v>
      </c>
      <c r="AC23" s="1561">
        <f t="shared" si="5"/>
        <v>0.98039215686274506</v>
      </c>
    </row>
    <row r="24" spans="1:29" ht="21">
      <c r="A24" s="531"/>
      <c r="B24" s="577"/>
      <c r="C24" s="553" t="s">
        <v>3008</v>
      </c>
      <c r="D24" s="556"/>
      <c r="E24" s="553" t="s">
        <v>3008</v>
      </c>
      <c r="F24" s="554"/>
      <c r="G24" s="553" t="s">
        <v>3065</v>
      </c>
      <c r="H24" s="554"/>
      <c r="I24" s="553" t="s">
        <v>3065</v>
      </c>
      <c r="J24" s="554"/>
      <c r="K24" s="530"/>
      <c r="L24" s="2125"/>
      <c r="M24" s="2115"/>
      <c r="N24" s="2115"/>
      <c r="O24" s="2124"/>
      <c r="P24" s="3392"/>
      <c r="Q24" s="1557"/>
      <c r="R24" s="1558"/>
      <c r="S24" s="1559"/>
      <c r="T24" s="1558"/>
      <c r="U24" s="1559"/>
      <c r="V24" s="1558"/>
      <c r="W24" s="1559"/>
      <c r="X24" s="1552"/>
      <c r="Y24" s="3392"/>
      <c r="Z24" s="1560"/>
      <c r="AA24" s="1561">
        <v>1</v>
      </c>
      <c r="AB24" s="1561">
        <v>1</v>
      </c>
      <c r="AC24" s="1561">
        <v>1</v>
      </c>
    </row>
    <row r="25" spans="1:29" ht="28.8">
      <c r="A25" s="514"/>
      <c r="B25" s="258" t="s">
        <v>544</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v>2</v>
      </c>
      <c r="L25" s="2125"/>
      <c r="M25" s="2115"/>
      <c r="N25" s="2115"/>
      <c r="O25" s="2124"/>
      <c r="P25" s="3392"/>
      <c r="Q25" s="1557" t="str">
        <f t="shared" ref="Q25:Q39" si="8">B25</f>
        <v>区域土地利用方向</v>
      </c>
      <c r="R25" s="1558" t="s">
        <v>8</v>
      </c>
      <c r="S25" s="1559">
        <f>F25</f>
        <v>100</v>
      </c>
      <c r="T25" s="1558" t="s">
        <v>8</v>
      </c>
      <c r="U25" s="1559">
        <f>H25</f>
        <v>100</v>
      </c>
      <c r="V25" s="1558" t="s">
        <v>8</v>
      </c>
      <c r="W25" s="1559">
        <f>J25</f>
        <v>100</v>
      </c>
      <c r="X25" s="1552"/>
      <c r="Y25" s="3392"/>
      <c r="Z25" s="1560" t="str">
        <f>Q25</f>
        <v>区域土地利用方向</v>
      </c>
      <c r="AA25" s="1561">
        <f t="shared" si="3"/>
        <v>1</v>
      </c>
      <c r="AB25" s="1561">
        <f t="shared" si="4"/>
        <v>1</v>
      </c>
      <c r="AC25" s="1561">
        <f t="shared" si="5"/>
        <v>1</v>
      </c>
    </row>
    <row r="26" spans="1:29" ht="21">
      <c r="A26" s="514"/>
      <c r="B26" s="1005"/>
      <c r="C26" s="553" t="s">
        <v>3065</v>
      </c>
      <c r="D26" s="556"/>
      <c r="E26" s="553" t="s">
        <v>3065</v>
      </c>
      <c r="F26" s="554"/>
      <c r="G26" s="553" t="s">
        <v>3065</v>
      </c>
      <c r="H26" s="554"/>
      <c r="I26" s="553" t="s">
        <v>3065</v>
      </c>
      <c r="J26" s="554"/>
      <c r="K26" s="530"/>
      <c r="L26" s="2125"/>
      <c r="M26" s="2115"/>
      <c r="N26" s="2115"/>
      <c r="O26" s="2124"/>
      <c r="P26" s="3392"/>
      <c r="Q26" s="1557"/>
      <c r="R26" s="1558"/>
      <c r="S26" s="1559"/>
      <c r="T26" s="1558"/>
      <c r="U26" s="1559"/>
      <c r="V26" s="1558"/>
      <c r="W26" s="1559"/>
      <c r="X26" s="1552"/>
      <c r="Y26" s="3392"/>
      <c r="Z26" s="1560"/>
      <c r="AA26" s="1561"/>
      <c r="AB26" s="1561"/>
      <c r="AC26" s="1561"/>
    </row>
    <row r="27" spans="1:29" ht="28.8">
      <c r="A27" s="514"/>
      <c r="B27" s="577" t="s">
        <v>545</v>
      </c>
      <c r="C27" s="560" t="str">
        <f>估价对象房地状况!C20</f>
        <v>较好</v>
      </c>
      <c r="D27" s="562">
        <v>100</v>
      </c>
      <c r="E27" s="563"/>
      <c r="F27" s="558">
        <f>SUMIF(100:100,E28,101:101)-SUMIF(100:100,C28,101:101)+100</f>
        <v>98</v>
      </c>
      <c r="G27" s="563"/>
      <c r="H27" s="558">
        <f>SUMIF(100:100,G28,101:101)-SUMIF(100:100,C28,101:101)+100</f>
        <v>100</v>
      </c>
      <c r="I27" s="563"/>
      <c r="J27" s="558">
        <f>SUMIF(100:100,I28,101:101)-SUMIF(100:100,C28,101:101)+100</f>
        <v>100</v>
      </c>
      <c r="K27" s="534">
        <v>2</v>
      </c>
      <c r="L27" s="2125"/>
      <c r="M27" s="2115"/>
      <c r="N27" s="2115"/>
      <c r="O27" s="2124"/>
      <c r="P27" s="3392"/>
      <c r="Q27" s="1557" t="str">
        <f t="shared" si="8"/>
        <v>自然及人文环境状况</v>
      </c>
      <c r="R27" s="1558" t="s">
        <v>8</v>
      </c>
      <c r="S27" s="1559">
        <f>F27</f>
        <v>98</v>
      </c>
      <c r="T27" s="1558" t="s">
        <v>8</v>
      </c>
      <c r="U27" s="1559">
        <f>H27</f>
        <v>100</v>
      </c>
      <c r="V27" s="1558" t="s">
        <v>8</v>
      </c>
      <c r="W27" s="1559">
        <f>J27</f>
        <v>100</v>
      </c>
      <c r="X27" s="1552"/>
      <c r="Y27" s="3392"/>
      <c r="Z27" s="1560" t="str">
        <f>Q27</f>
        <v>自然及人文环境状况</v>
      </c>
      <c r="AA27" s="1561">
        <f t="shared" si="3"/>
        <v>1.0204081632653061</v>
      </c>
      <c r="AB27" s="1561">
        <f t="shared" si="4"/>
        <v>1</v>
      </c>
      <c r="AC27" s="1561">
        <f t="shared" si="5"/>
        <v>1</v>
      </c>
    </row>
    <row r="28" spans="1:29" ht="21">
      <c r="A28" s="514"/>
      <c r="B28" s="565"/>
      <c r="C28" s="553" t="s">
        <v>3065</v>
      </c>
      <c r="D28" s="556"/>
      <c r="E28" s="553" t="s">
        <v>3008</v>
      </c>
      <c r="F28" s="554"/>
      <c r="G28" s="553" t="s">
        <v>3065</v>
      </c>
      <c r="H28" s="554"/>
      <c r="I28" s="553" t="s">
        <v>3065</v>
      </c>
      <c r="J28" s="554"/>
      <c r="K28" s="530"/>
      <c r="L28" s="2125"/>
      <c r="M28" s="2115"/>
      <c r="N28" s="2115"/>
      <c r="O28" s="2124"/>
      <c r="P28" s="3392"/>
      <c r="Q28" s="1557"/>
      <c r="R28" s="1558"/>
      <c r="S28" s="1559"/>
      <c r="T28" s="1558"/>
      <c r="U28" s="1559"/>
      <c r="V28" s="1558"/>
      <c r="W28" s="1559"/>
      <c r="X28" s="1552"/>
      <c r="Y28" s="3392"/>
      <c r="Z28" s="1560"/>
      <c r="AA28" s="1561">
        <v>1</v>
      </c>
      <c r="AB28" s="1561">
        <v>1</v>
      </c>
      <c r="AC28" s="1561">
        <v>1</v>
      </c>
    </row>
    <row r="29" spans="1:29" s="1214" customFormat="1" ht="21">
      <c r="A29" s="576"/>
      <c r="B29" s="2553" t="s">
        <v>2547</v>
      </c>
      <c r="C29" s="572" t="str">
        <f>估价对象房地状况!C21</f>
        <v>较好</v>
      </c>
      <c r="D29" s="562">
        <v>100</v>
      </c>
      <c r="E29" s="563"/>
      <c r="F29" s="558">
        <f>SUMIF(102:102,E30,103:103)-SUMIF(102:102,C30,103:103)+100</f>
        <v>98</v>
      </c>
      <c r="G29" s="563"/>
      <c r="H29" s="558">
        <f>SUMIF(102:102,G30,103:103)-SUMIF(102:102,C30,103:103)+100</f>
        <v>100</v>
      </c>
      <c r="I29" s="563"/>
      <c r="J29" s="558">
        <f>SUMIF(102:102,I30,103:103)-SUMIF(102:102,C30,103:103)+100</f>
        <v>100</v>
      </c>
      <c r="K29" s="534">
        <v>2</v>
      </c>
      <c r="L29" s="2118"/>
      <c r="M29" s="2115"/>
      <c r="N29" s="2115"/>
      <c r="O29" s="2120"/>
      <c r="P29" s="3392"/>
      <c r="Q29" s="1145" t="str">
        <f t="shared" si="8"/>
        <v>公共配套设施</v>
      </c>
      <c r="R29" s="1553" t="s">
        <v>8</v>
      </c>
      <c r="S29" s="1554">
        <f>F29</f>
        <v>98</v>
      </c>
      <c r="T29" s="1553" t="s">
        <v>8</v>
      </c>
      <c r="U29" s="1554">
        <f>H29</f>
        <v>100</v>
      </c>
      <c r="V29" s="1553" t="s">
        <v>8</v>
      </c>
      <c r="W29" s="1554">
        <f>J29</f>
        <v>100</v>
      </c>
      <c r="X29" s="1555"/>
      <c r="Y29" s="3392"/>
      <c r="Z29" s="1144" t="str">
        <f>Q29</f>
        <v>公共配套设施</v>
      </c>
      <c r="AA29" s="1561">
        <f>D29/F29</f>
        <v>1.0204081632653061</v>
      </c>
      <c r="AB29" s="1561">
        <f>D29/H29</f>
        <v>1</v>
      </c>
      <c r="AC29" s="1561">
        <f>D29/J29</f>
        <v>1</v>
      </c>
    </row>
    <row r="30" spans="1:29" s="1214" customFormat="1" ht="21">
      <c r="A30" s="576"/>
      <c r="B30" s="565"/>
      <c r="C30" s="578" t="s">
        <v>3065</v>
      </c>
      <c r="D30" s="556"/>
      <c r="E30" s="578" t="s">
        <v>3008</v>
      </c>
      <c r="F30" s="554"/>
      <c r="G30" s="578" t="s">
        <v>3065</v>
      </c>
      <c r="H30" s="554"/>
      <c r="I30" s="578" t="s">
        <v>3065</v>
      </c>
      <c r="J30" s="554"/>
      <c r="K30" s="530"/>
      <c r="L30" s="2118"/>
      <c r="M30" s="2115"/>
      <c r="N30" s="2115"/>
      <c r="O30" s="2120"/>
      <c r="P30" s="3392"/>
      <c r="Q30" s="1145"/>
      <c r="R30" s="1553"/>
      <c r="S30" s="1554"/>
      <c r="T30" s="1553"/>
      <c r="U30" s="1554"/>
      <c r="V30" s="1553"/>
      <c r="W30" s="1554"/>
      <c r="X30" s="1555"/>
      <c r="Y30" s="3392"/>
      <c r="Z30" s="1144"/>
      <c r="AA30" s="1561">
        <v>1</v>
      </c>
      <c r="AB30" s="1561">
        <v>1</v>
      </c>
      <c r="AC30" s="1561">
        <v>1</v>
      </c>
    </row>
    <row r="31" spans="1:29" s="1214" customFormat="1" ht="21">
      <c r="A31" s="576"/>
      <c r="B31" s="2553" t="s">
        <v>2548</v>
      </c>
      <c r="C31" s="572" t="str">
        <f>估价对象房地状况!C22</f>
        <v>七通</v>
      </c>
      <c r="D31" s="562">
        <v>100</v>
      </c>
      <c r="E31" s="563"/>
      <c r="F31" s="558">
        <f>SUMIF(104:104,E32,105:105)-SUMIF(104:104,C32,105:105)+100</f>
        <v>100</v>
      </c>
      <c r="G31" s="563"/>
      <c r="H31" s="558">
        <f>SUMIF(104:104,G32,105:105)-SUMIF(104:104,C32,105:105)+100</f>
        <v>100</v>
      </c>
      <c r="I31" s="563"/>
      <c r="J31" s="558">
        <f>SUMIF(104:104,I32,105:105)-SUMIF(104:104,C32,105:105)+100</f>
        <v>100</v>
      </c>
      <c r="K31" s="534">
        <v>2</v>
      </c>
      <c r="L31" s="2118"/>
      <c r="M31" s="2115"/>
      <c r="N31" s="2115"/>
      <c r="O31" s="2120"/>
      <c r="P31" s="3392"/>
      <c r="Q31" s="2540" t="str">
        <f t="shared" ref="Q31" si="9">B31</f>
        <v>基础设施水平</v>
      </c>
      <c r="R31" s="1553" t="s">
        <v>8</v>
      </c>
      <c r="S31" s="1554">
        <f>F31</f>
        <v>100</v>
      </c>
      <c r="T31" s="1553" t="s">
        <v>8</v>
      </c>
      <c r="U31" s="1554">
        <f>H31</f>
        <v>100</v>
      </c>
      <c r="V31" s="1553" t="s">
        <v>8</v>
      </c>
      <c r="W31" s="1554">
        <f>J31</f>
        <v>100</v>
      </c>
      <c r="X31" s="1555"/>
      <c r="Y31" s="3392"/>
      <c r="Z31" s="2537" t="str">
        <f>Q31</f>
        <v>基础设施水平</v>
      </c>
      <c r="AA31" s="1561">
        <f>D31/F31</f>
        <v>1</v>
      </c>
      <c r="AB31" s="1561">
        <f>D31/H31</f>
        <v>1</v>
      </c>
      <c r="AC31" s="1561">
        <f>D31/J31</f>
        <v>1</v>
      </c>
    </row>
    <row r="32" spans="1:29" s="1214" customFormat="1" ht="21">
      <c r="A32" s="576"/>
      <c r="B32" s="565"/>
      <c r="C32" s="578" t="s">
        <v>3010</v>
      </c>
      <c r="D32" s="556"/>
      <c r="E32" s="578" t="s">
        <v>3010</v>
      </c>
      <c r="F32" s="554"/>
      <c r="G32" s="578" t="s">
        <v>3010</v>
      </c>
      <c r="H32" s="554"/>
      <c r="I32" s="578" t="s">
        <v>3010</v>
      </c>
      <c r="J32" s="554"/>
      <c r="K32" s="530"/>
      <c r="L32" s="2118"/>
      <c r="M32" s="2115"/>
      <c r="N32" s="2115"/>
      <c r="O32" s="2120"/>
      <c r="P32" s="3392"/>
      <c r="Q32" s="2540"/>
      <c r="R32" s="1553"/>
      <c r="S32" s="1554"/>
      <c r="T32" s="1553"/>
      <c r="U32" s="1554"/>
      <c r="V32" s="1553"/>
      <c r="W32" s="1554"/>
      <c r="X32" s="1555"/>
      <c r="Y32" s="3392"/>
      <c r="Z32" s="2537"/>
      <c r="AA32" s="1561">
        <v>1</v>
      </c>
      <c r="AB32" s="1561">
        <v>1</v>
      </c>
      <c r="AC32" s="1561">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392"/>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2"/>
      <c r="Z33" s="1560" t="str">
        <f t="shared" ref="Z33:Z47" si="13">Q33</f>
        <v>临街状况</v>
      </c>
      <c r="AA33" s="1561">
        <f t="shared" si="3"/>
        <v>1</v>
      </c>
      <c r="AB33" s="1561">
        <f t="shared" si="4"/>
        <v>1</v>
      </c>
      <c r="AC33" s="1561">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392"/>
      <c r="Q34" s="1557" t="str">
        <f t="shared" si="8"/>
        <v>毗邻道路的类型与等级</v>
      </c>
      <c r="R34" s="1558" t="s">
        <v>8</v>
      </c>
      <c r="S34" s="1559">
        <f t="shared" si="10"/>
        <v>100</v>
      </c>
      <c r="T34" s="1558" t="s">
        <v>8</v>
      </c>
      <c r="U34" s="1559">
        <f t="shared" si="11"/>
        <v>100</v>
      </c>
      <c r="V34" s="1558" t="s">
        <v>8</v>
      </c>
      <c r="W34" s="1559">
        <f t="shared" si="12"/>
        <v>100</v>
      </c>
      <c r="X34" s="1552"/>
      <c r="Y34" s="3392"/>
      <c r="Z34" s="1560" t="str">
        <f t="shared" si="13"/>
        <v>毗邻道路的类型与等级</v>
      </c>
      <c r="AA34" s="1561">
        <f t="shared" si="3"/>
        <v>1</v>
      </c>
      <c r="AB34" s="1561">
        <f t="shared" si="4"/>
        <v>1</v>
      </c>
      <c r="AC34" s="1561">
        <f t="shared" si="5"/>
        <v>1</v>
      </c>
    </row>
    <row r="35" spans="1:29" ht="21">
      <c r="A35" s="531"/>
      <c r="B35" s="565"/>
      <c r="C35" s="553"/>
      <c r="D35" s="556"/>
      <c r="E35" s="575"/>
      <c r="F35" s="554"/>
      <c r="G35" s="553"/>
      <c r="H35" s="554"/>
      <c r="I35" s="575"/>
      <c r="J35" s="554"/>
      <c r="K35" s="580"/>
      <c r="L35" s="2125"/>
      <c r="M35" s="2115"/>
      <c r="N35" s="2115"/>
      <c r="O35" s="2124"/>
      <c r="P35" s="3392"/>
      <c r="Q35" s="1557"/>
      <c r="R35" s="1558"/>
      <c r="S35" s="1559"/>
      <c r="T35" s="1558"/>
      <c r="U35" s="1559"/>
      <c r="V35" s="1558"/>
      <c r="W35" s="1559"/>
      <c r="X35" s="1552"/>
      <c r="Y35" s="3392"/>
      <c r="Z35" s="1560"/>
      <c r="AA35" s="1561">
        <v>1</v>
      </c>
      <c r="AB35" s="1561">
        <v>1</v>
      </c>
      <c r="AC35" s="1561">
        <v>1</v>
      </c>
    </row>
    <row r="36" spans="1:29" ht="21.6" thickBot="1">
      <c r="A36" s="531"/>
      <c r="B36" s="581" t="s">
        <v>549</v>
      </c>
      <c r="C36" s="579" t="s">
        <v>1096</v>
      </c>
      <c r="D36" s="574">
        <v>100</v>
      </c>
      <c r="E36" s="582" t="s">
        <v>1155</v>
      </c>
      <c r="F36" s="539">
        <f>SUMIF(110:110,E36,111:111)-SUMIF(110:110,C36,111:111)+100</f>
        <v>93</v>
      </c>
      <c r="G36" s="582" t="s">
        <v>1155</v>
      </c>
      <c r="H36" s="539">
        <f>SUMIF(110:110,G36,111:111)-SUMIF(110:110,C36,111:111)+100</f>
        <v>93</v>
      </c>
      <c r="I36" s="582" t="s">
        <v>1155</v>
      </c>
      <c r="J36" s="539">
        <f>SUMIF(110:110,I36,111:111)-SUMIF(110:110,C36,111:111)+100</f>
        <v>93</v>
      </c>
      <c r="K36" s="583">
        <v>7</v>
      </c>
      <c r="L36" s="2125"/>
      <c r="M36" s="2115"/>
      <c r="N36" s="2115"/>
      <c r="O36" s="2124"/>
      <c r="P36" s="3392"/>
      <c r="Q36" s="1557" t="str">
        <f t="shared" si="8"/>
        <v>土地级别</v>
      </c>
      <c r="R36" s="1558" t="s">
        <v>8</v>
      </c>
      <c r="S36" s="1559">
        <f t="shared" si="10"/>
        <v>93</v>
      </c>
      <c r="T36" s="1558" t="s">
        <v>8</v>
      </c>
      <c r="U36" s="1559">
        <f t="shared" si="11"/>
        <v>93</v>
      </c>
      <c r="V36" s="1558" t="s">
        <v>8</v>
      </c>
      <c r="W36" s="1559">
        <f t="shared" si="12"/>
        <v>93</v>
      </c>
      <c r="X36" s="1552"/>
      <c r="Y36" s="3392"/>
      <c r="Z36" s="1560" t="str">
        <f t="shared" si="13"/>
        <v>土地级别</v>
      </c>
      <c r="AA36" s="1561">
        <f t="shared" si="3"/>
        <v>1.075268817204301</v>
      </c>
      <c r="AB36" s="1561">
        <f t="shared" si="4"/>
        <v>1.075268817204301</v>
      </c>
      <c r="AC36" s="1561">
        <f t="shared" si="5"/>
        <v>1.075268817204301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392"/>
      <c r="Q37" s="1557">
        <f t="shared" si="8"/>
        <v>111</v>
      </c>
      <c r="R37" s="1558" t="s">
        <v>8</v>
      </c>
      <c r="S37" s="1559">
        <f t="shared" si="10"/>
        <v>100</v>
      </c>
      <c r="T37" s="1558" t="s">
        <v>8</v>
      </c>
      <c r="U37" s="1559">
        <f t="shared" si="11"/>
        <v>100</v>
      </c>
      <c r="V37" s="1558" t="s">
        <v>8</v>
      </c>
      <c r="W37" s="1559">
        <f t="shared" si="12"/>
        <v>100</v>
      </c>
      <c r="X37" s="1552"/>
      <c r="Y37" s="3392"/>
      <c r="Z37" s="1560">
        <f t="shared" si="13"/>
        <v>111</v>
      </c>
      <c r="AA37" s="1561">
        <f t="shared" si="3"/>
        <v>1</v>
      </c>
      <c r="AB37" s="1561">
        <f t="shared" si="4"/>
        <v>1</v>
      </c>
      <c r="AC37" s="1561">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393" t="s">
        <v>550</v>
      </c>
      <c r="Q38" s="1557">
        <f t="shared" si="8"/>
        <v>111</v>
      </c>
      <c r="R38" s="1558" t="s">
        <v>8</v>
      </c>
      <c r="S38" s="1559">
        <f t="shared" si="10"/>
        <v>100</v>
      </c>
      <c r="T38" s="1558" t="s">
        <v>8</v>
      </c>
      <c r="U38" s="1559">
        <f t="shared" si="11"/>
        <v>100</v>
      </c>
      <c r="V38" s="1558" t="s">
        <v>8</v>
      </c>
      <c r="W38" s="1559">
        <f t="shared" si="12"/>
        <v>100</v>
      </c>
      <c r="X38" s="1552"/>
      <c r="Y38" s="3394" t="s">
        <v>550</v>
      </c>
      <c r="Z38" s="1560">
        <f t="shared" si="13"/>
        <v>111</v>
      </c>
      <c r="AA38" s="1561">
        <f t="shared" si="3"/>
        <v>1</v>
      </c>
      <c r="AB38" s="1561">
        <f t="shared" si="4"/>
        <v>1</v>
      </c>
      <c r="AC38" s="1561">
        <f t="shared" si="5"/>
        <v>1</v>
      </c>
    </row>
    <row r="39" spans="1:29" s="1333"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394"/>
      <c r="Q39" s="1557">
        <f t="shared" si="8"/>
        <v>111</v>
      </c>
      <c r="R39" s="1562" t="s">
        <v>8</v>
      </c>
      <c r="S39" s="1563">
        <f t="shared" si="10"/>
        <v>100</v>
      </c>
      <c r="T39" s="1562" t="s">
        <v>8</v>
      </c>
      <c r="U39" s="1563">
        <f t="shared" si="11"/>
        <v>100</v>
      </c>
      <c r="V39" s="1562" t="s">
        <v>8</v>
      </c>
      <c r="W39" s="1563">
        <f t="shared" si="12"/>
        <v>100</v>
      </c>
      <c r="X39" s="1564"/>
      <c r="Y39" s="3394"/>
      <c r="Z39" s="1565">
        <f t="shared" si="13"/>
        <v>111</v>
      </c>
      <c r="AA39" s="1561">
        <f t="shared" si="3"/>
        <v>1</v>
      </c>
      <c r="AB39" s="1561">
        <f t="shared" si="4"/>
        <v>1</v>
      </c>
      <c r="AC39" s="1561">
        <f t="shared" si="5"/>
        <v>1</v>
      </c>
    </row>
    <row r="40" spans="1:29" ht="21">
      <c r="A40" s="2860" t="s">
        <v>2754</v>
      </c>
      <c r="B40" s="594" t="s">
        <v>552</v>
      </c>
      <c r="C40" s="595">
        <f>'数据-汇总表'!D3</f>
        <v>15094.79</v>
      </c>
      <c r="D40" s="596">
        <v>100</v>
      </c>
      <c r="E40" s="595">
        <v>51395.4</v>
      </c>
      <c r="F40" s="596">
        <f>LOOKUP(E40,119:119,120:120)-LOOKUP(C40,119:119,120:120)+100</f>
        <v>102</v>
      </c>
      <c r="G40" s="595">
        <v>69439.19</v>
      </c>
      <c r="H40" s="596">
        <f>LOOKUP(G40,119:119,120:120)-LOOKUP(C40,119:119,120:120)+100</f>
        <v>103</v>
      </c>
      <c r="I40" s="597">
        <v>70151.91</v>
      </c>
      <c r="J40" s="596">
        <f>LOOKUP(I40,119:119,120:120)-LOOKUP(C40,119:119,120:120)+100</f>
        <v>103</v>
      </c>
      <c r="K40" s="580"/>
      <c r="L40" s="2125"/>
      <c r="M40" s="2115"/>
      <c r="N40" s="2115"/>
      <c r="O40" s="2124"/>
      <c r="P40" s="3394"/>
      <c r="Q40" s="1557" t="str">
        <f>B40</f>
        <v>宗地面积</v>
      </c>
      <c r="R40" s="1558" t="s">
        <v>8</v>
      </c>
      <c r="S40" s="1559">
        <f t="shared" si="10"/>
        <v>102</v>
      </c>
      <c r="T40" s="1558" t="s">
        <v>8</v>
      </c>
      <c r="U40" s="1559">
        <f t="shared" si="11"/>
        <v>103</v>
      </c>
      <c r="V40" s="1558" t="s">
        <v>8</v>
      </c>
      <c r="W40" s="1559">
        <f t="shared" si="12"/>
        <v>103</v>
      </c>
      <c r="X40" s="1552"/>
      <c r="Y40" s="3394"/>
      <c r="Z40" s="1560" t="str">
        <f t="shared" si="13"/>
        <v>宗地面积</v>
      </c>
      <c r="AA40" s="1561">
        <f t="shared" si="3"/>
        <v>0.98039215686274506</v>
      </c>
      <c r="AB40" s="1561">
        <f t="shared" si="4"/>
        <v>0.970873786407767</v>
      </c>
      <c r="AC40" s="1561">
        <f t="shared" si="5"/>
        <v>0.970873786407767</v>
      </c>
    </row>
    <row r="41" spans="1:29" ht="21">
      <c r="A41" s="593"/>
      <c r="B41" s="526" t="s">
        <v>553</v>
      </c>
      <c r="C41" s="598" t="s">
        <v>3368</v>
      </c>
      <c r="D41" s="539">
        <v>100</v>
      </c>
      <c r="E41" s="598" t="s">
        <v>3368</v>
      </c>
      <c r="F41" s="539">
        <f>SUMIF(121:121,E41,122:122)-SUMIF(121:121,C41,122:122)+100</f>
        <v>100</v>
      </c>
      <c r="G41" s="598" t="s">
        <v>3368</v>
      </c>
      <c r="H41" s="539">
        <f>SUMIF(121:121,G41,122:122)-SUMIF(121:121,C41,122:122)+100</f>
        <v>100</v>
      </c>
      <c r="I41" s="598" t="s">
        <v>3368</v>
      </c>
      <c r="J41" s="539">
        <f>SUMIF(121:121,I41,122:122)-SUMIF(121:121,C41,122:122)+100</f>
        <v>100</v>
      </c>
      <c r="K41" s="583">
        <v>1</v>
      </c>
      <c r="L41" s="2125"/>
      <c r="M41" s="2115"/>
      <c r="N41" s="2115"/>
      <c r="O41" s="2124"/>
      <c r="P41" s="3394"/>
      <c r="Q41" s="1557" t="str">
        <f t="shared" ref="Q41:Q47" si="14">B41</f>
        <v>宗地形状</v>
      </c>
      <c r="R41" s="1558" t="s">
        <v>8</v>
      </c>
      <c r="S41" s="1559">
        <f t="shared" si="10"/>
        <v>100</v>
      </c>
      <c r="T41" s="1558" t="s">
        <v>8</v>
      </c>
      <c r="U41" s="1559">
        <f t="shared" si="11"/>
        <v>100</v>
      </c>
      <c r="V41" s="1558" t="s">
        <v>8</v>
      </c>
      <c r="W41" s="1559">
        <f t="shared" si="12"/>
        <v>100</v>
      </c>
      <c r="X41" s="1552"/>
      <c r="Y41" s="3394"/>
      <c r="Z41" s="1560" t="str">
        <f t="shared" si="13"/>
        <v>宗地形状</v>
      </c>
      <c r="AA41" s="1561">
        <f t="shared" si="3"/>
        <v>1</v>
      </c>
      <c r="AB41" s="1561">
        <f t="shared" si="4"/>
        <v>1</v>
      </c>
      <c r="AC41" s="1561">
        <f t="shared" si="5"/>
        <v>1</v>
      </c>
    </row>
    <row r="42" spans="1:29" ht="21">
      <c r="A42" s="593"/>
      <c r="B42" s="526" t="s">
        <v>554</v>
      </c>
      <c r="C42" s="598" t="s">
        <v>3370</v>
      </c>
      <c r="D42" s="539">
        <v>100</v>
      </c>
      <c r="E42" s="598" t="s">
        <v>3370</v>
      </c>
      <c r="F42" s="539">
        <f>SUMIF(123:123,E42,124:124)-SUMIF(123:123,C42,124:124)+100</f>
        <v>100</v>
      </c>
      <c r="G42" s="598" t="s">
        <v>3370</v>
      </c>
      <c r="H42" s="539">
        <f>SUMIF(123:123,G42,124:124)-SUMIF(123:123,C42,124:124)+100</f>
        <v>100</v>
      </c>
      <c r="I42" s="598" t="s">
        <v>3370</v>
      </c>
      <c r="J42" s="539">
        <f>SUMIF(123:123,I42,124:124)-SUMIF(123:123,C42,124:124)+100</f>
        <v>100</v>
      </c>
      <c r="K42" s="583">
        <v>1</v>
      </c>
      <c r="L42" s="2125"/>
      <c r="M42" s="2115"/>
      <c r="N42" s="2115"/>
      <c r="O42" s="2124"/>
      <c r="P42" s="3394"/>
      <c r="Q42" s="1557" t="str">
        <f t="shared" si="14"/>
        <v>临街宽度及深度</v>
      </c>
      <c r="R42" s="1558" t="s">
        <v>8</v>
      </c>
      <c r="S42" s="1559">
        <f t="shared" si="10"/>
        <v>100</v>
      </c>
      <c r="T42" s="1558" t="s">
        <v>8</v>
      </c>
      <c r="U42" s="1559">
        <f t="shared" si="11"/>
        <v>100</v>
      </c>
      <c r="V42" s="1558" t="s">
        <v>8</v>
      </c>
      <c r="W42" s="1559">
        <f t="shared" si="12"/>
        <v>100</v>
      </c>
      <c r="X42" s="1552"/>
      <c r="Y42" s="3394"/>
      <c r="Z42" s="1560" t="str">
        <f t="shared" si="13"/>
        <v>临街宽度及深度</v>
      </c>
      <c r="AA42" s="1561">
        <f t="shared" si="3"/>
        <v>1</v>
      </c>
      <c r="AB42" s="1561">
        <f t="shared" si="4"/>
        <v>1</v>
      </c>
      <c r="AC42" s="1561">
        <f t="shared" si="5"/>
        <v>1</v>
      </c>
    </row>
    <row r="43" spans="1:29" s="1214" customFormat="1" ht="21">
      <c r="A43" s="599"/>
      <c r="B43" s="1878" t="s">
        <v>2423</v>
      </c>
      <c r="C43" s="600" t="s">
        <v>3010</v>
      </c>
      <c r="D43" s="254">
        <v>100</v>
      </c>
      <c r="E43" s="600" t="s">
        <v>3010</v>
      </c>
      <c r="F43" s="539">
        <f>SUMIF(125:125,E43,126:126)-SUMIF(125:125,C43,126:126)+100</f>
        <v>100</v>
      </c>
      <c r="G43" s="600" t="s">
        <v>3010</v>
      </c>
      <c r="H43" s="539">
        <f>SUMIF(125:125,G43,126:126)-SUMIF(125:125,C43,126:126)+100</f>
        <v>100</v>
      </c>
      <c r="I43" s="600" t="s">
        <v>3010</v>
      </c>
      <c r="J43" s="539">
        <f>SUMIF(125:125,I43,126:126)-SUMIF(125:125,C43,126:126)+100</f>
        <v>100</v>
      </c>
      <c r="K43" s="583">
        <v>1</v>
      </c>
      <c r="L43" s="2118"/>
      <c r="M43" s="2115"/>
      <c r="N43" s="2115"/>
      <c r="O43" s="2120"/>
      <c r="P43" s="3394"/>
      <c r="Q43" s="1557" t="str">
        <f t="shared" si="14"/>
        <v>宗地开发程度</v>
      </c>
      <c r="R43" s="1553" t="s">
        <v>8</v>
      </c>
      <c r="S43" s="1554">
        <f t="shared" si="10"/>
        <v>100</v>
      </c>
      <c r="T43" s="1553" t="s">
        <v>8</v>
      </c>
      <c r="U43" s="1554">
        <f t="shared" si="11"/>
        <v>100</v>
      </c>
      <c r="V43" s="1553" t="s">
        <v>8</v>
      </c>
      <c r="W43" s="1554">
        <f t="shared" si="12"/>
        <v>100</v>
      </c>
      <c r="X43" s="1555"/>
      <c r="Y43" s="3394"/>
      <c r="Z43" s="1144" t="str">
        <f t="shared" si="13"/>
        <v>宗地开发程度</v>
      </c>
      <c r="AA43" s="1556">
        <f t="shared" si="3"/>
        <v>1</v>
      </c>
      <c r="AB43" s="1556">
        <f t="shared" si="4"/>
        <v>1</v>
      </c>
      <c r="AC43" s="1556">
        <f t="shared" si="5"/>
        <v>1</v>
      </c>
    </row>
    <row r="44" spans="1:29" ht="21.6" thickBot="1">
      <c r="A44" s="593"/>
      <c r="B44" s="526" t="s">
        <v>555</v>
      </c>
      <c r="C44" s="598" t="s">
        <v>3065</v>
      </c>
      <c r="D44" s="539">
        <v>100</v>
      </c>
      <c r="E44" s="598" t="s">
        <v>3065</v>
      </c>
      <c r="F44" s="539">
        <f>SUMIF(127:127,E44,128:128)-SUMIF(127:127,C44,128:128)+100</f>
        <v>100</v>
      </c>
      <c r="G44" s="598" t="s">
        <v>3065</v>
      </c>
      <c r="H44" s="539">
        <f>SUMIF(127:127,G44,128:128)-SUMIF(127:127,C44,128:128)+100</f>
        <v>100</v>
      </c>
      <c r="I44" s="598" t="s">
        <v>3065</v>
      </c>
      <c r="J44" s="539">
        <f>SUMIF(127:127,I44,128:128)-SUMIF(127:127,C44,128:128)+100</f>
        <v>100</v>
      </c>
      <c r="K44" s="583">
        <v>1</v>
      </c>
      <c r="L44" s="2125"/>
      <c r="M44" s="2115"/>
      <c r="N44" s="2115"/>
      <c r="O44" s="2124"/>
      <c r="P44" s="3394" t="s">
        <v>550</v>
      </c>
      <c r="Q44" s="1557" t="str">
        <f t="shared" si="14"/>
        <v>工程地质条件</v>
      </c>
      <c r="R44" s="1558" t="s">
        <v>8</v>
      </c>
      <c r="S44" s="1559">
        <f t="shared" si="10"/>
        <v>100</v>
      </c>
      <c r="T44" s="1558" t="s">
        <v>8</v>
      </c>
      <c r="U44" s="1559">
        <f t="shared" si="11"/>
        <v>100</v>
      </c>
      <c r="V44" s="1558" t="s">
        <v>8</v>
      </c>
      <c r="W44" s="1559">
        <f t="shared" si="12"/>
        <v>100</v>
      </c>
      <c r="X44" s="1552"/>
      <c r="Y44" s="3394" t="s">
        <v>550</v>
      </c>
      <c r="Z44" s="1560" t="str">
        <f t="shared" si="13"/>
        <v>工程地质条件</v>
      </c>
      <c r="AA44" s="1561">
        <f t="shared" si="3"/>
        <v>1</v>
      </c>
      <c r="AB44" s="1561">
        <f t="shared" si="4"/>
        <v>1</v>
      </c>
      <c r="AC44" s="1561">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394"/>
      <c r="Q45" s="1557">
        <f t="shared" si="14"/>
        <v>111</v>
      </c>
      <c r="R45" s="1558" t="s">
        <v>8</v>
      </c>
      <c r="S45" s="1559">
        <f t="shared" si="10"/>
        <v>100</v>
      </c>
      <c r="T45" s="1558" t="s">
        <v>8</v>
      </c>
      <c r="U45" s="1559">
        <f t="shared" si="11"/>
        <v>100</v>
      </c>
      <c r="V45" s="1558" t="s">
        <v>8</v>
      </c>
      <c r="W45" s="1559">
        <f t="shared" si="12"/>
        <v>100</v>
      </c>
      <c r="X45" s="1552"/>
      <c r="Y45" s="3394"/>
      <c r="Z45" s="1560">
        <f t="shared" si="13"/>
        <v>111</v>
      </c>
      <c r="AA45" s="1561">
        <f t="shared" si="3"/>
        <v>1</v>
      </c>
      <c r="AB45" s="1561">
        <f t="shared" si="4"/>
        <v>1</v>
      </c>
      <c r="AC45" s="1561">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394"/>
      <c r="Q46" s="1557">
        <f t="shared" si="14"/>
        <v>111</v>
      </c>
      <c r="R46" s="1558" t="s">
        <v>8</v>
      </c>
      <c r="S46" s="1559">
        <f t="shared" si="10"/>
        <v>100</v>
      </c>
      <c r="T46" s="1558" t="s">
        <v>8</v>
      </c>
      <c r="U46" s="1559">
        <f t="shared" si="11"/>
        <v>100</v>
      </c>
      <c r="V46" s="1558" t="s">
        <v>8</v>
      </c>
      <c r="W46" s="1559">
        <f t="shared" si="12"/>
        <v>100</v>
      </c>
      <c r="X46" s="1552"/>
      <c r="Y46" s="3394"/>
      <c r="Z46" s="1560">
        <f t="shared" si="13"/>
        <v>111</v>
      </c>
      <c r="AA46" s="1561">
        <f t="shared" si="3"/>
        <v>1</v>
      </c>
      <c r="AB46" s="1561">
        <f t="shared" si="4"/>
        <v>1</v>
      </c>
      <c r="AC46" s="1561">
        <f t="shared" si="5"/>
        <v>1</v>
      </c>
    </row>
    <row r="47" spans="1:29" s="1333"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394"/>
      <c r="Q47" s="1557">
        <f t="shared" si="14"/>
        <v>111</v>
      </c>
      <c r="R47" s="1562" t="s">
        <v>8</v>
      </c>
      <c r="S47" s="1563">
        <f t="shared" si="10"/>
        <v>100</v>
      </c>
      <c r="T47" s="1562" t="s">
        <v>8</v>
      </c>
      <c r="U47" s="1563">
        <f t="shared" si="11"/>
        <v>100</v>
      </c>
      <c r="V47" s="1562" t="s">
        <v>8</v>
      </c>
      <c r="W47" s="1563">
        <f t="shared" si="12"/>
        <v>100</v>
      </c>
      <c r="X47" s="1564"/>
      <c r="Y47" s="3394"/>
      <c r="Z47" s="1565">
        <f t="shared" si="13"/>
        <v>111</v>
      </c>
      <c r="AA47" s="1561">
        <f t="shared" si="3"/>
        <v>1</v>
      </c>
      <c r="AB47" s="1561">
        <f t="shared" si="4"/>
        <v>1</v>
      </c>
      <c r="AC47" s="1561">
        <f t="shared" si="5"/>
        <v>1</v>
      </c>
    </row>
    <row r="48" spans="1:29" ht="21">
      <c r="A48" s="606" t="s">
        <v>556</v>
      </c>
      <c r="B48" s="607" t="s">
        <v>3070</v>
      </c>
      <c r="C48" s="608" t="s">
        <v>1</v>
      </c>
      <c r="D48" s="609"/>
      <c r="E48" s="610">
        <v>5235</v>
      </c>
      <c r="F48" s="611"/>
      <c r="G48" s="612">
        <v>5696</v>
      </c>
      <c r="H48" s="613"/>
      <c r="I48" s="610">
        <v>6199</v>
      </c>
      <c r="J48" s="613"/>
      <c r="K48" s="1334"/>
      <c r="L48" s="2127"/>
      <c r="M48" s="2115"/>
      <c r="N48" s="2115"/>
      <c r="O48" s="2128"/>
      <c r="P48" s="3389" t="str">
        <f>A48</f>
        <v>成交单价</v>
      </c>
      <c r="Q48" s="3389"/>
      <c r="R48" s="3403">
        <f>E48</f>
        <v>5235</v>
      </c>
      <c r="S48" s="3403"/>
      <c r="T48" s="3403">
        <f>G48</f>
        <v>5696</v>
      </c>
      <c r="U48" s="3403"/>
      <c r="V48" s="3403">
        <f>I48</f>
        <v>6199</v>
      </c>
      <c r="W48" s="3403"/>
      <c r="X48" s="1544"/>
      <c r="Y48" s="1566"/>
      <c r="Z48" s="1544"/>
      <c r="AA48" s="1544"/>
      <c r="AB48" s="1544"/>
      <c r="AC48" s="1544"/>
    </row>
    <row r="49" spans="1:29" ht="21.6" thickBot="1">
      <c r="A49" s="614" t="s">
        <v>2692</v>
      </c>
      <c r="B49" s="615"/>
      <c r="C49" s="616">
        <f>R50</f>
        <v>6231</v>
      </c>
      <c r="D49" s="617"/>
      <c r="E49" s="616">
        <f>R49</f>
        <v>6111</v>
      </c>
      <c r="F49" s="618"/>
      <c r="G49" s="619">
        <f>T49</f>
        <v>6140</v>
      </c>
      <c r="H49" s="617"/>
      <c r="I49" s="616">
        <f>V49</f>
        <v>6441</v>
      </c>
      <c r="J49" s="617"/>
      <c r="K49" s="1335"/>
      <c r="L49" s="2127"/>
      <c r="M49" s="2115"/>
      <c r="N49" s="2115"/>
      <c r="O49" s="2128"/>
      <c r="P49" s="3389" t="str">
        <f>A49</f>
        <v>比较价格（元/平方米）</v>
      </c>
      <c r="Q49" s="3389"/>
      <c r="R49" s="3414">
        <f>ROUND(PRODUCT(R48,AA9:AA47),0)</f>
        <v>6111</v>
      </c>
      <c r="S49" s="3414"/>
      <c r="T49" s="3414">
        <f>ROUND(PRODUCT(T48,AB9:AB47),0)</f>
        <v>6140</v>
      </c>
      <c r="U49" s="3414"/>
      <c r="V49" s="3414">
        <f>ROUND(PRODUCT(V48,AC9:AC47),0)</f>
        <v>6441</v>
      </c>
      <c r="W49" s="3414"/>
      <c r="X49" s="1544"/>
      <c r="Y49" s="1544"/>
      <c r="Z49" s="1544"/>
      <c r="AA49" s="1544"/>
      <c r="AB49" s="1544"/>
      <c r="AC49" s="1544"/>
    </row>
    <row r="50" spans="1:29" ht="21.6" thickBot="1">
      <c r="A50" s="620" t="s">
        <v>2930</v>
      </c>
      <c r="B50" s="621"/>
      <c r="C50" s="622">
        <f>R50</f>
        <v>6231</v>
      </c>
      <c r="D50" s="622"/>
      <c r="E50" s="622"/>
      <c r="F50" s="622"/>
      <c r="G50" s="622"/>
      <c r="H50" s="622"/>
      <c r="I50" s="622"/>
      <c r="J50" s="622"/>
      <c r="K50" s="1336"/>
      <c r="L50" s="2127"/>
      <c r="M50" s="2115"/>
      <c r="N50" s="2115"/>
      <c r="O50" s="2128"/>
      <c r="P50" s="3411" t="str">
        <f>A50</f>
        <v>估价对象XX用房的比较价格（楼面单价，元/平方米）</v>
      </c>
      <c r="Q50" s="3412"/>
      <c r="R50" s="3413">
        <f>ROUND(AVERAGE(R49:V49),0)</f>
        <v>6231</v>
      </c>
      <c r="S50" s="3413"/>
      <c r="T50" s="3413"/>
      <c r="U50" s="3413"/>
      <c r="V50" s="3413"/>
      <c r="W50" s="3413"/>
      <c r="X50" s="1544"/>
      <c r="Y50" s="1544"/>
      <c r="Z50" s="1544"/>
      <c r="AA50" s="1544"/>
      <c r="AB50" s="1544"/>
      <c r="AC50" s="1544"/>
    </row>
    <row r="51" spans="1:29" ht="21">
      <c r="A51" s="2128"/>
      <c r="B51" s="2128"/>
      <c r="C51" s="2128"/>
      <c r="D51" s="2128"/>
      <c r="E51" s="2128"/>
      <c r="F51" s="2128"/>
      <c r="G51" s="2131"/>
      <c r="H51" s="2128"/>
      <c r="I51" s="2128"/>
      <c r="J51" s="2128"/>
      <c r="K51" s="2132"/>
      <c r="L51" s="2133"/>
      <c r="M51" s="2115"/>
      <c r="N51" s="2115"/>
      <c r="O51" s="2128"/>
      <c r="P51" s="1544"/>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4"/>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0.16733524355300866</v>
      </c>
      <c r="F53" s="626" t="str">
        <f>IF(OR(E53&gt;=0.3,E53&lt;=-0.3),"超过30%","")</f>
        <v/>
      </c>
      <c r="G53" s="625">
        <f>IF(G48&lt;G49,G49/G48-1,G48/G49-1)</f>
        <v>7.7949438202247201E-2</v>
      </c>
      <c r="H53" s="626" t="str">
        <f>IF(OR(G53&gt;=0.3,G53&lt;=-0.3),"超过30%","")</f>
        <v/>
      </c>
      <c r="I53" s="625">
        <f>IF(I48&lt;I49,I49/I48-1,I48/I49-1)</f>
        <v>3.9038554605581588E-2</v>
      </c>
      <c r="J53" s="626" t="str">
        <f>IF(OR(I53&gt;=0.3,I53&lt;=-0.3),"超过30%","")</f>
        <v/>
      </c>
      <c r="K53" s="2132"/>
      <c r="L53" s="2133"/>
      <c r="M53" s="2115"/>
      <c r="N53" s="2115"/>
      <c r="O53" s="2128"/>
      <c r="P53" s="1544"/>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4.745540828015038E-3</v>
      </c>
      <c r="F54" s="626" t="str">
        <f>IF(OR(E54&gt;=0.2,E54&lt;=-0.2),"超过20%","")</f>
        <v/>
      </c>
      <c r="G54" s="625">
        <f>IF(G49&lt;I49,I49/G49-1,G49/I49-1)</f>
        <v>4.9022801302931684E-2</v>
      </c>
      <c r="H54" s="626" t="str">
        <f>IF(OR(G54&gt;=0.2,G54&lt;=-0.2),"超过20%","")</f>
        <v/>
      </c>
      <c r="I54" s="625">
        <f>IF(I49&lt;E49,E49/I49-1,I49/E49-1)</f>
        <v>5.4000981836033413E-2</v>
      </c>
      <c r="J54" s="626" t="str">
        <f>IF(OR(I54&gt;=0.2,I54&lt;=-0.2),"超过20%","")</f>
        <v/>
      </c>
      <c r="K54" s="2132"/>
      <c r="L54" s="2133"/>
      <c r="M54" s="2115"/>
      <c r="N54" s="2115"/>
      <c r="O54" s="2128"/>
      <c r="P54" s="1544"/>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f>IF(E48&lt;G48,G48/E48-1,E48/G48-1)</f>
        <v>8.8061127029608333E-2</v>
      </c>
      <c r="F55" s="626" t="str">
        <f>IF(OR(E55&gt;=0.3,E55&lt;=-0.3),"超过30%","")</f>
        <v/>
      </c>
      <c r="G55" s="625">
        <f>IF(G48&lt;I48,I48/G48-1,G48/I48-1)</f>
        <v>8.8307584269663009E-2</v>
      </c>
      <c r="H55" s="626" t="str">
        <f>IF(OR(G55&gt;=0.3,G55&lt;=-0.3),"超过30%","")</f>
        <v/>
      </c>
      <c r="I55" s="625">
        <f>IF(I48&lt;E48,E48/I48-1,I48/E48-1)</f>
        <v>0.18414517669531993</v>
      </c>
      <c r="J55" s="626" t="str">
        <f>IF(OR(I55&gt;=0.3,I55&lt;=-0.3),"超过30%","")</f>
        <v/>
      </c>
      <c r="K55" s="2135"/>
      <c r="L55" s="2136"/>
      <c r="M55" s="2115"/>
      <c r="N55" s="2115"/>
      <c r="O55" s="2129"/>
      <c r="P55" s="1542"/>
      <c r="Q55" s="2129"/>
      <c r="R55" s="2129"/>
      <c r="S55" s="2129"/>
      <c r="T55" s="2129"/>
      <c r="U55" s="2129"/>
      <c r="V55" s="2129"/>
      <c r="W55" s="2129"/>
      <c r="X55" s="2129"/>
      <c r="Y55" s="2129"/>
      <c r="Z55" s="2129"/>
      <c r="AA55" s="2129"/>
      <c r="AB55" s="2129"/>
      <c r="AC55" s="2129"/>
    </row>
    <row r="56" spans="1:29" s="1339" customFormat="1" ht="21.6" thickBot="1">
      <c r="A56" s="2129"/>
      <c r="B56" s="2130"/>
      <c r="C56" s="2134"/>
      <c r="D56" s="2129"/>
      <c r="E56" s="2129"/>
      <c r="F56" s="2129"/>
      <c r="G56" s="2129"/>
      <c r="H56" s="2129"/>
      <c r="I56" s="2129"/>
      <c r="J56" s="2129"/>
      <c r="K56" s="2135"/>
      <c r="L56" s="2136"/>
      <c r="M56" s="2115"/>
      <c r="N56" s="2115"/>
      <c r="O56" s="2129"/>
      <c r="P56" s="1542"/>
      <c r="Q56" s="2129"/>
      <c r="R56" s="2129"/>
      <c r="S56" s="2129"/>
      <c r="T56" s="2129"/>
      <c r="U56" s="2129"/>
      <c r="V56" s="2129"/>
      <c r="W56" s="2129"/>
      <c r="X56" s="2129"/>
      <c r="Y56" s="2129"/>
      <c r="Z56" s="2129"/>
      <c r="AA56" s="2129"/>
      <c r="AB56" s="2129"/>
      <c r="AC56" s="2129"/>
    </row>
    <row r="57" spans="1:29" ht="26.25" customHeight="1">
      <c r="A57" s="628" t="s">
        <v>560</v>
      </c>
      <c r="B57" s="629" t="s">
        <v>561</v>
      </c>
      <c r="C57" s="1545" t="s">
        <v>1724</v>
      </c>
      <c r="D57" s="2210" t="s">
        <v>2293</v>
      </c>
      <c r="E57" s="630" t="s">
        <v>562</v>
      </c>
      <c r="F57" s="631" t="s">
        <v>563</v>
      </c>
      <c r="G57" s="3373" t="s">
        <v>2281</v>
      </c>
      <c r="H57" s="3374"/>
      <c r="I57" s="1540" t="s">
        <v>1722</v>
      </c>
      <c r="J57" s="1540" t="str">
        <f>项目基本情况!F41</f>
        <v>河南省郑州市金水区</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3.2">
      <c r="A58" s="632" t="s">
        <v>564</v>
      </c>
      <c r="B58" s="633">
        <f>C50</f>
        <v>6231</v>
      </c>
      <c r="C58" s="634">
        <v>1</v>
      </c>
      <c r="D58" s="2211">
        <v>1</v>
      </c>
      <c r="E58" s="634">
        <f>'数据-汇总表'!E8+'数据-汇总表'!E9</f>
        <v>48777.570000000007</v>
      </c>
      <c r="F58" s="635">
        <f t="shared" ref="F58:F67" si="15">ROUND(B58*E58/10000,0)</f>
        <v>30393</v>
      </c>
      <c r="G58" s="3375"/>
      <c r="H58" s="3376"/>
      <c r="I58" s="1541">
        <v>1</v>
      </c>
      <c r="J58" s="1541">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3.2">
      <c r="A59" s="636" t="s">
        <v>565</v>
      </c>
      <c r="B59" s="637">
        <f>ROUND($C$50*C59*D59,0)</f>
        <v>0</v>
      </c>
      <c r="C59" s="377">
        <f t="shared" ref="C59:C67" si="16">IF($C$57="北京市系数",I59,J59)</f>
        <v>0</v>
      </c>
      <c r="D59" s="2212">
        <v>0.25</v>
      </c>
      <c r="E59" s="638">
        <v>0</v>
      </c>
      <c r="F59" s="635">
        <f t="shared" si="15"/>
        <v>0</v>
      </c>
      <c r="G59" s="3377" t="s">
        <v>2282</v>
      </c>
      <c r="H59" s="1931">
        <f>项目基本情况!B43</f>
        <v>0</v>
      </c>
      <c r="I59" s="1541">
        <f>SUMIF(修正!$A$45:$A$56,H59,修正!B45:B56)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3.2">
      <c r="A60" s="636" t="s">
        <v>566</v>
      </c>
      <c r="B60" s="637">
        <f t="shared" ref="B60:B67" si="17">ROUND($C$50*C60*D60,0)</f>
        <v>0</v>
      </c>
      <c r="C60" s="377">
        <f t="shared" si="16"/>
        <v>0</v>
      </c>
      <c r="D60" s="2212">
        <v>0.25</v>
      </c>
      <c r="E60" s="638">
        <v>0</v>
      </c>
      <c r="F60" s="635">
        <f t="shared" si="15"/>
        <v>0</v>
      </c>
      <c r="G60" s="3377"/>
      <c r="H60" s="1931">
        <f>项目基本情况!B43</f>
        <v>0</v>
      </c>
      <c r="I60" s="1541">
        <f>SUMIF(修正!$A$45:$A$56,H60,修正!C45:C56)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3.2">
      <c r="A61" s="636" t="s">
        <v>567</v>
      </c>
      <c r="B61" s="637">
        <f t="shared" si="17"/>
        <v>0</v>
      </c>
      <c r="C61" s="377">
        <f t="shared" si="16"/>
        <v>0</v>
      </c>
      <c r="D61" s="2212">
        <v>0.25</v>
      </c>
      <c r="E61" s="638">
        <v>0</v>
      </c>
      <c r="F61" s="635">
        <f t="shared" si="15"/>
        <v>0</v>
      </c>
      <c r="G61" s="3377"/>
      <c r="H61" s="1931">
        <f>项目基本情况!B43</f>
        <v>0</v>
      </c>
      <c r="I61" s="1541">
        <f>SUMIF(修正!$A$45:$A$56,H61,修正!D45:D56)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2">
      <c r="A62" s="636" t="s">
        <v>568</v>
      </c>
      <c r="B62" s="637">
        <f t="shared" si="17"/>
        <v>0</v>
      </c>
      <c r="C62" s="377">
        <f t="shared" si="16"/>
        <v>0</v>
      </c>
      <c r="D62" s="2212">
        <v>0.25</v>
      </c>
      <c r="E62" s="638">
        <v>0</v>
      </c>
      <c r="F62" s="635">
        <f t="shared" si="15"/>
        <v>0</v>
      </c>
      <c r="G62" s="3377"/>
      <c r="H62" s="1931">
        <f>项目基本情况!B43</f>
        <v>0</v>
      </c>
      <c r="I62" s="1541">
        <f>SUMIF(修正!$A$45:$A$56,H62,修正!E45:E56)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2">
      <c r="A63" s="2314" t="s">
        <v>2328</v>
      </c>
      <c r="B63" s="637">
        <f t="shared" si="17"/>
        <v>0</v>
      </c>
      <c r="C63" s="377">
        <f t="shared" si="16"/>
        <v>0</v>
      </c>
      <c r="D63" s="2212">
        <v>0.25</v>
      </c>
      <c r="E63" s="640">
        <f>'数据-汇总表'!E11</f>
        <v>55</v>
      </c>
      <c r="F63" s="635">
        <f t="shared" si="15"/>
        <v>0</v>
      </c>
      <c r="G63" s="1928" t="s">
        <v>2283</v>
      </c>
      <c r="H63" s="1931">
        <f>项目基本情况!C43</f>
        <v>0</v>
      </c>
      <c r="I63" s="1541">
        <f>SUMIF(修正!$A$45:$A$56,H63,修正!F45:F56)</f>
        <v>0</v>
      </c>
      <c r="J63" s="1543"/>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3.2">
      <c r="A64" s="636" t="s">
        <v>569</v>
      </c>
      <c r="B64" s="637">
        <f t="shared" si="17"/>
        <v>0</v>
      </c>
      <c r="C64" s="377">
        <f t="shared" si="16"/>
        <v>0</v>
      </c>
      <c r="D64" s="2212">
        <v>0.25</v>
      </c>
      <c r="E64" s="640">
        <f>'数据-汇总表'!E12</f>
        <v>0</v>
      </c>
      <c r="F64" s="635">
        <f t="shared" si="15"/>
        <v>0</v>
      </c>
      <c r="G64" s="1929" t="s">
        <v>1677</v>
      </c>
      <c r="H64" s="1927">
        <f>IF(G64="商业",项目基本情况!B43,IF(G64="办公",项目基本情况!C43,IF(G64="住宅",项目基本情况!D43,项目基本情况!E43)))</f>
        <v>0</v>
      </c>
      <c r="I64" s="1541">
        <f>SUMIF(修正!$A$45:$A$56,H64,修正!G45:G56)</f>
        <v>0</v>
      </c>
      <c r="J64" s="1543"/>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3.2">
      <c r="A65" s="636" t="s">
        <v>570</v>
      </c>
      <c r="B65" s="637">
        <f t="shared" si="17"/>
        <v>0</v>
      </c>
      <c r="C65" s="377">
        <f t="shared" si="16"/>
        <v>0</v>
      </c>
      <c r="D65" s="2212">
        <v>0.25</v>
      </c>
      <c r="E65" s="640">
        <f>'数据-汇总表'!E13</f>
        <v>16561.07</v>
      </c>
      <c r="F65" s="635">
        <f t="shared" si="15"/>
        <v>0</v>
      </c>
      <c r="G65" s="1929" t="s">
        <v>923</v>
      </c>
      <c r="H65" s="1927">
        <f>IF(G65="商业",项目基本情况!B43,IF(G65="办公",项目基本情况!C43,IF(G65="住宅",项目基本情况!D43,项目基本情况!E43)))</f>
        <v>0</v>
      </c>
      <c r="I65" s="1541">
        <f>SUMIF(修正!$A$45:$A$56,H65,修正!H45:H56)</f>
        <v>0</v>
      </c>
      <c r="J65" s="1543"/>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3.2">
      <c r="A66" s="636" t="s">
        <v>571</v>
      </c>
      <c r="B66" s="637">
        <f t="shared" si="17"/>
        <v>0</v>
      </c>
      <c r="C66" s="377">
        <f t="shared" si="16"/>
        <v>0</v>
      </c>
      <c r="D66" s="2212">
        <v>0.25</v>
      </c>
      <c r="E66" s="640">
        <f>'数据-汇总表'!E14</f>
        <v>0</v>
      </c>
      <c r="F66" s="635">
        <f t="shared" si="15"/>
        <v>0</v>
      </c>
      <c r="G66" s="1928" t="s">
        <v>2282</v>
      </c>
      <c r="H66" s="1931">
        <f>项目基本情况!B43</f>
        <v>0</v>
      </c>
      <c r="I66" s="1541">
        <f>SUMIF(修正!$A$45:$A$56,H66,修正!H45:H56)</f>
        <v>0</v>
      </c>
      <c r="J66" s="1543"/>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thickBot="1">
      <c r="A67" s="636" t="s">
        <v>572</v>
      </c>
      <c r="B67" s="637">
        <f t="shared" si="17"/>
        <v>0</v>
      </c>
      <c r="C67" s="377">
        <f t="shared" si="16"/>
        <v>0</v>
      </c>
      <c r="D67" s="2212">
        <v>0.25</v>
      </c>
      <c r="E67" s="640">
        <f>'数据-汇总表'!E15</f>
        <v>0</v>
      </c>
      <c r="F67" s="635">
        <f t="shared" si="15"/>
        <v>0</v>
      </c>
      <c r="G67" s="1930" t="s">
        <v>2283</v>
      </c>
      <c r="H67" s="1932">
        <f>项目基本情况!C43</f>
        <v>0</v>
      </c>
      <c r="I67" s="1541">
        <f>SUMIF(修正!$A$45:$A$56,H67,修正!H45:H56)</f>
        <v>0</v>
      </c>
      <c r="J67" s="1543"/>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thickBot="1">
      <c r="A68" s="641" t="s">
        <v>573</v>
      </c>
      <c r="B68" s="642" t="s">
        <v>17</v>
      </c>
      <c r="C68" s="642" t="s">
        <v>18</v>
      </c>
      <c r="D68" s="642" t="s">
        <v>2294</v>
      </c>
      <c r="E68" s="642">
        <f>IF(B48="楼面地价",SUM(E58:E67),'数据-汇总表'!D3)</f>
        <v>65393.640000000007</v>
      </c>
      <c r="F68" s="643">
        <f>IF(B48="楼面地价",SUM(F58:F67),ROUND(C50*E68/10000,0))</f>
        <v>30393</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2020-1-1</v>
      </c>
      <c r="D70" s="2752">
        <f>EDATE(C70,-3)</f>
        <v>43739</v>
      </c>
      <c r="E70" s="2752">
        <f t="shared" ref="E70:O70" si="18">EDATE(D70,-3)</f>
        <v>43647</v>
      </c>
      <c r="F70" s="2752">
        <f t="shared" si="18"/>
        <v>43556</v>
      </c>
      <c r="G70" s="2752">
        <f t="shared" si="18"/>
        <v>43466</v>
      </c>
      <c r="H70" s="2752">
        <f t="shared" si="18"/>
        <v>43374</v>
      </c>
      <c r="I70" s="2752">
        <f t="shared" si="18"/>
        <v>43282</v>
      </c>
      <c r="J70" s="2752">
        <f t="shared" si="18"/>
        <v>43191</v>
      </c>
      <c r="K70" s="2752">
        <f t="shared" si="18"/>
        <v>43101</v>
      </c>
      <c r="L70" s="2752">
        <f t="shared" si="18"/>
        <v>43009</v>
      </c>
      <c r="M70" s="2752">
        <f t="shared" si="18"/>
        <v>42917</v>
      </c>
      <c r="N70" s="2752">
        <f t="shared" si="18"/>
        <v>42826</v>
      </c>
      <c r="O70" s="2130">
        <f t="shared" si="18"/>
        <v>42736</v>
      </c>
      <c r="P70" s="2128"/>
      <c r="Q70" s="2128"/>
      <c r="R70" s="2128"/>
      <c r="S70" s="2128"/>
      <c r="T70" s="2128"/>
      <c r="U70" s="2128"/>
      <c r="V70" s="2128"/>
      <c r="W70" s="2128"/>
      <c r="X70" s="2128"/>
      <c r="Y70" s="2128"/>
      <c r="Z70" s="2128"/>
      <c r="AA70" s="2128"/>
      <c r="AB70" s="2128"/>
      <c r="AC70" s="2128"/>
    </row>
    <row r="71" spans="1:29" ht="22.2" thickBot="1">
      <c r="A71" s="1569" t="s">
        <v>574</v>
      </c>
      <c r="B71" s="1544"/>
      <c r="C71" s="1568"/>
      <c r="D71" s="1568"/>
      <c r="E71" s="1568"/>
      <c r="F71" s="1570"/>
      <c r="G71" s="1570"/>
      <c r="H71" s="1568"/>
      <c r="I71" s="1568"/>
      <c r="J71" s="1568"/>
      <c r="K71" s="1571"/>
      <c r="L71" s="1567"/>
      <c r="M71" s="1568"/>
      <c r="N71" s="1568"/>
      <c r="O71" s="2140"/>
      <c r="P71" s="2140"/>
      <c r="Q71" s="2141"/>
      <c r="R71" s="2128"/>
      <c r="S71" s="2128"/>
      <c r="T71" s="2128"/>
      <c r="U71" s="2128"/>
      <c r="V71" s="2128"/>
      <c r="W71" s="2128"/>
      <c r="X71" s="2128"/>
      <c r="Y71" s="2128"/>
      <c r="Z71" s="2128"/>
      <c r="AA71" s="2128"/>
      <c r="AB71" s="2128"/>
      <c r="AC71" s="2128"/>
    </row>
    <row r="72" spans="1:29" s="1341" customFormat="1" ht="14.4">
      <c r="A72" s="2530" t="s">
        <v>2531</v>
      </c>
      <c r="B72" s="2531"/>
      <c r="C72" s="2748" t="str">
        <f>YEAR(C70)&amp;"-"&amp;ROUNDUP(MONTH(C70)/3,0)</f>
        <v>2020-1</v>
      </c>
      <c r="D72" s="2754" t="str">
        <f>YEAR(D70)&amp;"-"&amp;ROUNDUP(MONTH(D70)/3,0)</f>
        <v>2019-4</v>
      </c>
      <c r="E72" s="2754" t="str">
        <f t="shared" ref="E72:O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3207" t="str">
        <f t="shared" si="19"/>
        <v>2017-1</v>
      </c>
      <c r="P72" s="2143"/>
      <c r="Q72" s="2144"/>
      <c r="R72" s="2144"/>
      <c r="S72" s="2144"/>
      <c r="T72" s="2144"/>
      <c r="U72" s="2144"/>
      <c r="V72" s="2144"/>
      <c r="W72" s="2144"/>
      <c r="X72" s="2144"/>
      <c r="Y72" s="2144"/>
      <c r="Z72" s="2144"/>
      <c r="AA72" s="2144"/>
      <c r="AB72" s="2144"/>
      <c r="AC72" s="2144"/>
    </row>
    <row r="73" spans="1:29" s="1214" customFormat="1" ht="27" customHeight="1">
      <c r="A73" s="2759" t="s">
        <v>2646</v>
      </c>
      <c r="B73" s="478" t="str">
        <f>"北京市平均增长率"&amp;TEXT(SUMIF(基准地价!N21:N25,A73,基准地价!P21:P25),"0.00%")</f>
        <v>北京市平均增长率0.00%</v>
      </c>
      <c r="C73" s="892">
        <v>100</v>
      </c>
      <c r="D73" s="729">
        <f>C73-0.5</f>
        <v>99.5</v>
      </c>
      <c r="E73" s="729">
        <f t="shared" ref="E73:O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729">
        <f t="shared" si="20"/>
        <v>94</v>
      </c>
      <c r="P73" s="2141"/>
      <c r="Q73" s="1976"/>
      <c r="R73" s="1976"/>
      <c r="S73" s="1976"/>
      <c r="T73" s="1976"/>
      <c r="U73" s="1976"/>
      <c r="V73" s="1976"/>
      <c r="W73" s="1976"/>
      <c r="X73" s="1976"/>
      <c r="Y73" s="1976"/>
      <c r="Z73" s="1976"/>
      <c r="AA73" s="1976"/>
      <c r="AB73" s="1976"/>
      <c r="AC73" s="1976"/>
    </row>
    <row r="74" spans="1:29" s="1214" customFormat="1" ht="15" customHeight="1" thickBot="1">
      <c r="A74" s="2750" t="s">
        <v>2645</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4.4">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4" customFormat="1" ht="14.4"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ht="14.4">
      <c r="A77" s="663" t="s">
        <v>577</v>
      </c>
      <c r="B77" s="664" t="s">
        <v>534</v>
      </c>
      <c r="C77" s="3197" t="s">
        <v>3366</v>
      </c>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4.4"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9.4"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4.4"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v>
      </c>
      <c r="H81" s="681" t="str">
        <f t="shared" si="21"/>
        <v>2.5（含）-3</v>
      </c>
      <c r="I81" s="681" t="str">
        <f t="shared" si="21"/>
        <v>3（含）-3.5</v>
      </c>
      <c r="J81" s="681" t="str">
        <f t="shared" si="21"/>
        <v>3.5（含）-4</v>
      </c>
      <c r="K81" s="681" t="str">
        <f t="shared" si="21"/>
        <v>4（含）-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c r="A82" s="668"/>
      <c r="B82" s="682"/>
      <c r="C82" s="540">
        <v>0</v>
      </c>
      <c r="D82" s="540">
        <v>0.5</v>
      </c>
      <c r="E82" s="540">
        <v>1</v>
      </c>
      <c r="F82" s="540">
        <v>1.5</v>
      </c>
      <c r="G82" s="540">
        <v>2</v>
      </c>
      <c r="H82" s="540">
        <v>2.5</v>
      </c>
      <c r="I82" s="540">
        <v>3</v>
      </c>
      <c r="J82" s="540">
        <v>3.5</v>
      </c>
      <c r="K82" s="683">
        <v>4</v>
      </c>
      <c r="L82" s="684"/>
      <c r="M82" s="685"/>
      <c r="N82" s="2147"/>
      <c r="O82" s="2147"/>
      <c r="P82" s="2148"/>
      <c r="Q82" s="2141"/>
      <c r="R82" s="2128"/>
      <c r="S82" s="2128"/>
      <c r="T82" s="2128"/>
      <c r="U82" s="2128"/>
      <c r="V82" s="2128"/>
      <c r="W82" s="2128"/>
      <c r="X82" s="2128"/>
      <c r="Y82" s="2128"/>
      <c r="Z82" s="2128"/>
      <c r="AA82" s="2128"/>
      <c r="AB82" s="2128"/>
      <c r="AC82" s="2128"/>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9"/>
      <c r="O83" s="2149"/>
      <c r="P83" s="2148"/>
      <c r="Q83" s="2141"/>
      <c r="R83" s="2128"/>
      <c r="S83" s="2128"/>
      <c r="T83" s="2128"/>
      <c r="U83" s="2128"/>
      <c r="V83" s="2128"/>
      <c r="W83" s="2128"/>
      <c r="X83" s="2128"/>
      <c r="Y83" s="2128"/>
      <c r="Z83" s="2128"/>
      <c r="AA83" s="2128"/>
      <c r="AB83" s="2128"/>
      <c r="AC83" s="2128"/>
    </row>
    <row r="84" spans="1:29" s="1333" customFormat="1" ht="15" thickTop="1">
      <c r="A84" s="686"/>
      <c r="B84" s="672" t="str">
        <f>B14</f>
        <v>配建</v>
      </c>
      <c r="C84" s="687"/>
      <c r="D84" s="1370"/>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3" customFormat="1" ht="14.4"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3" customFormat="1" ht="14.4"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3" customFormat="1" ht="14.4"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3" customFormat="1" ht="14.4"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3" customFormat="1" ht="14.4"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ht="14.4">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4.4" thickBot="1">
      <c r="A91" s="668"/>
      <c r="B91" s="677"/>
      <c r="C91" s="678">
        <v>100</v>
      </c>
      <c r="D91" s="678">
        <f>C91-$K17</f>
        <v>95</v>
      </c>
      <c r="E91" s="678">
        <f>D91-$K17</f>
        <v>90</v>
      </c>
      <c r="F91" s="678">
        <f>E91-$K17</f>
        <v>85</v>
      </c>
      <c r="G91" s="678">
        <f>F91-$K17</f>
        <v>80</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4" customFormat="1" ht="29.4"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4" customFormat="1" ht="14.4"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4" customFormat="1" ht="29.4"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4"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3" customFormat="1" ht="15" thickTop="1">
      <c r="A102" s="686"/>
      <c r="B102" s="1879" t="s">
        <v>2547</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3"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3" customFormat="1" ht="15" thickTop="1">
      <c r="A104" s="686"/>
      <c r="B104" s="2559" t="s">
        <v>2549</v>
      </c>
      <c r="C104" s="2560" t="s">
        <v>2550</v>
      </c>
      <c r="D104" s="2560" t="s">
        <v>2551</v>
      </c>
      <c r="E104" s="2560" t="s">
        <v>2552</v>
      </c>
      <c r="F104" s="2560" t="s">
        <v>2553</v>
      </c>
      <c r="G104" s="2560" t="s">
        <v>2554</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3" customFormat="1" ht="14.4"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8"/>
      <c r="B110" s="672" t="s">
        <v>549</v>
      </c>
      <c r="C110" s="3192" t="s">
        <v>3373</v>
      </c>
      <c r="D110" s="3192" t="s">
        <v>3374</v>
      </c>
      <c r="E110" s="3192" t="s">
        <v>3375</v>
      </c>
      <c r="F110" s="3192" t="s">
        <v>3376</v>
      </c>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78">
        <v>100</v>
      </c>
      <c r="D111" s="678">
        <f>C111-$K36</f>
        <v>93</v>
      </c>
      <c r="E111" s="678">
        <f t="shared" ref="E111:M111" si="25">D111-$K36</f>
        <v>86</v>
      </c>
      <c r="F111" s="678">
        <f t="shared" si="25"/>
        <v>79</v>
      </c>
      <c r="G111" s="678">
        <f t="shared" si="25"/>
        <v>72</v>
      </c>
      <c r="H111" s="678">
        <f t="shared" si="25"/>
        <v>65</v>
      </c>
      <c r="I111" s="678">
        <f t="shared" si="25"/>
        <v>58</v>
      </c>
      <c r="J111" s="678">
        <f t="shared" si="25"/>
        <v>51</v>
      </c>
      <c r="K111" s="678">
        <f t="shared" si="25"/>
        <v>44</v>
      </c>
      <c r="L111" s="678">
        <f t="shared" si="25"/>
        <v>37</v>
      </c>
      <c r="M111" s="678">
        <f t="shared" si="25"/>
        <v>30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4.4"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4.4"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3" customFormat="1" ht="14.4"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3" customFormat="1" ht="14.4"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40" t="str">
        <f t="shared" si="26"/>
        <v>(含)-</v>
      </c>
      <c r="K118" s="3040" t="str">
        <f t="shared" si="26"/>
        <v>(含)-</v>
      </c>
      <c r="L118" s="3041" t="str">
        <f t="shared" si="26"/>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8"/>
      <c r="B119" s="680"/>
      <c r="C119" s="729">
        <v>0</v>
      </c>
      <c r="D119" s="729">
        <v>20000</v>
      </c>
      <c r="E119" s="729">
        <v>40000</v>
      </c>
      <c r="F119" s="729">
        <v>60000</v>
      </c>
      <c r="G119" s="729">
        <v>80000</v>
      </c>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8"/>
      <c r="B120" s="677"/>
      <c r="C120" s="699">
        <v>100</v>
      </c>
      <c r="D120" s="725">
        <v>101</v>
      </c>
      <c r="E120" s="725">
        <v>102</v>
      </c>
      <c r="F120" s="725">
        <v>103</v>
      </c>
      <c r="G120" s="725">
        <v>104</v>
      </c>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192" t="s">
        <v>3369</v>
      </c>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191" t="s">
        <v>3371</v>
      </c>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7"/>
      <c r="B125" s="1879" t="s">
        <v>2424</v>
      </c>
      <c r="C125" s="3198" t="s">
        <v>2550</v>
      </c>
      <c r="D125" s="3198" t="s">
        <v>2551</v>
      </c>
      <c r="E125" s="3198" t="s">
        <v>2552</v>
      </c>
      <c r="F125" s="3198" t="s">
        <v>2553</v>
      </c>
      <c r="G125" s="3198" t="s">
        <v>2554</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3"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199" t="s">
        <v>579</v>
      </c>
      <c r="D127" s="3199" t="s">
        <v>580</v>
      </c>
      <c r="E127" s="3199" t="s">
        <v>581</v>
      </c>
      <c r="F127" s="3199" t="s">
        <v>582</v>
      </c>
      <c r="G127" s="3199" t="s">
        <v>583</v>
      </c>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4.4"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4.4"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4.4"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3" customFormat="1" ht="14.4"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3" customFormat="1" ht="14.4"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2"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2"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2"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2"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2"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2"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2"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2"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2"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2"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2"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2"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2"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2"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2"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2"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2"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2"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2"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2"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2"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2"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2"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2"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2"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2"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2"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2"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2"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2"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2"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2"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2"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2"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2"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2"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2"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2"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2"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2"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2"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2"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2"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2"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2"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2"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2"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2"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2"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2"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2"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2"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2"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2"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2"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2"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2"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2"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2"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2"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2"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2"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2"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2"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2"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2"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2"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2"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2"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2"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2"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2"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2"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2"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2"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2"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2"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2"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2"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2"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2"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2"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2"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2"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2"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2"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2"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2"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2"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2"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2"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2"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2"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2"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2"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2"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2"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2"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2"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2"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2"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2"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2"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2"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2"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2"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2"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2"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2"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2"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2"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2"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2"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2"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2"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2"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2"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2"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2"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2"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2"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C9" sqref="C9"/>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55854</v>
      </c>
      <c r="C2" s="2087"/>
      <c r="D2" s="2087"/>
      <c r="E2" s="2087"/>
      <c r="F2" s="2087"/>
      <c r="G2" s="2087"/>
      <c r="H2" s="2087"/>
      <c r="I2" s="2087"/>
      <c r="J2" s="2087"/>
      <c r="K2" s="2087"/>
    </row>
    <row r="3" spans="1:31" s="2024" customFormat="1" ht="18" customHeight="1">
      <c r="A3" s="2089" t="s">
        <v>1684</v>
      </c>
      <c r="B3" s="2090">
        <f ca="1">ROUND(B2*10000/IF(B1="",'数据-汇总表'!E3,INDIRECT("'数据-取费表'!K"&amp;$K$1)),0)</f>
        <v>8058</v>
      </c>
      <c r="C3" s="2087"/>
      <c r="D3" s="2087"/>
      <c r="E3" s="2087"/>
      <c r="F3" s="2087"/>
      <c r="G3" s="2087"/>
      <c r="H3" s="2087"/>
      <c r="I3" s="2087"/>
      <c r="J3" s="2087"/>
      <c r="K3" s="2087"/>
    </row>
    <row r="4" spans="1:31" s="2024" customFormat="1" ht="18" customHeight="1">
      <c r="A4" s="425" t="s">
        <v>468</v>
      </c>
      <c r="B4" s="426">
        <f ca="1">ROUND(B2*10000/IF(B1="",'数据-汇总表'!D3,INDIRECT("'数据-取费表'!R"&amp;$K$1)),0)</f>
        <v>37002</v>
      </c>
      <c r="C4" s="427"/>
      <c r="D4" s="421"/>
      <c r="E4" s="421"/>
      <c r="F4" s="421"/>
      <c r="G4" s="421"/>
      <c r="H4" s="421"/>
      <c r="I4" s="421"/>
      <c r="J4" s="421"/>
      <c r="K4" s="421"/>
    </row>
    <row r="5" spans="1:31" s="2024" customFormat="1" ht="18" customHeight="1" thickBot="1">
      <c r="A5" s="428"/>
      <c r="B5" s="429">
        <f ca="1">ROUND(B2/(IF(B1="",'数据-汇总表'!D3,INDIRECT("'数据-取费表'!R"&amp;$K$1))/666.67),0)</f>
        <v>2467</v>
      </c>
      <c r="C5" s="430" t="s">
        <v>469</v>
      </c>
      <c r="D5" s="421"/>
      <c r="E5" s="421"/>
      <c r="F5" s="421"/>
      <c r="G5" s="421"/>
      <c r="H5" s="421"/>
      <c r="I5" s="421"/>
      <c r="J5" s="421"/>
      <c r="K5" s="421"/>
    </row>
    <row r="6" spans="1:31" s="2094" customFormat="1" ht="16.5" customHeight="1">
      <c r="A6" s="2781" t="s">
        <v>1842</v>
      </c>
      <c r="B6" s="2782"/>
      <c r="C6" s="2783">
        <f ca="1">SUM(C10:K10)</f>
        <v>106953</v>
      </c>
      <c r="D6" s="2782"/>
      <c r="E6" s="2782"/>
      <c r="F6" s="2782"/>
      <c r="G6" s="2782"/>
      <c r="H6" s="2782"/>
      <c r="I6" s="2782"/>
      <c r="J6" s="2782"/>
      <c r="K6" s="2784"/>
      <c r="M6" s="3200">
        <f ca="1">106933-C6</f>
        <v>-20</v>
      </c>
    </row>
    <row r="7" spans="1:31" s="2096" customFormat="1" ht="14.4">
      <c r="A7" s="2785" t="s">
        <v>470</v>
      </c>
      <c r="B7" s="2786" t="s">
        <v>471</v>
      </c>
      <c r="C7" s="435" t="s">
        <v>923</v>
      </c>
      <c r="D7" s="435" t="s">
        <v>2997</v>
      </c>
      <c r="E7" s="435" t="s">
        <v>35</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'不动产比较法-住宅'!B3</f>
        <v>21560</v>
      </c>
      <c r="D8" s="2787">
        <f ca="1">'不动产收益法-商业'!B3</f>
        <v>18196</v>
      </c>
      <c r="E8" s="2787">
        <f ca="1">'不动产收益法-车库'!B3</f>
        <v>1456</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46924.41</v>
      </c>
      <c r="D9" s="440">
        <f>SUMIF('数据-汇总表'!$C19:$C33,'剩余法-待开发'!D7,'数据-汇总表'!$E19:$E33)</f>
        <v>1853.16</v>
      </c>
      <c r="E9" s="440">
        <f>SUMIF('数据-汇总表'!$C19:$C33,'剩余法-待开发'!E7,'数据-汇总表'!$E19:$E33)</f>
        <v>16561.07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t="s">
        <v>3361</v>
      </c>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9">
        <f>'不动产比较法-住宅'!B2</f>
        <v>101169</v>
      </c>
      <c r="D10" s="2979">
        <f ca="1">'不动产收益法-商业'!B2</f>
        <v>3372</v>
      </c>
      <c r="E10" s="2979">
        <f ca="1">'不动产收益法-车库'!B2</f>
        <v>2412</v>
      </c>
      <c r="F10" s="2790"/>
      <c r="G10" s="2790"/>
      <c r="H10" s="2790"/>
      <c r="I10" s="2790"/>
      <c r="J10" s="2790"/>
      <c r="K10" s="2791"/>
      <c r="L10" s="2097">
        <f ca="1">E10/421</f>
        <v>5.7292161520190028</v>
      </c>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16527</v>
      </c>
      <c r="D13" s="2797"/>
      <c r="E13" s="2798"/>
      <c r="F13" s="2799"/>
      <c r="G13" s="2765"/>
      <c r="H13" s="2766"/>
      <c r="I13" s="2766"/>
      <c r="J13" s="2766"/>
      <c r="K13" s="2767"/>
    </row>
    <row r="14" spans="1:31" s="2099" customFormat="1" ht="13.5" customHeight="1">
      <c r="A14" s="2795" t="s">
        <v>1849</v>
      </c>
      <c r="B14" s="2796" t="s">
        <v>480</v>
      </c>
      <c r="C14" s="53">
        <f ca="1">ROUND(C13*F14,0)</f>
        <v>826</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587</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1525</v>
      </c>
      <c r="D16" s="2797">
        <f ca="1">IF(B1="",'数据-汇总表'!E3,INDIRECT("'数据-取费表'!K"&amp;$K$1)+INDIRECT("'数据-取费表'!S"&amp;$K$1))</f>
        <v>69312.710000000006</v>
      </c>
      <c r="E16" s="53">
        <f>'数据-取费表'!B35</f>
        <v>220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248</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19713</v>
      </c>
      <c r="D18" s="2806"/>
      <c r="E18" s="467"/>
      <c r="F18" s="467"/>
      <c r="G18" s="2769" t="s">
        <v>2429</v>
      </c>
      <c r="H18" s="2770"/>
      <c r="I18" s="2770"/>
      <c r="J18" s="2770"/>
      <c r="K18" s="2771"/>
    </row>
    <row r="19" spans="1:14" s="2099" customFormat="1" ht="13.5" customHeight="1">
      <c r="A19" s="2803" t="s">
        <v>1854</v>
      </c>
      <c r="B19" s="2804" t="s">
        <v>488</v>
      </c>
      <c r="C19" s="2761">
        <f ca="1">ROUND(D19*E19/10000,0)</f>
        <v>0</v>
      </c>
      <c r="D19" s="2807">
        <f ca="1">D16</f>
        <v>69312.710000000006</v>
      </c>
      <c r="E19" s="2761">
        <f>'数据-取费表'!B32</f>
        <v>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1179</v>
      </c>
      <c r="D20" s="2807"/>
      <c r="E20" s="2761"/>
      <c r="F20" s="2808"/>
      <c r="G20" s="3036" t="s">
        <v>3068</v>
      </c>
      <c r="H20" s="2763"/>
      <c r="I20" s="2764" t="s">
        <v>2650</v>
      </c>
      <c r="J20" s="2770"/>
      <c r="K20" s="2771"/>
    </row>
    <row r="21" spans="1:14" s="2099" customFormat="1" ht="13.5" customHeight="1">
      <c r="A21" s="2795" t="s">
        <v>1856</v>
      </c>
      <c r="B21" s="2796" t="s">
        <v>491</v>
      </c>
      <c r="C21" s="53">
        <f ca="1">ROUND(D21*E21/10000,0)</f>
        <v>798</v>
      </c>
      <c r="D21" s="2797">
        <f ca="1">IF(B1="",'数据-汇总表'!E5,IF(INDIRECT("'数据-取费表'!c"&amp;$K$1)="住宅",INDIRECT("'数据-取费表'!k"&amp;$K$1),0))</f>
        <v>46924.41</v>
      </c>
      <c r="E21" s="53">
        <f>'数据-取费表'!B27</f>
        <v>170</v>
      </c>
      <c r="F21" s="2800"/>
      <c r="G21" s="26"/>
      <c r="H21" s="51"/>
      <c r="I21" s="51"/>
      <c r="J21" s="51"/>
      <c r="K21" s="2772"/>
    </row>
    <row r="22" spans="1:14" s="2099" customFormat="1" ht="13.5" customHeight="1">
      <c r="A22" s="2795" t="s">
        <v>1857</v>
      </c>
      <c r="B22" s="2796" t="s">
        <v>492</v>
      </c>
      <c r="C22" s="53">
        <f ca="1">ROUND(D22*E22/10000,0)</f>
        <v>381</v>
      </c>
      <c r="D22" s="2797">
        <f ca="1">IF(B1="",'数据-汇总表'!E6,IF(INDIRECT("'数据-取费表'!c"&amp;$K$1)="住宅",INDIRECT("'数据-取费表'!s"&amp;$K$1),INDIRECT("'数据-取费表'!k"&amp;$K$1)+INDIRECT("'数据-取费表'!s"&amp;$K$1)))</f>
        <v>22388.300000000003</v>
      </c>
      <c r="E22" s="53">
        <f>'数据-取费表'!B28</f>
        <v>170</v>
      </c>
      <c r="F22" s="2800"/>
      <c r="G22" s="26"/>
      <c r="H22" s="51"/>
      <c r="I22" s="51"/>
      <c r="J22" s="51"/>
      <c r="K22" s="2772"/>
    </row>
    <row r="23" spans="1:14" s="2099" customFormat="1" ht="13.5" customHeight="1">
      <c r="A23" s="2803" t="s">
        <v>1858</v>
      </c>
      <c r="B23" s="2985" t="s">
        <v>2833</v>
      </c>
      <c r="C23" s="2805">
        <f ca="1">ROUND((C18+C19+C20)*F23,0)</f>
        <v>418</v>
      </c>
      <c r="D23" s="467"/>
      <c r="E23" s="467"/>
      <c r="F23" s="2809">
        <f>'数据-取费表'!B37</f>
        <v>0.02</v>
      </c>
      <c r="G23" s="2765" t="s">
        <v>2430</v>
      </c>
      <c r="H23" s="2766"/>
      <c r="I23" s="2766"/>
      <c r="J23" s="2766"/>
      <c r="K23" s="2767"/>
      <c r="L23" s="2101"/>
      <c r="M23" s="2101"/>
      <c r="N23" s="2101"/>
    </row>
    <row r="24" spans="1:14" s="2099" customFormat="1" ht="13.5" customHeight="1">
      <c r="A24" s="2803" t="s">
        <v>1859</v>
      </c>
      <c r="B24" s="2985" t="s">
        <v>2836</v>
      </c>
      <c r="C24" s="2805">
        <f ca="1">ROUND(C6*F24,0)</f>
        <v>2139</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5" t="s">
        <v>2834</v>
      </c>
      <c r="C25" s="466">
        <f>ROUND(F25/(1+'数据-取费表'!C42),4)</f>
        <v>3.8600000000000002E-2</v>
      </c>
      <c r="D25" s="461" t="s">
        <v>2828</v>
      </c>
      <c r="E25" s="468"/>
      <c r="F25" s="2809">
        <f>IF(项目基本情况!B8="出让",0,'数据-取费表'!B48+'数据-取费表'!B49)</f>
        <v>4.0500000000000001E-2</v>
      </c>
      <c r="G25" s="2773" t="s">
        <v>2289</v>
      </c>
      <c r="H25" s="2766"/>
      <c r="I25" s="2766"/>
      <c r="J25" s="2766"/>
      <c r="K25" s="2767"/>
    </row>
    <row r="26" spans="1:14" s="2101" customFormat="1" ht="13.5" customHeight="1">
      <c r="A26" s="2803" t="s">
        <v>1861</v>
      </c>
      <c r="B26" s="2986" t="s">
        <v>2835</v>
      </c>
      <c r="C26" s="2810">
        <f ca="1">C28</f>
        <v>1114</v>
      </c>
      <c r="D26" s="466">
        <f ca="1">C27</f>
        <v>0.10100000000000001</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0.10100000000000001</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2837</v>
      </c>
      <c r="C28" s="2813">
        <f ca="1">ROUND(IF('数据-取费表'!B22&lt;=1,(C18+C19+C20+C23+C24)*F26*'数据-取费表'!B24/2,(C18+C19+C20+C23+C24)*(POWER((1+F26),'数据-取费表'!B24/2)-1)),0)</f>
        <v>1114</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 ca="1">ROUND(C6*F29/(1+'数据-取费表'!C42),0)</f>
        <v>5704</v>
      </c>
      <c r="D29" s="467"/>
      <c r="E29" s="467"/>
      <c r="F29" s="2987">
        <f>'数据-取费表'!B41</f>
        <v>5.6000000000000001E-2</v>
      </c>
      <c r="G29" s="2774" t="s">
        <v>498</v>
      </c>
      <c r="H29" s="2766"/>
      <c r="I29" s="2766"/>
      <c r="J29" s="2766"/>
      <c r="K29" s="2767"/>
    </row>
    <row r="30" spans="1:14" s="2104" customFormat="1" ht="13.5" customHeight="1">
      <c r="A30" s="1619" t="s">
        <v>1863</v>
      </c>
      <c r="B30" s="2815" t="s">
        <v>500</v>
      </c>
      <c r="C30" s="2810">
        <f ca="1">C31</f>
        <v>30267</v>
      </c>
      <c r="D30" s="476">
        <f ca="1">C32</f>
        <v>0.1396</v>
      </c>
      <c r="E30" s="468" t="s">
        <v>495</v>
      </c>
      <c r="F30" s="470"/>
      <c r="G30" s="2773" t="s">
        <v>2966</v>
      </c>
      <c r="H30" s="2766"/>
      <c r="I30" s="2766"/>
      <c r="J30" s="2766"/>
      <c r="K30" s="2767"/>
    </row>
    <row r="31" spans="1:14" s="2103" customFormat="1" ht="13.5" customHeight="1">
      <c r="A31" s="802" t="s">
        <v>1856</v>
      </c>
      <c r="B31" s="2811"/>
      <c r="C31" s="449">
        <f ca="1">C18+C19+C20+C23+C24+C26+C29</f>
        <v>30267</v>
      </c>
      <c r="D31" s="471"/>
      <c r="E31" s="472"/>
      <c r="F31" s="473"/>
      <c r="G31" s="260"/>
      <c r="H31" s="2768"/>
      <c r="I31" s="2768"/>
      <c r="J31" s="2768"/>
      <c r="K31" s="278"/>
    </row>
    <row r="32" spans="1:14" s="2103" customFormat="1" ht="13.5" customHeight="1">
      <c r="A32" s="802" t="s">
        <v>1857</v>
      </c>
      <c r="B32" s="2811"/>
      <c r="C32" s="53">
        <f ca="1">ROUND(C25+D26,4)</f>
        <v>0.1396</v>
      </c>
      <c r="D32" s="471"/>
      <c r="E32" s="472"/>
      <c r="F32" s="473"/>
      <c r="G32" s="260"/>
      <c r="H32" s="2768"/>
      <c r="I32" s="2768"/>
      <c r="J32" s="2768"/>
      <c r="K32" s="278"/>
    </row>
    <row r="33" spans="1:11" s="2105" customFormat="1" ht="13.5" customHeight="1">
      <c r="A33" s="2984" t="s">
        <v>2832</v>
      </c>
      <c r="B33" s="2982" t="s">
        <v>2830</v>
      </c>
      <c r="C33" s="477">
        <f ca="1">C35</f>
        <v>3752</v>
      </c>
      <c r="D33" s="466">
        <f ca="1">C34</f>
        <v>0.16619999999999999</v>
      </c>
      <c r="E33" s="468" t="s">
        <v>495</v>
      </c>
      <c r="F33" s="478">
        <f ca="1">IF(B1="",'数据-取费表'!Q16,INDIRECT("'数据-取费表'!q"&amp;$K$1))</f>
        <v>0.16</v>
      </c>
      <c r="G33" s="2769"/>
      <c r="H33" s="2770"/>
      <c r="I33" s="2770"/>
      <c r="J33" s="2770"/>
      <c r="K33" s="2771"/>
    </row>
    <row r="34" spans="1:11" s="2106" customFormat="1" ht="13.5" customHeight="1">
      <c r="A34" s="374" t="s">
        <v>1856</v>
      </c>
      <c r="B34" s="2816" t="s">
        <v>501</v>
      </c>
      <c r="C34" s="471">
        <f ca="1">ROUND((1+C25)*F33,4)</f>
        <v>0.16619999999999999</v>
      </c>
      <c r="D34" s="471"/>
      <c r="E34" s="472"/>
      <c r="F34" s="479"/>
      <c r="G34" s="260" t="s">
        <v>2290</v>
      </c>
      <c r="H34" s="2768"/>
      <c r="I34" s="2768"/>
      <c r="J34" s="2768"/>
      <c r="K34" s="278"/>
    </row>
    <row r="35" spans="1:11" s="2106" customFormat="1" ht="13.5" customHeight="1" thickBot="1">
      <c r="A35" s="1620" t="s">
        <v>1857</v>
      </c>
      <c r="B35" s="2983" t="s">
        <v>2838</v>
      </c>
      <c r="C35" s="1612">
        <f ca="1">ROUND((C18+C19+C20+C23+C24)*F33,0)</f>
        <v>3752</v>
      </c>
      <c r="D35" s="1613"/>
      <c r="E35" s="2817"/>
      <c r="F35" s="1614"/>
      <c r="G35" s="2775"/>
      <c r="H35" s="2776"/>
      <c r="I35" s="2776"/>
      <c r="J35" s="2776"/>
      <c r="K35" s="2777"/>
    </row>
    <row r="36" spans="1:11" s="2068" customFormat="1" ht="13.5" customHeight="1" thickBot="1">
      <c r="A36" s="283" t="s">
        <v>1844</v>
      </c>
      <c r="B36" s="2779"/>
      <c r="C36" s="2818">
        <f ca="1">ROUND((C6-C30-C33)/(1+D30+D33),0)</f>
        <v>55854</v>
      </c>
      <c r="D36" s="2779"/>
      <c r="E36" s="2779"/>
      <c r="F36" s="2779"/>
      <c r="G36" s="2778" t="s">
        <v>2839</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H23" sqref="H23"/>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8" t="str">
        <f>项目基本情况!B1</f>
        <v>河南省郑州市金水区金水区经一路东、明鸿路南出让国有建设用地使用权抵押价格预评估</v>
      </c>
      <c r="C37" s="3208"/>
      <c r="D37" s="3208"/>
      <c r="E37" s="3208"/>
      <c r="F37" s="3208"/>
      <c r="G37" s="3208"/>
      <c r="H37" s="3208"/>
      <c r="I37" s="3208"/>
    </row>
    <row r="38" spans="1:9">
      <c r="A38" s="1640"/>
      <c r="B38" s="1640"/>
    </row>
    <row r="39" spans="1:9">
      <c r="A39" s="1638" t="s">
        <v>1901</v>
      </c>
      <c r="B39" s="1638" t="s">
        <v>2046</v>
      </c>
    </row>
    <row r="40" spans="1:9">
      <c r="A40" s="1638"/>
      <c r="B40" s="1638" t="str">
        <f>项目基本情况!B5</f>
        <v>河南常绿卓屹置业有限公司</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c r="B46" s="1638" t="str">
        <f>项目基本情况!K4</f>
        <v>王鹏、崔锴</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4"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2651</v>
      </c>
      <c r="B6" s="432"/>
      <c r="C6" s="1607">
        <f>SUM(C10:K10)</f>
        <v>0</v>
      </c>
      <c r="D6" s="2092"/>
      <c r="E6" s="2092"/>
      <c r="F6" s="2092"/>
      <c r="G6" s="2092"/>
      <c r="H6" s="2092"/>
      <c r="I6" s="2092"/>
      <c r="J6" s="2092"/>
      <c r="K6" s="2093"/>
    </row>
    <row r="7" spans="1:41" s="2096" customFormat="1" ht="14.4">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5"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6" t="s">
        <v>1847</v>
      </c>
      <c r="B10" s="1608" t="s">
        <v>474</v>
      </c>
      <c r="C10" s="1609"/>
      <c r="D10" s="1609"/>
      <c r="E10" s="1609"/>
      <c r="F10" s="1610"/>
      <c r="G10" s="1610"/>
      <c r="H10" s="1610"/>
      <c r="I10" s="1610"/>
      <c r="J10" s="1610"/>
      <c r="K10" s="1611"/>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4" t="s">
        <v>1864</v>
      </c>
      <c r="B11" s="1605"/>
      <c r="C11" s="1605"/>
      <c r="D11" s="1605"/>
      <c r="E11" s="1605"/>
      <c r="F11" s="1605"/>
      <c r="G11" s="1605"/>
      <c r="H11" s="1605"/>
      <c r="I11" s="1605"/>
      <c r="J11" s="1605"/>
      <c r="K11" s="1606"/>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7" t="s">
        <v>1848</v>
      </c>
      <c r="B13" s="448" t="s">
        <v>479</v>
      </c>
      <c r="C13" s="449">
        <f ca="1">IF(B1="",'数据-取费表'!M16,INDIRECT("'数据-取费表'!M"&amp;$K$1)+INDIRECT("'数据-取费表'!t"&amp;$K$1))</f>
        <v>16527</v>
      </c>
      <c r="D13" s="450"/>
      <c r="E13" s="364"/>
      <c r="F13" s="451"/>
      <c r="G13" s="443"/>
      <c r="H13" s="446"/>
      <c r="I13" s="446"/>
      <c r="J13" s="446"/>
      <c r="K13" s="447"/>
    </row>
    <row r="14" spans="1:41" s="2099" customFormat="1" ht="13.5" customHeight="1">
      <c r="A14" s="1617" t="s">
        <v>1849</v>
      </c>
      <c r="B14" s="448" t="s">
        <v>480</v>
      </c>
      <c r="C14" s="53">
        <f ca="1">ROUND(C13*F14,0)</f>
        <v>826</v>
      </c>
      <c r="D14" s="450"/>
      <c r="E14" s="364"/>
      <c r="F14" s="452">
        <f>'数据-取费表'!B33</f>
        <v>0.05</v>
      </c>
      <c r="G14" s="443" t="s">
        <v>502</v>
      </c>
      <c r="H14" s="446"/>
      <c r="I14" s="446"/>
      <c r="J14" s="446"/>
      <c r="K14" s="447"/>
    </row>
    <row r="15" spans="1:41" s="2099" customFormat="1" ht="13.5" customHeight="1">
      <c r="A15" s="1617" t="s">
        <v>1850</v>
      </c>
      <c r="B15" s="448" t="s">
        <v>482</v>
      </c>
      <c r="C15" s="53">
        <f ca="1">ROUND(IF(B1="",SUMIF('数据-取费表'!C:C,"住宅",'数据-取费表'!M:M)*F15,IF(INDIRECT("'数据-取费表'!c"&amp;$K$1)="住宅",INDIRECT("'数据-取费表'!M"&amp;$K$1)*F15,0)),0)</f>
        <v>587</v>
      </c>
      <c r="D15" s="450"/>
      <c r="E15" s="364"/>
      <c r="F15" s="452">
        <f>'数据-取费表'!B34</f>
        <v>0.05</v>
      </c>
      <c r="G15" s="443" t="s">
        <v>502</v>
      </c>
      <c r="H15" s="446"/>
      <c r="I15" s="446"/>
      <c r="J15" s="446"/>
      <c r="K15" s="447"/>
    </row>
    <row r="16" spans="1:41" s="2100" customFormat="1" ht="13.5" customHeight="1">
      <c r="A16" s="1617" t="s">
        <v>1851</v>
      </c>
      <c r="B16" s="448" t="s">
        <v>484</v>
      </c>
      <c r="C16" s="53">
        <f ca="1">ROUND(D16*E16/10000,0)</f>
        <v>1525</v>
      </c>
      <c r="D16" s="450">
        <f ca="1">IF(B1="",'数据-汇总表'!E3,INDIRECT("'数据-取费表'!K"&amp;$K$1)+INDIRECT("'数据-取费表'!S"&amp;$K$1))</f>
        <v>69312.710000000006</v>
      </c>
      <c r="E16" s="53">
        <f>'数据-取费表'!B35</f>
        <v>220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7" t="s">
        <v>1852</v>
      </c>
      <c r="B17" s="448" t="s">
        <v>485</v>
      </c>
      <c r="C17" s="453">
        <f ca="1">ROUND(C13*F17,0)</f>
        <v>248</v>
      </c>
      <c r="D17" s="454"/>
      <c r="E17" s="453"/>
      <c r="F17" s="455">
        <f>'数据-取费表'!B36</f>
        <v>1.4999999999999999E-2</v>
      </c>
      <c r="G17" s="443" t="s">
        <v>502</v>
      </c>
      <c r="H17" s="456"/>
      <c r="I17" s="456"/>
      <c r="J17" s="456"/>
      <c r="K17" s="457"/>
    </row>
    <row r="18" spans="1:14" s="2102" customFormat="1" ht="13.5" customHeight="1">
      <c r="A18" s="1618" t="s">
        <v>1853</v>
      </c>
      <c r="B18" s="458" t="s">
        <v>487</v>
      </c>
      <c r="C18" s="459">
        <f ca="1">SUM(C13:C17)</f>
        <v>19713</v>
      </c>
      <c r="D18" s="460"/>
      <c r="E18" s="461"/>
      <c r="F18" s="461"/>
      <c r="G18" s="1321" t="s">
        <v>2431</v>
      </c>
      <c r="H18" s="446"/>
      <c r="I18" s="446"/>
      <c r="J18" s="446"/>
      <c r="K18" s="447"/>
    </row>
    <row r="19" spans="1:14" s="2102" customFormat="1" ht="13.5" customHeight="1">
      <c r="A19" s="1618" t="s">
        <v>1854</v>
      </c>
      <c r="B19" s="458" t="s">
        <v>493</v>
      </c>
      <c r="C19" s="459">
        <f ca="1">ROUND(C18*F19,0)</f>
        <v>394</v>
      </c>
      <c r="D19" s="461"/>
      <c r="E19" s="461"/>
      <c r="F19" s="465">
        <f>'数据-取费表'!B37</f>
        <v>0.02</v>
      </c>
      <c r="G19" s="443" t="s">
        <v>503</v>
      </c>
      <c r="H19" s="446"/>
      <c r="I19" s="446"/>
      <c r="J19" s="446"/>
      <c r="K19" s="447"/>
      <c r="L19" s="2104"/>
      <c r="M19" s="2104"/>
      <c r="N19" s="2104"/>
    </row>
    <row r="20" spans="1:14" s="2102" customFormat="1" ht="13.5" customHeight="1">
      <c r="A20" s="1618" t="s">
        <v>1855</v>
      </c>
      <c r="B20" s="458" t="s">
        <v>504</v>
      </c>
      <c r="C20" s="2980">
        <f>F20</f>
        <v>0.02</v>
      </c>
      <c r="D20" s="468" t="s">
        <v>505</v>
      </c>
      <c r="E20" s="468"/>
      <c r="F20" s="485">
        <f>'数据-取费表'!B38</f>
        <v>0.02</v>
      </c>
      <c r="G20" s="1321" t="s">
        <v>506</v>
      </c>
      <c r="H20" s="446"/>
      <c r="I20" s="446"/>
      <c r="J20" s="446"/>
      <c r="K20" s="447"/>
      <c r="L20" s="2104"/>
      <c r="M20" s="2104"/>
      <c r="N20" s="2104"/>
    </row>
    <row r="21" spans="1:14" s="2104" customFormat="1" ht="13.5" customHeight="1">
      <c r="A21" s="1618" t="s">
        <v>1858</v>
      </c>
      <c r="B21" s="460" t="s">
        <v>494</v>
      </c>
      <c r="C21" s="469">
        <f ca="1">C22</f>
        <v>955</v>
      </c>
      <c r="D21" s="466">
        <f ca="1">C23</f>
        <v>1E-3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1" t="s">
        <v>2453</v>
      </c>
    </row>
    <row r="22" spans="1:14" s="2103" customFormat="1" ht="13.5" customHeight="1">
      <c r="A22" s="1617" t="s">
        <v>1848</v>
      </c>
      <c r="B22" s="1322" t="s">
        <v>2434</v>
      </c>
      <c r="C22" s="486">
        <f ca="1">ROUND(IF('数据-取费表'!B22&lt;=1,(C18+C19)*F21*'数据-取费表'!B20/2,(C18+C19)*(POWER((1+F21),'数据-取费表'!B20/2)-1)),0)</f>
        <v>955</v>
      </c>
      <c r="D22" s="471"/>
      <c r="E22" s="472"/>
      <c r="F22" s="473"/>
      <c r="G22" s="2529" t="str">
        <f>IF('数据-取费表'!B22&lt;=1,"((1)+(2))×年利率×建设期÷2","((1)+(2))×((1+年利率)^(建设期÷2)-1)")</f>
        <v>((1)+(2))×((1+年利率)^(建设期÷2)-1)</v>
      </c>
      <c r="H22" s="456"/>
      <c r="I22" s="456"/>
      <c r="J22" s="456"/>
      <c r="K22" s="457"/>
    </row>
    <row r="23" spans="1:14" s="2103" customFormat="1" ht="13.5" customHeight="1">
      <c r="A23" s="1617" t="s">
        <v>1849</v>
      </c>
      <c r="B23" s="1322" t="s">
        <v>508</v>
      </c>
      <c r="C23" s="487">
        <f ca="1">ROUND(IF('数据-取费表'!B22&lt;=1,F20*F21*'数据-取费表'!B20/2,F20*(POWER((1+F21),'数据-取费表'!B20/2)-1)),4)</f>
        <v>1E-3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8" t="s">
        <v>1859</v>
      </c>
      <c r="B24" s="2982" t="s">
        <v>2831</v>
      </c>
      <c r="C24" s="477">
        <f ca="1">C25</f>
        <v>3217</v>
      </c>
      <c r="D24" s="488">
        <f ca="1">C26</f>
        <v>3.2000000000000002E-3</v>
      </c>
      <c r="E24" s="468" t="s">
        <v>507</v>
      </c>
      <c r="F24" s="478">
        <f ca="1">IF(B1="",'数据-取费表'!Q16,INDIRECT("'数据-取费表'!q"&amp;$K$1))</f>
        <v>0.16</v>
      </c>
      <c r="G24" s="443"/>
      <c r="H24" s="446"/>
      <c r="I24" s="446"/>
      <c r="J24" s="446"/>
      <c r="K24" s="447"/>
    </row>
    <row r="25" spans="1:14" s="2103" customFormat="1" ht="13.5" customHeight="1">
      <c r="A25" s="1617" t="s">
        <v>1848</v>
      </c>
      <c r="B25" s="1322" t="s">
        <v>2435</v>
      </c>
      <c r="C25" s="489">
        <f ca="1">ROUND((C18+C19)*F24,0)</f>
        <v>3217</v>
      </c>
      <c r="D25" s="471"/>
      <c r="E25" s="472"/>
      <c r="F25" s="479"/>
      <c r="G25" s="1320" t="s">
        <v>2432</v>
      </c>
      <c r="H25" s="456"/>
      <c r="I25" s="456"/>
      <c r="J25" s="456"/>
      <c r="K25" s="457"/>
    </row>
    <row r="26" spans="1:14" s="2103" customFormat="1" ht="13.5" customHeight="1">
      <c r="A26" s="1617" t="s">
        <v>1849</v>
      </c>
      <c r="B26" s="1322" t="s">
        <v>509</v>
      </c>
      <c r="C26" s="490">
        <f ca="1">ROUND(F20*F24,4)</f>
        <v>3.2000000000000002E-3</v>
      </c>
      <c r="D26" s="471"/>
      <c r="E26" s="480"/>
      <c r="F26" s="479"/>
      <c r="G26" s="1320" t="s">
        <v>510</v>
      </c>
      <c r="H26" s="456"/>
      <c r="I26" s="456"/>
      <c r="J26" s="456"/>
      <c r="K26" s="457"/>
    </row>
    <row r="27" spans="1:14" s="2103" customFormat="1" ht="13.5" customHeight="1">
      <c r="A27" s="1621" t="s">
        <v>1867</v>
      </c>
      <c r="B27" s="458" t="s">
        <v>511</v>
      </c>
      <c r="C27" s="2981">
        <f>ROUND(F27/(1+'数据-取费表'!C42),4)</f>
        <v>5.33E-2</v>
      </c>
      <c r="D27" s="461" t="s">
        <v>2829</v>
      </c>
      <c r="E27" s="461"/>
      <c r="F27" s="465">
        <f>'数据-取费表'!B41</f>
        <v>5.6000000000000001E-2</v>
      </c>
      <c r="G27" s="1943" t="s">
        <v>2291</v>
      </c>
      <c r="H27" s="446"/>
      <c r="I27" s="446"/>
      <c r="J27" s="446"/>
      <c r="K27" s="447"/>
    </row>
    <row r="28" spans="1:14" s="2104" customFormat="1" ht="13.5" customHeight="1">
      <c r="A28" s="1621" t="s">
        <v>1868</v>
      </c>
      <c r="B28" s="475" t="s">
        <v>512</v>
      </c>
      <c r="C28" s="469">
        <f ca="1">ROUND((C18+C19+C21+C24)/(1-C20-D21-D24-C27),0)</f>
        <v>26319</v>
      </c>
      <c r="D28" s="476"/>
      <c r="E28" s="468"/>
      <c r="F28" s="470"/>
      <c r="G28" s="1321" t="s">
        <v>2433</v>
      </c>
      <c r="H28" s="446"/>
      <c r="I28" s="446"/>
      <c r="J28" s="446"/>
      <c r="K28" s="447"/>
    </row>
    <row r="29" spans="1:14" s="2104"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3" t="s">
        <v>515</v>
      </c>
      <c r="H30" s="495"/>
      <c r="I30" s="495"/>
      <c r="J30" s="446"/>
      <c r="K30" s="447"/>
    </row>
    <row r="31" spans="1:14" s="2109" customFormat="1" ht="13.5" customHeight="1">
      <c r="A31" s="2444" t="s">
        <v>1865</v>
      </c>
      <c r="B31" s="1324"/>
      <c r="C31" s="499">
        <f>ROUND(C6*F31/(1+'数据-取费表'!C42),0)</f>
        <v>0</v>
      </c>
      <c r="D31" s="1325"/>
      <c r="E31" s="1325"/>
      <c r="F31" s="500">
        <f>'数据-取费表'!B41</f>
        <v>5.6000000000000001E-2</v>
      </c>
      <c r="G31" s="1326"/>
      <c r="H31" s="1326"/>
      <c r="I31" s="1326"/>
      <c r="J31" s="1327"/>
      <c r="K31" s="1328"/>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507" t="e">
        <f>F63</f>
        <v>#DIV/0!</v>
      </c>
      <c r="C2" s="2111"/>
      <c r="D2" s="2111"/>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c r="A3" s="1375" t="s">
        <v>1685</v>
      </c>
      <c r="B3" s="509" t="e">
        <f>ROUND(B2*10000/'数据-汇总表'!E3,0)</f>
        <v>#DIV/0!</v>
      </c>
      <c r="C3" s="2044"/>
      <c r="D3" s="2044"/>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427"/>
      <c r="AC3" s="427"/>
    </row>
    <row r="4" spans="1:29" s="1330"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9"/>
      <c r="Q5" s="1549"/>
      <c r="R5" s="1549"/>
      <c r="S5" s="1549"/>
      <c r="T5" s="1549"/>
      <c r="U5" s="1549"/>
      <c r="V5" s="1549"/>
      <c r="W5" s="1549"/>
      <c r="X5" s="1549"/>
      <c r="Y5" s="1549"/>
      <c r="Z5" s="1549"/>
      <c r="AA5" s="1549"/>
      <c r="AB5" s="1551"/>
      <c r="AC5" s="427"/>
    </row>
    <row r="6" spans="1:29" ht="14.4">
      <c r="A6" s="511" t="s">
        <v>521</v>
      </c>
      <c r="B6" s="512"/>
      <c r="C6" s="3395" t="s">
        <v>522</v>
      </c>
      <c r="D6" s="3396"/>
      <c r="E6" s="3420" t="s">
        <v>523</v>
      </c>
      <c r="F6" s="3421"/>
      <c r="G6" s="3395" t="s">
        <v>524</v>
      </c>
      <c r="H6" s="3396"/>
      <c r="I6" s="3395" t="s">
        <v>525</v>
      </c>
      <c r="J6" s="3396"/>
      <c r="K6" s="513" t="s">
        <v>526</v>
      </c>
      <c r="L6" s="2116"/>
      <c r="M6" s="2117"/>
      <c r="N6" s="2117"/>
      <c r="O6" s="2117"/>
      <c r="P6" s="3397" t="s">
        <v>527</v>
      </c>
      <c r="Q6" s="3398"/>
      <c r="R6" s="3383" t="s">
        <v>523</v>
      </c>
      <c r="S6" s="3384"/>
      <c r="T6" s="3383" t="s">
        <v>524</v>
      </c>
      <c r="U6" s="3384"/>
      <c r="V6" s="3403" t="s">
        <v>525</v>
      </c>
      <c r="W6" s="3403"/>
      <c r="X6" s="1552"/>
      <c r="Y6" s="3383" t="s">
        <v>527</v>
      </c>
      <c r="Z6" s="3384"/>
      <c r="AA6" s="3378" t="s">
        <v>523</v>
      </c>
      <c r="AB6" s="3379" t="s">
        <v>524</v>
      </c>
      <c r="AC6" s="3378" t="s">
        <v>525</v>
      </c>
    </row>
    <row r="7" spans="1:29">
      <c r="A7" s="514"/>
      <c r="B7" s="515"/>
      <c r="C7" s="3408" t="s">
        <v>2924</v>
      </c>
      <c r="D7" s="3407"/>
      <c r="E7" s="3422" t="s">
        <v>2925</v>
      </c>
      <c r="F7" s="3423"/>
      <c r="G7" s="3408" t="s">
        <v>2926</v>
      </c>
      <c r="H7" s="3407"/>
      <c r="I7" s="3408" t="s">
        <v>2927</v>
      </c>
      <c r="J7" s="3407"/>
      <c r="K7" s="513"/>
      <c r="L7" s="2116"/>
      <c r="M7" s="2117"/>
      <c r="N7" s="2117"/>
      <c r="O7" s="2117"/>
      <c r="P7" s="3399"/>
      <c r="Q7" s="3400"/>
      <c r="R7" s="3385"/>
      <c r="S7" s="3386"/>
      <c r="T7" s="3385"/>
      <c r="U7" s="3386"/>
      <c r="V7" s="3403"/>
      <c r="W7" s="3403"/>
      <c r="X7" s="1552"/>
      <c r="Y7" s="3385"/>
      <c r="Z7" s="3386"/>
      <c r="AA7" s="3379"/>
      <c r="AB7" s="3379"/>
      <c r="AC7" s="3379"/>
    </row>
    <row r="8" spans="1:29" ht="15" thickBot="1">
      <c r="A8" s="516"/>
      <c r="B8" s="517"/>
      <c r="C8" s="3424" t="s">
        <v>2928</v>
      </c>
      <c r="D8" s="3405"/>
      <c r="E8" s="3425" t="s">
        <v>2928</v>
      </c>
      <c r="F8" s="3426"/>
      <c r="G8" s="3424" t="s">
        <v>2928</v>
      </c>
      <c r="H8" s="3405"/>
      <c r="I8" s="3424" t="s">
        <v>2928</v>
      </c>
      <c r="J8" s="3405"/>
      <c r="K8" s="513" t="s">
        <v>528</v>
      </c>
      <c r="L8" s="2116"/>
      <c r="M8" s="2117"/>
      <c r="N8" s="2117"/>
      <c r="O8" s="2117"/>
      <c r="P8" s="3401"/>
      <c r="Q8" s="3402"/>
      <c r="R8" s="3385"/>
      <c r="S8" s="3386"/>
      <c r="T8" s="3387"/>
      <c r="U8" s="3388"/>
      <c r="V8" s="3403"/>
      <c r="W8" s="3403"/>
      <c r="X8" s="1552"/>
      <c r="Y8" s="3387"/>
      <c r="Z8" s="3388"/>
      <c r="AA8" s="3380"/>
      <c r="AB8" s="3380"/>
      <c r="AC8" s="3380"/>
    </row>
    <row r="9" spans="1:29" s="1214" customFormat="1" ht="15" thickBot="1">
      <c r="A9" s="2865"/>
      <c r="B9" s="2872" t="s">
        <v>529</v>
      </c>
      <c r="C9" s="518">
        <f>'数据-取费表'!B2</f>
        <v>43840</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381" t="s">
        <v>530</v>
      </c>
      <c r="Q9" s="3390"/>
      <c r="R9" s="1553" t="s">
        <v>8</v>
      </c>
      <c r="S9" s="1554">
        <f t="shared" ref="S9:S17" si="0">F9</f>
        <v>0</v>
      </c>
      <c r="T9" s="1553" t="s">
        <v>8</v>
      </c>
      <c r="U9" s="1554">
        <f t="shared" ref="U9:U17" si="1">H9</f>
        <v>0</v>
      </c>
      <c r="V9" s="1553" t="s">
        <v>8</v>
      </c>
      <c r="W9" s="1554">
        <f t="shared" ref="W9:W17" si="2">J9</f>
        <v>0</v>
      </c>
      <c r="X9" s="1555"/>
      <c r="Y9" s="3381" t="s">
        <v>530</v>
      </c>
      <c r="Z9" s="3382"/>
      <c r="AA9" s="1556" t="e">
        <f>D9/F9</f>
        <v>#DIV/0!</v>
      </c>
      <c r="AB9" s="1556" t="e">
        <f>D9/H9</f>
        <v>#DIV/0!</v>
      </c>
      <c r="AC9" s="1556" t="e">
        <f>D9/J9</f>
        <v>#DIV/0!</v>
      </c>
    </row>
    <row r="10" spans="1:29" s="1214" customFormat="1" ht="1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381" t="s">
        <v>533</v>
      </c>
      <c r="Q10" s="3382"/>
      <c r="R10" s="1553" t="s">
        <v>8</v>
      </c>
      <c r="S10" s="1554">
        <f t="shared" si="0"/>
        <v>0</v>
      </c>
      <c r="T10" s="1553" t="s">
        <v>8</v>
      </c>
      <c r="U10" s="1554">
        <f t="shared" si="1"/>
        <v>0</v>
      </c>
      <c r="V10" s="1553" t="s">
        <v>8</v>
      </c>
      <c r="W10" s="1554">
        <f t="shared" si="2"/>
        <v>0</v>
      </c>
      <c r="X10" s="1555"/>
      <c r="Y10" s="3381" t="s">
        <v>533</v>
      </c>
      <c r="Z10" s="3382"/>
      <c r="AA10" s="1556" t="e">
        <f t="shared" ref="AA10:AA42" si="3">D10/F10</f>
        <v>#DIV/0!</v>
      </c>
      <c r="AB10" s="1556" t="e">
        <f t="shared" ref="AB10:AB42" si="4">D10/H10</f>
        <v>#DIV/0!</v>
      </c>
      <c r="AC10" s="1556" t="e">
        <f t="shared" ref="AC10:AC42" si="5">D10/J10</f>
        <v>#DIV/0!</v>
      </c>
    </row>
    <row r="11" spans="1:29" s="1214" customFormat="1" ht="14.4">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89" t="s">
        <v>535</v>
      </c>
      <c r="Q11" s="1145" t="str">
        <f t="shared" ref="Q11:Q17" si="6">B11</f>
        <v>用途</v>
      </c>
      <c r="R11" s="1553" t="s">
        <v>8</v>
      </c>
      <c r="S11" s="1554">
        <f t="shared" si="0"/>
        <v>100</v>
      </c>
      <c r="T11" s="1553" t="s">
        <v>8</v>
      </c>
      <c r="U11" s="1554">
        <f t="shared" si="1"/>
        <v>100</v>
      </c>
      <c r="V11" s="1553" t="s">
        <v>8</v>
      </c>
      <c r="W11" s="1554">
        <f t="shared" si="2"/>
        <v>100</v>
      </c>
      <c r="X11" s="1555"/>
      <c r="Y11" s="3346" t="s">
        <v>536</v>
      </c>
      <c r="Z11" s="1144" t="str">
        <f t="shared" ref="Z11:Z17" si="7">Q11</f>
        <v>用途</v>
      </c>
      <c r="AA11" s="1556">
        <f t="shared" si="3"/>
        <v>1</v>
      </c>
      <c r="AB11" s="1556">
        <f t="shared" si="4"/>
        <v>1</v>
      </c>
      <c r="AC11" s="1556">
        <f t="shared" si="5"/>
        <v>1</v>
      </c>
    </row>
    <row r="12" spans="1:29" s="1332" customFormat="1" ht="28.8">
      <c r="A12" s="2868"/>
      <c r="B12" s="2873" t="s">
        <v>2756</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389"/>
      <c r="Q12" s="1145" t="str">
        <f t="shared" si="6"/>
        <v>土地使用年限（年）</v>
      </c>
      <c r="R12" s="1553" t="s">
        <v>8</v>
      </c>
      <c r="S12" s="1554">
        <f t="shared" si="0"/>
        <v>100</v>
      </c>
      <c r="T12" s="1553" t="s">
        <v>8</v>
      </c>
      <c r="U12" s="1554">
        <f t="shared" si="1"/>
        <v>100</v>
      </c>
      <c r="V12" s="1553" t="s">
        <v>8</v>
      </c>
      <c r="W12" s="1554">
        <f t="shared" si="2"/>
        <v>100</v>
      </c>
      <c r="X12" s="1555"/>
      <c r="Y12" s="3346"/>
      <c r="Z12" s="1144" t="str">
        <f t="shared" si="7"/>
        <v>土地使用年限（年）</v>
      </c>
      <c r="AA12" s="1556">
        <f t="shared" si="3"/>
        <v>1</v>
      </c>
      <c r="AB12" s="1556">
        <f t="shared" si="4"/>
        <v>1</v>
      </c>
      <c r="AC12" s="1556">
        <f t="shared" si="5"/>
        <v>1</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89"/>
      <c r="Q13" s="1145" t="str">
        <f t="shared" si="6"/>
        <v>容积率</v>
      </c>
      <c r="R13" s="1553" t="s">
        <v>8</v>
      </c>
      <c r="S13" s="1554" t="e">
        <f t="shared" si="0"/>
        <v>#N/A</v>
      </c>
      <c r="T13" s="1553" t="s">
        <v>8</v>
      </c>
      <c r="U13" s="1554" t="e">
        <f t="shared" si="1"/>
        <v>#N/A</v>
      </c>
      <c r="V13" s="1553" t="s">
        <v>8</v>
      </c>
      <c r="W13" s="1554" t="e">
        <f t="shared" si="2"/>
        <v>#N/A</v>
      </c>
      <c r="X13" s="1555"/>
      <c r="Y13" s="3346"/>
      <c r="Z13" s="1144" t="str">
        <f t="shared" si="7"/>
        <v>容积率</v>
      </c>
      <c r="AA13" s="1556" t="e">
        <f t="shared" si="3"/>
        <v>#N/A</v>
      </c>
      <c r="AB13" s="1556" t="e">
        <f t="shared" si="4"/>
        <v>#N/A</v>
      </c>
      <c r="AC13" s="1556" t="e">
        <f t="shared" si="5"/>
        <v>#N/A</v>
      </c>
    </row>
    <row r="14" spans="1:29" s="1214"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89"/>
      <c r="Q14" s="1145">
        <f t="shared" si="6"/>
        <v>111</v>
      </c>
      <c r="R14" s="1553" t="s">
        <v>8</v>
      </c>
      <c r="S14" s="1554">
        <f t="shared" si="0"/>
        <v>100</v>
      </c>
      <c r="T14" s="1553" t="s">
        <v>8</v>
      </c>
      <c r="U14" s="1554">
        <f t="shared" si="1"/>
        <v>100</v>
      </c>
      <c r="V14" s="1553" t="s">
        <v>8</v>
      </c>
      <c r="W14" s="1554">
        <f t="shared" si="2"/>
        <v>100</v>
      </c>
      <c r="X14" s="1555"/>
      <c r="Y14" s="3346"/>
      <c r="Z14" s="1144">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89"/>
      <c r="Q15" s="1145">
        <f t="shared" si="6"/>
        <v>111</v>
      </c>
      <c r="R15" s="1553" t="s">
        <v>8</v>
      </c>
      <c r="S15" s="1554">
        <f t="shared" si="0"/>
        <v>100</v>
      </c>
      <c r="T15" s="1553" t="s">
        <v>8</v>
      </c>
      <c r="U15" s="1554">
        <f t="shared" si="1"/>
        <v>100</v>
      </c>
      <c r="V15" s="1553" t="s">
        <v>8</v>
      </c>
      <c r="W15" s="1554">
        <f t="shared" si="2"/>
        <v>100</v>
      </c>
      <c r="X15" s="1555"/>
      <c r="Y15" s="3346"/>
      <c r="Z15" s="1144">
        <f t="shared" si="7"/>
        <v>111</v>
      </c>
      <c r="AA15" s="1556">
        <f t="shared" si="3"/>
        <v>1</v>
      </c>
      <c r="AB15" s="1556">
        <f t="shared" si="4"/>
        <v>1</v>
      </c>
      <c r="AC15" s="1556">
        <f t="shared" si="5"/>
        <v>1</v>
      </c>
    </row>
    <row r="16" spans="1:29" ht="15.6"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89"/>
      <c r="Q16" s="1145">
        <f t="shared" si="6"/>
        <v>111</v>
      </c>
      <c r="R16" s="1553" t="s">
        <v>8</v>
      </c>
      <c r="S16" s="1554">
        <f t="shared" si="0"/>
        <v>100</v>
      </c>
      <c r="T16" s="1553" t="s">
        <v>8</v>
      </c>
      <c r="U16" s="1554">
        <f t="shared" si="1"/>
        <v>100</v>
      </c>
      <c r="V16" s="1553" t="s">
        <v>8</v>
      </c>
      <c r="W16" s="1554">
        <f t="shared" si="2"/>
        <v>100</v>
      </c>
      <c r="X16" s="1555"/>
      <c r="Y16" s="3346"/>
      <c r="Z16" s="1144">
        <f t="shared" si="7"/>
        <v>111</v>
      </c>
      <c r="AA16" s="1556">
        <f t="shared" si="3"/>
        <v>1</v>
      </c>
      <c r="AB16" s="1556">
        <f t="shared" si="4"/>
        <v>1</v>
      </c>
      <c r="AC16" s="1556">
        <f t="shared" si="5"/>
        <v>1</v>
      </c>
    </row>
    <row r="17" spans="1:29" ht="69">
      <c r="A17" s="2863" t="s">
        <v>2753</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391" t="s">
        <v>540</v>
      </c>
      <c r="Q17" s="1557" t="str">
        <f t="shared" si="6"/>
        <v>产业集聚程度</v>
      </c>
      <c r="R17" s="1558" t="s">
        <v>8</v>
      </c>
      <c r="S17" s="1559">
        <f t="shared" si="0"/>
        <v>100</v>
      </c>
      <c r="T17" s="1558" t="s">
        <v>8</v>
      </c>
      <c r="U17" s="1559">
        <f t="shared" si="1"/>
        <v>100</v>
      </c>
      <c r="V17" s="1558" t="s">
        <v>8</v>
      </c>
      <c r="W17" s="1559">
        <f t="shared" si="2"/>
        <v>100</v>
      </c>
      <c r="X17" s="1552"/>
      <c r="Y17" s="3391"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5"/>
      <c r="M18" s="2117"/>
      <c r="N18" s="2117"/>
      <c r="O18" s="2124"/>
      <c r="P18" s="3392"/>
      <c r="Q18" s="1557"/>
      <c r="R18" s="1558"/>
      <c r="S18" s="1559"/>
      <c r="T18" s="1558"/>
      <c r="U18" s="1559"/>
      <c r="V18" s="1558"/>
      <c r="W18" s="1559"/>
      <c r="X18" s="1552"/>
      <c r="Y18" s="3392"/>
      <c r="Z18" s="1560"/>
      <c r="AA18" s="1561">
        <v>1</v>
      </c>
      <c r="AB18" s="1561">
        <v>1</v>
      </c>
      <c r="AC18" s="1561">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392"/>
      <c r="Q19" s="1557" t="str">
        <f>B19</f>
        <v>交通便捷度</v>
      </c>
      <c r="R19" s="1558" t="s">
        <v>8</v>
      </c>
      <c r="S19" s="1559">
        <f>F19</f>
        <v>100</v>
      </c>
      <c r="T19" s="1558" t="s">
        <v>8</v>
      </c>
      <c r="U19" s="1559">
        <f>H19</f>
        <v>100</v>
      </c>
      <c r="V19" s="1558" t="s">
        <v>8</v>
      </c>
      <c r="W19" s="1559">
        <f>J19</f>
        <v>100</v>
      </c>
      <c r="X19" s="1552"/>
      <c r="Y19" s="3392"/>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5"/>
      <c r="M20" s="2117"/>
      <c r="N20" s="2117"/>
      <c r="O20" s="2124"/>
      <c r="P20" s="3392"/>
      <c r="Q20" s="1557"/>
      <c r="R20" s="1558"/>
      <c r="S20" s="1559"/>
      <c r="T20" s="1558"/>
      <c r="U20" s="1559"/>
      <c r="V20" s="1558"/>
      <c r="W20" s="1559"/>
      <c r="X20" s="1552"/>
      <c r="Y20" s="3392"/>
      <c r="Z20" s="1560"/>
      <c r="AA20" s="1561">
        <v>1</v>
      </c>
      <c r="AB20" s="1561">
        <v>1</v>
      </c>
      <c r="AC20" s="1561">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5"/>
      <c r="M21" s="2117"/>
      <c r="N21" s="2117"/>
      <c r="O21" s="2124"/>
      <c r="P21" s="3392"/>
      <c r="Q21" s="1557" t="str">
        <f t="shared" ref="Q21:Q35" si="8">B21</f>
        <v>区域土地利用方向</v>
      </c>
      <c r="R21" s="1558" t="s">
        <v>8</v>
      </c>
      <c r="S21" s="1559">
        <f>F21</f>
        <v>100</v>
      </c>
      <c r="T21" s="1558" t="s">
        <v>8</v>
      </c>
      <c r="U21" s="1559">
        <f>H21</f>
        <v>100</v>
      </c>
      <c r="V21" s="1558" t="s">
        <v>8</v>
      </c>
      <c r="W21" s="1559">
        <f>J21</f>
        <v>100</v>
      </c>
      <c r="X21" s="1552"/>
      <c r="Y21" s="3392"/>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5"/>
      <c r="M22" s="2117"/>
      <c r="N22" s="2117"/>
      <c r="O22" s="2124"/>
      <c r="P22" s="3392"/>
      <c r="Q22" s="1557"/>
      <c r="R22" s="1558"/>
      <c r="S22" s="1559"/>
      <c r="T22" s="1558"/>
      <c r="U22" s="1559"/>
      <c r="V22" s="1558"/>
      <c r="W22" s="1559"/>
      <c r="X22" s="1552"/>
      <c r="Y22" s="3392"/>
      <c r="Z22" s="1560"/>
      <c r="AA22" s="1561"/>
      <c r="AB22" s="1561"/>
      <c r="AC22" s="1561"/>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392"/>
      <c r="Q23" s="1557" t="str">
        <f t="shared" si="8"/>
        <v>环境状况</v>
      </c>
      <c r="R23" s="1558" t="s">
        <v>8</v>
      </c>
      <c r="S23" s="1559">
        <f>F23</f>
        <v>100</v>
      </c>
      <c r="T23" s="1558" t="s">
        <v>8</v>
      </c>
      <c r="U23" s="1559">
        <f>H23</f>
        <v>100</v>
      </c>
      <c r="V23" s="1558" t="s">
        <v>8</v>
      </c>
      <c r="W23" s="1559">
        <f>J23</f>
        <v>100</v>
      </c>
      <c r="X23" s="1552"/>
      <c r="Y23" s="3392"/>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5"/>
      <c r="M24" s="2117"/>
      <c r="N24" s="2117"/>
      <c r="O24" s="2124"/>
      <c r="P24" s="3392"/>
      <c r="Q24" s="1557"/>
      <c r="R24" s="1558"/>
      <c r="S24" s="1559"/>
      <c r="T24" s="1558"/>
      <c r="U24" s="1559"/>
      <c r="V24" s="1558"/>
      <c r="W24" s="1559"/>
      <c r="X24" s="1552"/>
      <c r="Y24" s="3392"/>
      <c r="Z24" s="1560"/>
      <c r="AA24" s="1561">
        <v>1</v>
      </c>
      <c r="AB24" s="1561">
        <v>1</v>
      </c>
      <c r="AC24" s="1561">
        <v>1</v>
      </c>
    </row>
    <row r="25" spans="1:29" s="1214" customFormat="1" ht="41.4">
      <c r="A25" s="576"/>
      <c r="B25" s="2555"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392"/>
      <c r="Q25" s="1145" t="str">
        <f t="shared" si="8"/>
        <v>公共配套设施</v>
      </c>
      <c r="R25" s="1553" t="s">
        <v>8</v>
      </c>
      <c r="S25" s="1554">
        <f>F25</f>
        <v>100</v>
      </c>
      <c r="T25" s="1553" t="s">
        <v>8</v>
      </c>
      <c r="U25" s="1554">
        <f>H25</f>
        <v>100</v>
      </c>
      <c r="V25" s="1553" t="s">
        <v>8</v>
      </c>
      <c r="W25" s="1554">
        <f>J25</f>
        <v>100</v>
      </c>
      <c r="X25" s="1555"/>
      <c r="Y25" s="3392"/>
      <c r="Z25" s="1144" t="str">
        <f>Q25</f>
        <v>公共配套设施</v>
      </c>
      <c r="AA25" s="1561">
        <f>D25/F25</f>
        <v>1</v>
      </c>
      <c r="AB25" s="1561">
        <f>D25/H25</f>
        <v>1</v>
      </c>
      <c r="AC25" s="1561">
        <f>D25/J25</f>
        <v>1</v>
      </c>
    </row>
    <row r="26" spans="1:29" s="1214" customFormat="1" ht="15">
      <c r="A26" s="576"/>
      <c r="B26" s="594"/>
      <c r="C26" s="2554"/>
      <c r="D26" s="554"/>
      <c r="E26" s="553"/>
      <c r="F26" s="554"/>
      <c r="G26" s="553"/>
      <c r="H26" s="554"/>
      <c r="I26" s="575"/>
      <c r="J26" s="554"/>
      <c r="K26" s="530"/>
      <c r="L26" s="2118"/>
      <c r="M26" s="2119"/>
      <c r="N26" s="2119"/>
      <c r="O26" s="2120"/>
      <c r="P26" s="3392"/>
      <c r="Q26" s="1145"/>
      <c r="R26" s="1553"/>
      <c r="S26" s="1554"/>
      <c r="T26" s="1553"/>
      <c r="U26" s="1554"/>
      <c r="V26" s="1553"/>
      <c r="W26" s="1554"/>
      <c r="X26" s="1555"/>
      <c r="Y26" s="3392"/>
      <c r="Z26" s="1144"/>
      <c r="AA26" s="1556">
        <v>1</v>
      </c>
      <c r="AB26" s="1556">
        <v>1</v>
      </c>
      <c r="AC26" s="1556">
        <v>1</v>
      </c>
    </row>
    <row r="27" spans="1:29" s="1214" customFormat="1" ht="41.4">
      <c r="A27" s="576"/>
      <c r="B27" s="2555"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392"/>
      <c r="Q27" s="2540" t="str">
        <f t="shared" ref="Q27" si="9">B27</f>
        <v>基础设施水平</v>
      </c>
      <c r="R27" s="1553" t="s">
        <v>8</v>
      </c>
      <c r="S27" s="1554">
        <f>F27</f>
        <v>100</v>
      </c>
      <c r="T27" s="1553" t="s">
        <v>8</v>
      </c>
      <c r="U27" s="1554">
        <f>H27</f>
        <v>100</v>
      </c>
      <c r="V27" s="1553" t="s">
        <v>8</v>
      </c>
      <c r="W27" s="1554">
        <f>J27</f>
        <v>100</v>
      </c>
      <c r="X27" s="1555"/>
      <c r="Y27" s="3392"/>
      <c r="Z27" s="2537" t="str">
        <f>Q27</f>
        <v>基础设施水平</v>
      </c>
      <c r="AA27" s="1561">
        <f>D27/F27</f>
        <v>1</v>
      </c>
      <c r="AB27" s="1561">
        <f>D27/H27</f>
        <v>1</v>
      </c>
      <c r="AC27" s="1561">
        <f>D27/J27</f>
        <v>1</v>
      </c>
    </row>
    <row r="28" spans="1:29" s="1214" customFormat="1" ht="15">
      <c r="A28" s="576"/>
      <c r="B28" s="594"/>
      <c r="C28" s="2554"/>
      <c r="D28" s="554"/>
      <c r="E28" s="578"/>
      <c r="F28" s="554"/>
      <c r="G28" s="578"/>
      <c r="H28" s="554"/>
      <c r="I28" s="578"/>
      <c r="J28" s="554"/>
      <c r="K28" s="530"/>
      <c r="L28" s="2118"/>
      <c r="M28" s="2119"/>
      <c r="N28" s="2119"/>
      <c r="O28" s="2120"/>
      <c r="P28" s="3392"/>
      <c r="Q28" s="2540"/>
      <c r="R28" s="1553"/>
      <c r="S28" s="1554"/>
      <c r="T28" s="1553"/>
      <c r="U28" s="1554"/>
      <c r="V28" s="1553"/>
      <c r="W28" s="1554"/>
      <c r="X28" s="1555"/>
      <c r="Y28" s="3392"/>
      <c r="Z28" s="2537"/>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392"/>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2"/>
      <c r="Z29" s="1560" t="str">
        <f t="shared" ref="Z29:Z42" si="13">Q29</f>
        <v>临街状况</v>
      </c>
      <c r="AA29" s="1561">
        <f t="shared" si="3"/>
        <v>1</v>
      </c>
      <c r="AB29" s="1561">
        <f t="shared" si="4"/>
        <v>1</v>
      </c>
      <c r="AC29" s="1561">
        <f t="shared" si="5"/>
        <v>1</v>
      </c>
    </row>
    <row r="30" spans="1:29" ht="28.8">
      <c r="A30" s="531"/>
      <c r="B30" s="920"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392"/>
      <c r="Q30" s="1557" t="str">
        <f t="shared" si="8"/>
        <v>毗邻道路的类型与等级</v>
      </c>
      <c r="R30" s="1558" t="s">
        <v>8</v>
      </c>
      <c r="S30" s="1559">
        <f t="shared" si="10"/>
        <v>100</v>
      </c>
      <c r="T30" s="1558" t="s">
        <v>8</v>
      </c>
      <c r="U30" s="1559">
        <f t="shared" si="11"/>
        <v>100</v>
      </c>
      <c r="V30" s="1558" t="s">
        <v>8</v>
      </c>
      <c r="W30" s="1559">
        <f t="shared" si="12"/>
        <v>100</v>
      </c>
      <c r="X30" s="1552"/>
      <c r="Y30" s="3392"/>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5"/>
      <c r="M31" s="2117"/>
      <c r="N31" s="2117"/>
      <c r="O31" s="2124"/>
      <c r="P31" s="3392"/>
      <c r="Q31" s="1557"/>
      <c r="R31" s="1558"/>
      <c r="S31" s="1559"/>
      <c r="T31" s="1558"/>
      <c r="U31" s="1559"/>
      <c r="V31" s="1558"/>
      <c r="W31" s="1559"/>
      <c r="X31" s="1552"/>
      <c r="Y31" s="3392"/>
      <c r="Z31" s="1560"/>
      <c r="AA31" s="1561">
        <v>1</v>
      </c>
      <c r="AB31" s="1561">
        <v>1</v>
      </c>
      <c r="AC31" s="1561">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392"/>
      <c r="Q32" s="1557" t="str">
        <f t="shared" si="8"/>
        <v>土地级别</v>
      </c>
      <c r="R32" s="1558" t="s">
        <v>8</v>
      </c>
      <c r="S32" s="1559">
        <f t="shared" si="10"/>
        <v>100</v>
      </c>
      <c r="T32" s="1558" t="s">
        <v>8</v>
      </c>
      <c r="U32" s="1559">
        <f t="shared" si="11"/>
        <v>100</v>
      </c>
      <c r="V32" s="1558" t="s">
        <v>8</v>
      </c>
      <c r="W32" s="1559">
        <f t="shared" si="12"/>
        <v>100</v>
      </c>
      <c r="X32" s="1552"/>
      <c r="Y32" s="3392"/>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392"/>
      <c r="Q33" s="1557">
        <f t="shared" si="8"/>
        <v>111</v>
      </c>
      <c r="R33" s="1558" t="s">
        <v>8</v>
      </c>
      <c r="S33" s="1559">
        <f t="shared" si="10"/>
        <v>100</v>
      </c>
      <c r="T33" s="1558" t="s">
        <v>8</v>
      </c>
      <c r="U33" s="1559">
        <f t="shared" si="11"/>
        <v>100</v>
      </c>
      <c r="V33" s="1558" t="s">
        <v>8</v>
      </c>
      <c r="W33" s="1559">
        <f t="shared" si="12"/>
        <v>100</v>
      </c>
      <c r="X33" s="1552"/>
      <c r="Y33" s="3392"/>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393" t="s">
        <v>550</v>
      </c>
      <c r="Q34" s="1557">
        <f t="shared" si="8"/>
        <v>111</v>
      </c>
      <c r="R34" s="1558" t="s">
        <v>8</v>
      </c>
      <c r="S34" s="1559">
        <f t="shared" si="10"/>
        <v>100</v>
      </c>
      <c r="T34" s="1558" t="s">
        <v>8</v>
      </c>
      <c r="U34" s="1559">
        <f t="shared" si="11"/>
        <v>100</v>
      </c>
      <c r="V34" s="1558" t="s">
        <v>8</v>
      </c>
      <c r="W34" s="1559">
        <f t="shared" si="12"/>
        <v>100</v>
      </c>
      <c r="X34" s="1552"/>
      <c r="Y34" s="3394" t="s">
        <v>550</v>
      </c>
      <c r="Z34" s="1560">
        <f t="shared" si="13"/>
        <v>111</v>
      </c>
      <c r="AA34" s="1561">
        <f t="shared" si="3"/>
        <v>1</v>
      </c>
      <c r="AB34" s="1561">
        <f t="shared" si="4"/>
        <v>1</v>
      </c>
      <c r="AC34" s="1561">
        <f t="shared" si="5"/>
        <v>1</v>
      </c>
    </row>
    <row r="35" spans="1:29" s="1333" customFormat="1" ht="15.6"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394"/>
      <c r="Q35" s="1557">
        <f t="shared" si="8"/>
        <v>111</v>
      </c>
      <c r="R35" s="1562" t="s">
        <v>8</v>
      </c>
      <c r="S35" s="1563">
        <f t="shared" si="10"/>
        <v>100</v>
      </c>
      <c r="T35" s="1562" t="s">
        <v>8</v>
      </c>
      <c r="U35" s="1563">
        <f t="shared" si="11"/>
        <v>100</v>
      </c>
      <c r="V35" s="1562" t="s">
        <v>8</v>
      </c>
      <c r="W35" s="1563">
        <f t="shared" si="12"/>
        <v>100</v>
      </c>
      <c r="X35" s="1564"/>
      <c r="Y35" s="3394"/>
      <c r="Z35" s="1565">
        <f t="shared" si="13"/>
        <v>111</v>
      </c>
      <c r="AA35" s="1561">
        <f t="shared" si="3"/>
        <v>1</v>
      </c>
      <c r="AB35" s="1561">
        <f t="shared" si="4"/>
        <v>1</v>
      </c>
      <c r="AC35" s="1561">
        <f t="shared" si="5"/>
        <v>1</v>
      </c>
    </row>
    <row r="36" spans="1:29" ht="15">
      <c r="A36" s="2860"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394"/>
      <c r="Q36" s="1557" t="str">
        <f>B36</f>
        <v>宗地面积</v>
      </c>
      <c r="R36" s="1558" t="s">
        <v>8</v>
      </c>
      <c r="S36" s="1559" t="e">
        <f t="shared" si="10"/>
        <v>#N/A</v>
      </c>
      <c r="T36" s="1558" t="s">
        <v>8</v>
      </c>
      <c r="U36" s="1559" t="e">
        <f t="shared" si="11"/>
        <v>#N/A</v>
      </c>
      <c r="V36" s="1558" t="s">
        <v>8</v>
      </c>
      <c r="W36" s="1559" t="e">
        <f t="shared" si="12"/>
        <v>#N/A</v>
      </c>
      <c r="X36" s="1552"/>
      <c r="Y36" s="3394"/>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394"/>
      <c r="Q37" s="1557" t="str">
        <f t="shared" ref="Q37:Q42" si="14">B37</f>
        <v>宗地形状</v>
      </c>
      <c r="R37" s="1558" t="s">
        <v>8</v>
      </c>
      <c r="S37" s="1559">
        <f t="shared" si="10"/>
        <v>100</v>
      </c>
      <c r="T37" s="1558" t="s">
        <v>8</v>
      </c>
      <c r="U37" s="1559">
        <f t="shared" si="11"/>
        <v>100</v>
      </c>
      <c r="V37" s="1558" t="s">
        <v>8</v>
      </c>
      <c r="W37" s="1559">
        <f t="shared" si="12"/>
        <v>100</v>
      </c>
      <c r="X37" s="1552"/>
      <c r="Y37" s="3394"/>
      <c r="Z37" s="1560" t="str">
        <f t="shared" si="13"/>
        <v>宗地形状</v>
      </c>
      <c r="AA37" s="1561">
        <f t="shared" si="3"/>
        <v>1</v>
      </c>
      <c r="AB37" s="1561">
        <f t="shared" si="4"/>
        <v>1</v>
      </c>
      <c r="AC37" s="1561">
        <f t="shared" si="5"/>
        <v>1</v>
      </c>
    </row>
    <row r="38" spans="1:29" s="1214" customFormat="1" ht="15">
      <c r="A38" s="599"/>
      <c r="B38" s="1878"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394"/>
      <c r="Q38" s="1557" t="str">
        <f t="shared" si="14"/>
        <v>宗地开发程度</v>
      </c>
      <c r="R38" s="1553" t="s">
        <v>8</v>
      </c>
      <c r="S38" s="1554">
        <f t="shared" si="10"/>
        <v>100</v>
      </c>
      <c r="T38" s="1553" t="s">
        <v>8</v>
      </c>
      <c r="U38" s="1554">
        <f t="shared" si="11"/>
        <v>100</v>
      </c>
      <c r="V38" s="1553" t="s">
        <v>8</v>
      </c>
      <c r="W38" s="1554">
        <f t="shared" si="12"/>
        <v>100</v>
      </c>
      <c r="X38" s="1555"/>
      <c r="Y38" s="3394"/>
      <c r="Z38" s="1144"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394" t="s">
        <v>601</v>
      </c>
      <c r="Q39" s="1557" t="str">
        <f t="shared" si="14"/>
        <v>工程地质条件</v>
      </c>
      <c r="R39" s="1558" t="s">
        <v>8</v>
      </c>
      <c r="S39" s="1559">
        <f t="shared" si="10"/>
        <v>100</v>
      </c>
      <c r="T39" s="1558" t="s">
        <v>8</v>
      </c>
      <c r="U39" s="1559">
        <f t="shared" si="11"/>
        <v>100</v>
      </c>
      <c r="V39" s="1558" t="s">
        <v>8</v>
      </c>
      <c r="W39" s="1559">
        <f t="shared" si="12"/>
        <v>100</v>
      </c>
      <c r="X39" s="1552"/>
      <c r="Y39" s="3394"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394"/>
      <c r="Q40" s="1557">
        <f t="shared" si="14"/>
        <v>111</v>
      </c>
      <c r="R40" s="1558" t="s">
        <v>8</v>
      </c>
      <c r="S40" s="1559">
        <f t="shared" si="10"/>
        <v>100</v>
      </c>
      <c r="T40" s="1558" t="s">
        <v>8</v>
      </c>
      <c r="U40" s="1559">
        <f t="shared" si="11"/>
        <v>100</v>
      </c>
      <c r="V40" s="1558" t="s">
        <v>8</v>
      </c>
      <c r="W40" s="1559">
        <f t="shared" si="12"/>
        <v>100</v>
      </c>
      <c r="X40" s="1552"/>
      <c r="Y40" s="3394"/>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394"/>
      <c r="Q41" s="1557">
        <f t="shared" si="14"/>
        <v>111</v>
      </c>
      <c r="R41" s="1558" t="s">
        <v>8</v>
      </c>
      <c r="S41" s="1559">
        <f t="shared" si="10"/>
        <v>100</v>
      </c>
      <c r="T41" s="1558" t="s">
        <v>8</v>
      </c>
      <c r="U41" s="1559">
        <f t="shared" si="11"/>
        <v>100</v>
      </c>
      <c r="V41" s="1558" t="s">
        <v>8</v>
      </c>
      <c r="W41" s="1559">
        <f t="shared" si="12"/>
        <v>100</v>
      </c>
      <c r="X41" s="1552"/>
      <c r="Y41" s="3394"/>
      <c r="Z41" s="1560">
        <f t="shared" si="13"/>
        <v>111</v>
      </c>
      <c r="AA41" s="1561">
        <f t="shared" si="3"/>
        <v>1</v>
      </c>
      <c r="AB41" s="1561">
        <f t="shared" si="4"/>
        <v>1</v>
      </c>
      <c r="AC41" s="1561">
        <f t="shared" si="5"/>
        <v>1</v>
      </c>
    </row>
    <row r="42" spans="1:29" s="1333"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394"/>
      <c r="Q42" s="1557">
        <f t="shared" si="14"/>
        <v>111</v>
      </c>
      <c r="R42" s="1562" t="s">
        <v>8</v>
      </c>
      <c r="S42" s="1563">
        <f t="shared" si="10"/>
        <v>100</v>
      </c>
      <c r="T42" s="1562" t="s">
        <v>8</v>
      </c>
      <c r="U42" s="1563">
        <f t="shared" si="11"/>
        <v>100</v>
      </c>
      <c r="V42" s="1562" t="s">
        <v>8</v>
      </c>
      <c r="W42" s="1563">
        <f t="shared" si="12"/>
        <v>100</v>
      </c>
      <c r="X42" s="1564"/>
      <c r="Y42" s="3394"/>
      <c r="Z42" s="1565">
        <f t="shared" si="13"/>
        <v>111</v>
      </c>
      <c r="AA42" s="1561">
        <f t="shared" si="3"/>
        <v>1</v>
      </c>
      <c r="AB42" s="1561">
        <f t="shared" si="4"/>
        <v>1</v>
      </c>
      <c r="AC42" s="1561">
        <f t="shared" si="5"/>
        <v>1</v>
      </c>
    </row>
    <row r="43" spans="1:29" ht="14.4">
      <c r="A43" s="606" t="s">
        <v>556</v>
      </c>
      <c r="B43" s="607" t="s">
        <v>2929</v>
      </c>
      <c r="C43" s="608" t="s">
        <v>1</v>
      </c>
      <c r="D43" s="609"/>
      <c r="E43" s="610"/>
      <c r="F43" s="611"/>
      <c r="G43" s="612"/>
      <c r="H43" s="613"/>
      <c r="I43" s="610"/>
      <c r="J43" s="613"/>
      <c r="K43" s="1334"/>
      <c r="L43" s="2127"/>
      <c r="M43" s="2117"/>
      <c r="N43" s="2117"/>
      <c r="O43" s="2128"/>
      <c r="P43" s="3389" t="str">
        <f>A43</f>
        <v>成交单价</v>
      </c>
      <c r="Q43" s="3389"/>
      <c r="R43" s="3403">
        <f>E43</f>
        <v>0</v>
      </c>
      <c r="S43" s="3403"/>
      <c r="T43" s="3403">
        <f>G43</f>
        <v>0</v>
      </c>
      <c r="U43" s="3403"/>
      <c r="V43" s="3403">
        <f>I43</f>
        <v>0</v>
      </c>
      <c r="W43" s="3403"/>
      <c r="X43" s="1544"/>
      <c r="Y43" s="1566"/>
      <c r="Z43" s="1544"/>
      <c r="AA43" s="1544"/>
      <c r="AB43" s="1544"/>
      <c r="AC43" s="1544"/>
    </row>
    <row r="44" spans="1:29" ht="15" thickBot="1">
      <c r="A44" s="614" t="s">
        <v>2692</v>
      </c>
      <c r="B44" s="615"/>
      <c r="C44" s="616" t="e">
        <f>R45</f>
        <v>#DIV/0!</v>
      </c>
      <c r="D44" s="617"/>
      <c r="E44" s="616" t="e">
        <f>R44</f>
        <v>#DIV/0!</v>
      </c>
      <c r="F44" s="618"/>
      <c r="G44" s="619" t="e">
        <f>T44</f>
        <v>#DIV/0!</v>
      </c>
      <c r="H44" s="617"/>
      <c r="I44" s="616" t="e">
        <f>V44</f>
        <v>#DIV/0!</v>
      </c>
      <c r="J44" s="617"/>
      <c r="K44" s="1335"/>
      <c r="L44" s="2127"/>
      <c r="M44" s="2117"/>
      <c r="N44" s="2117"/>
      <c r="O44" s="2128"/>
      <c r="P44" s="3389" t="str">
        <f>A44</f>
        <v>比较价格（元/平方米）</v>
      </c>
      <c r="Q44" s="3389"/>
      <c r="R44" s="3414" t="e">
        <f>ROUND(PRODUCT(R43,AA9:AA42),0)</f>
        <v>#DIV/0!</v>
      </c>
      <c r="S44" s="3414"/>
      <c r="T44" s="3414" t="e">
        <f>ROUND(PRODUCT(T43,AB9:AB42),0)</f>
        <v>#DIV/0!</v>
      </c>
      <c r="U44" s="3414"/>
      <c r="V44" s="3414" t="e">
        <f>ROUND(PRODUCT(V43,AC9:AC42),0)</f>
        <v>#DIV/0!</v>
      </c>
      <c r="W44" s="3414"/>
      <c r="X44" s="1544"/>
      <c r="Y44" s="1544"/>
      <c r="Z44" s="1544"/>
      <c r="AA44" s="1544"/>
      <c r="AB44" s="1544"/>
      <c r="AC44" s="1544"/>
    </row>
    <row r="45" spans="1:29" ht="15" thickBot="1">
      <c r="A45" s="620" t="s">
        <v>2930</v>
      </c>
      <c r="B45" s="621"/>
      <c r="C45" s="622" t="e">
        <f>R45</f>
        <v>#DIV/0!</v>
      </c>
      <c r="D45" s="622"/>
      <c r="E45" s="622"/>
      <c r="F45" s="622"/>
      <c r="G45" s="622"/>
      <c r="H45" s="622"/>
      <c r="I45" s="622"/>
      <c r="J45" s="622"/>
      <c r="K45" s="1336"/>
      <c r="L45" s="2127"/>
      <c r="M45" s="2117"/>
      <c r="N45" s="2117"/>
      <c r="O45" s="2128"/>
      <c r="P45" s="3411" t="str">
        <f>A45</f>
        <v>估价对象XX用房的比较价格（楼面单价，元/平方米）</v>
      </c>
      <c r="Q45" s="3412"/>
      <c r="R45" s="3413" t="e">
        <f>ROUND(AVERAGE(R44:V44),0)</f>
        <v>#DIV/0!</v>
      </c>
      <c r="S45" s="3413"/>
      <c r="T45" s="3413"/>
      <c r="U45" s="3413"/>
      <c r="V45" s="3413"/>
      <c r="W45" s="3413"/>
      <c r="X45" s="1544"/>
      <c r="Y45" s="1544"/>
      <c r="Z45" s="1544"/>
      <c r="AA45" s="1544"/>
      <c r="AB45" s="1544"/>
      <c r="AC45" s="1544"/>
    </row>
    <row r="46" spans="1:29">
      <c r="A46" s="2128"/>
      <c r="B46" s="2128"/>
      <c r="C46" s="2128"/>
      <c r="D46" s="2128"/>
      <c r="E46" s="2128"/>
      <c r="F46" s="2128"/>
      <c r="G46" s="2131"/>
      <c r="H46" s="2128"/>
      <c r="I46" s="2128"/>
      <c r="J46" s="2128"/>
      <c r="K46" s="2132"/>
      <c r="L46" s="2133"/>
      <c r="M46" s="2117"/>
      <c r="N46" s="2117"/>
      <c r="O46" s="2128"/>
      <c r="P46" s="1544"/>
      <c r="Q46" s="1544"/>
      <c r="R46" s="1544"/>
      <c r="S46" s="1544"/>
      <c r="T46" s="1544"/>
      <c r="U46" s="1544"/>
      <c r="V46" s="1544"/>
      <c r="W46" s="1544"/>
      <c r="X46" s="1544"/>
      <c r="Y46" s="1544"/>
      <c r="Z46" s="1544"/>
      <c r="AA46" s="1544"/>
      <c r="AB46" s="1544"/>
      <c r="AC46" s="1544"/>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8" t="s">
        <v>560</v>
      </c>
      <c r="B52" s="629" t="s">
        <v>561</v>
      </c>
      <c r="C52" s="1545" t="s">
        <v>1724</v>
      </c>
      <c r="D52" s="2210" t="s">
        <v>2293</v>
      </c>
      <c r="E52" s="630" t="s">
        <v>562</v>
      </c>
      <c r="F52" s="1934" t="s">
        <v>563</v>
      </c>
      <c r="G52" s="3415" t="s">
        <v>2284</v>
      </c>
      <c r="H52" s="3416"/>
      <c r="I52" s="1935" t="s">
        <v>1945</v>
      </c>
      <c r="J52" s="1540" t="str">
        <f>项目基本情况!F41</f>
        <v>河南省郑州市金水区</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3.2">
      <c r="A53" s="632" t="s">
        <v>564</v>
      </c>
      <c r="B53" s="633" t="e">
        <f>C45</f>
        <v>#DIV/0!</v>
      </c>
      <c r="C53" s="634">
        <v>1</v>
      </c>
      <c r="D53" s="2211">
        <v>1</v>
      </c>
      <c r="E53" s="634">
        <f>'数据-汇总表'!E8+'数据-汇总表'!E9</f>
        <v>48777.570000000007</v>
      </c>
      <c r="F53" s="1933" t="e">
        <f t="shared" ref="F53:F62" si="15">ROUND(B53*E53/10000,0)</f>
        <v>#DIV/0!</v>
      </c>
      <c r="G53" s="3417"/>
      <c r="H53" s="3418"/>
      <c r="I53" s="1936">
        <v>1</v>
      </c>
      <c r="J53" s="1541">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3.2">
      <c r="A54" s="636" t="s">
        <v>565</v>
      </c>
      <c r="B54" s="637" t="e">
        <f>ROUND($C$45*C54*D54,0)</f>
        <v>#DIV/0!</v>
      </c>
      <c r="C54" s="377">
        <f t="shared" ref="C54:C62" si="16">IF($C$52="北京市系数",I54,J54)</f>
        <v>0</v>
      </c>
      <c r="D54" s="2212">
        <v>0.25</v>
      </c>
      <c r="E54" s="638"/>
      <c r="F54" s="1933" t="e">
        <f t="shared" si="15"/>
        <v>#DIV/0!</v>
      </c>
      <c r="G54" s="3419" t="s">
        <v>2285</v>
      </c>
      <c r="H54" s="1937">
        <f>项目基本情况!B43</f>
        <v>0</v>
      </c>
      <c r="I54" s="1936">
        <f>SUMIF(修正!$A$45:$A$56,H54,修正!B45:B56)</f>
        <v>0</v>
      </c>
      <c r="J54" s="1543"/>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3.2">
      <c r="A55" s="636" t="s">
        <v>566</v>
      </c>
      <c r="B55" s="637" t="e">
        <f t="shared" ref="B55:B62" si="17">ROUND($C$45*C55*D55,0)</f>
        <v>#DIV/0!</v>
      </c>
      <c r="C55" s="377">
        <f t="shared" si="16"/>
        <v>0</v>
      </c>
      <c r="D55" s="2212">
        <v>0.25</v>
      </c>
      <c r="E55" s="638"/>
      <c r="F55" s="1933" t="e">
        <f t="shared" si="15"/>
        <v>#DIV/0!</v>
      </c>
      <c r="G55" s="3419"/>
      <c r="H55" s="1938">
        <f>项目基本情况!B43</f>
        <v>0</v>
      </c>
      <c r="I55" s="1936">
        <f>SUMIF(修正!$A$45:$A$56,H55,修正!C45:C56)</f>
        <v>0</v>
      </c>
      <c r="J55" s="1543"/>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3.2">
      <c r="A56" s="636" t="s">
        <v>567</v>
      </c>
      <c r="B56" s="637" t="e">
        <f t="shared" si="17"/>
        <v>#DIV/0!</v>
      </c>
      <c r="C56" s="377">
        <f t="shared" si="16"/>
        <v>0</v>
      </c>
      <c r="D56" s="2212">
        <v>0.25</v>
      </c>
      <c r="E56" s="638"/>
      <c r="F56" s="1933" t="e">
        <f t="shared" si="15"/>
        <v>#DIV/0!</v>
      </c>
      <c r="G56" s="3419"/>
      <c r="H56" s="1938">
        <f>项目基本情况!B43</f>
        <v>0</v>
      </c>
      <c r="I56" s="1936">
        <f>SUMIF(修正!$A$45:$A$56,H56,修正!D45:D56)</f>
        <v>0</v>
      </c>
      <c r="J56" s="1543"/>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3.2">
      <c r="A57" s="636" t="s">
        <v>568</v>
      </c>
      <c r="B57" s="637" t="e">
        <f t="shared" si="17"/>
        <v>#DIV/0!</v>
      </c>
      <c r="C57" s="377">
        <f t="shared" si="16"/>
        <v>0</v>
      </c>
      <c r="D57" s="2212">
        <v>0.25</v>
      </c>
      <c r="E57" s="638"/>
      <c r="F57" s="1933" t="e">
        <f t="shared" si="15"/>
        <v>#DIV/0!</v>
      </c>
      <c r="G57" s="3419"/>
      <c r="H57" s="1938">
        <f>项目基本情况!B43</f>
        <v>0</v>
      </c>
      <c r="I57" s="1936">
        <f>SUMIF(修正!$A$45:$A$56,H57,修正!E45:E56)</f>
        <v>0</v>
      </c>
      <c r="J57" s="1543"/>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3.2">
      <c r="A58" s="2314" t="s">
        <v>2328</v>
      </c>
      <c r="B58" s="637" t="e">
        <f t="shared" si="17"/>
        <v>#DIV/0!</v>
      </c>
      <c r="C58" s="377">
        <f t="shared" si="16"/>
        <v>0</v>
      </c>
      <c r="D58" s="2212">
        <v>0.25</v>
      </c>
      <c r="E58" s="640">
        <f>'数据-汇总表'!E11</f>
        <v>55</v>
      </c>
      <c r="F58" s="1933" t="e">
        <f t="shared" si="15"/>
        <v>#DIV/0!</v>
      </c>
      <c r="G58" s="1939" t="s">
        <v>2286</v>
      </c>
      <c r="H58" s="1938">
        <f>项目基本情况!C43</f>
        <v>0</v>
      </c>
      <c r="I58" s="1936">
        <f>SUMIF(修正!$A$45:$A$56,H58,修正!F45:F56)</f>
        <v>0</v>
      </c>
      <c r="J58" s="1543"/>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3.2">
      <c r="A59" s="636" t="s">
        <v>569</v>
      </c>
      <c r="B59" s="637" t="e">
        <f t="shared" si="17"/>
        <v>#DIV/0!</v>
      </c>
      <c r="C59" s="377">
        <f t="shared" si="16"/>
        <v>0</v>
      </c>
      <c r="D59" s="2212">
        <v>0.25</v>
      </c>
      <c r="E59" s="640">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3.2">
      <c r="A60" s="636" t="s">
        <v>570</v>
      </c>
      <c r="B60" s="637" t="e">
        <f t="shared" si="17"/>
        <v>#DIV/0!</v>
      </c>
      <c r="C60" s="377">
        <f t="shared" si="16"/>
        <v>0</v>
      </c>
      <c r="D60" s="2212">
        <v>0.25</v>
      </c>
      <c r="E60" s="640">
        <f>'数据-汇总表'!E13</f>
        <v>16561.07</v>
      </c>
      <c r="F60" s="1933" t="e">
        <f t="shared" si="15"/>
        <v>#DIV/0!</v>
      </c>
      <c r="G60" s="1929" t="s">
        <v>923</v>
      </c>
      <c r="H60" s="1937">
        <f>IF(G60="商业",项目基本情况!B43,IF(G60="办公",项目基本情况!C43,IF(G60="住宅",项目基本情况!D43,项目基本情况!E43)))</f>
        <v>0</v>
      </c>
      <c r="I60" s="1936">
        <f>SUMIF(修正!$A$45:$A$56,H60,修正!H45:H56)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3.2">
      <c r="A61" s="636" t="s">
        <v>571</v>
      </c>
      <c r="B61" s="637" t="e">
        <f t="shared" si="17"/>
        <v>#DIV/0!</v>
      </c>
      <c r="C61" s="377">
        <f t="shared" si="16"/>
        <v>0</v>
      </c>
      <c r="D61" s="2212">
        <v>0.25</v>
      </c>
      <c r="E61" s="640">
        <f>'数据-汇总表'!E14</f>
        <v>0</v>
      </c>
      <c r="F61" s="1933" t="e">
        <f t="shared" si="15"/>
        <v>#DIV/0!</v>
      </c>
      <c r="G61" s="1939" t="s">
        <v>2285</v>
      </c>
      <c r="H61" s="1938">
        <f>项目基本情况!B43</f>
        <v>0</v>
      </c>
      <c r="I61" s="1936">
        <f>SUMIF(修正!$A$45:$A$56,H61,修正!H45:H56)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thickBot="1">
      <c r="A62" s="636" t="s">
        <v>572</v>
      </c>
      <c r="B62" s="637" t="e">
        <f t="shared" si="17"/>
        <v>#DIV/0!</v>
      </c>
      <c r="C62" s="377">
        <f t="shared" si="16"/>
        <v>0</v>
      </c>
      <c r="D62" s="2212">
        <v>0.25</v>
      </c>
      <c r="E62" s="640">
        <f>'数据-汇总表'!E15</f>
        <v>0</v>
      </c>
      <c r="F62" s="1933" t="e">
        <f t="shared" si="15"/>
        <v>#DIV/0!</v>
      </c>
      <c r="G62" s="1940" t="s">
        <v>2286</v>
      </c>
      <c r="H62" s="1941">
        <f>项目基本情况!C43</f>
        <v>0</v>
      </c>
      <c r="I62" s="1936">
        <f>SUMIF(修正!$A$45:$A$56,H62,修正!H45:H56)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thickBot="1">
      <c r="A63" s="641" t="s">
        <v>573</v>
      </c>
      <c r="B63" s="642" t="s">
        <v>17</v>
      </c>
      <c r="C63" s="642" t="s">
        <v>18</v>
      </c>
      <c r="D63" s="642" t="s">
        <v>2294</v>
      </c>
      <c r="E63" s="642">
        <f>IF(B43="楼面地价",SUM(E53:E62),'数据-汇总表'!D3)</f>
        <v>15094.79</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2020-1-1</v>
      </c>
      <c r="D65" s="2752">
        <f>EDATE(C65,-3)</f>
        <v>43739</v>
      </c>
      <c r="E65" s="2752">
        <f t="shared" ref="E65:N65" si="18">EDATE(D65,-3)</f>
        <v>43647</v>
      </c>
      <c r="F65" s="2752">
        <f t="shared" si="18"/>
        <v>43556</v>
      </c>
      <c r="G65" s="2752">
        <f t="shared" si="18"/>
        <v>43466</v>
      </c>
      <c r="H65" s="2752">
        <f t="shared" si="18"/>
        <v>43374</v>
      </c>
      <c r="I65" s="2752">
        <f t="shared" si="18"/>
        <v>43282</v>
      </c>
      <c r="J65" s="2752">
        <f t="shared" si="18"/>
        <v>43191</v>
      </c>
      <c r="K65" s="2752">
        <f t="shared" si="18"/>
        <v>43101</v>
      </c>
      <c r="L65" s="2752">
        <f t="shared" si="18"/>
        <v>43009</v>
      </c>
      <c r="M65" s="2752">
        <f t="shared" si="18"/>
        <v>42917</v>
      </c>
      <c r="N65" s="2752">
        <f t="shared" si="18"/>
        <v>42826</v>
      </c>
      <c r="O65" s="2128"/>
      <c r="P65" s="2128"/>
      <c r="Q65" s="2128"/>
      <c r="R65" s="2128"/>
      <c r="S65" s="2128"/>
      <c r="T65" s="2128"/>
      <c r="U65" s="2128"/>
      <c r="V65" s="2128"/>
      <c r="W65" s="2128"/>
      <c r="X65" s="2128"/>
      <c r="Y65" s="2128"/>
      <c r="Z65" s="2128"/>
      <c r="AA65" s="2128"/>
      <c r="AB65" s="2128"/>
      <c r="AC65" s="2128"/>
    </row>
    <row r="66" spans="1:29" ht="22.2" thickBot="1">
      <c r="A66" s="1569" t="s">
        <v>574</v>
      </c>
      <c r="B66" s="1544"/>
      <c r="C66" s="1568"/>
      <c r="D66" s="1568"/>
      <c r="E66" s="1568"/>
      <c r="F66" s="1570"/>
      <c r="G66" s="1570"/>
      <c r="H66" s="1568"/>
      <c r="I66" s="1568"/>
      <c r="J66" s="1568"/>
      <c r="K66" s="1571"/>
      <c r="L66" s="1567"/>
      <c r="M66" s="1568"/>
      <c r="N66" s="1568"/>
      <c r="O66" s="2140"/>
      <c r="P66" s="2140"/>
      <c r="Q66" s="2141"/>
      <c r="R66" s="2128"/>
      <c r="S66" s="2128"/>
      <c r="T66" s="2128"/>
      <c r="U66" s="2128"/>
      <c r="V66" s="2128"/>
      <c r="W66" s="2128"/>
      <c r="X66" s="2128"/>
      <c r="Y66" s="2128"/>
      <c r="Z66" s="2128"/>
      <c r="AA66" s="2128"/>
      <c r="AB66" s="2128"/>
      <c r="AC66" s="2128"/>
    </row>
    <row r="67" spans="1:29" s="1341" customFormat="1" ht="14.4">
      <c r="A67" s="2530" t="s">
        <v>2532</v>
      </c>
      <c r="B67" s="645"/>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2648</v>
      </c>
      <c r="B68" s="478" t="str">
        <f>"北京市平均增长率"&amp;TEXT(基准地价!P24,"0.00%")</f>
        <v>北京市平均增长率0.00%</v>
      </c>
      <c r="C68" s="892">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4" customFormat="1" ht="1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4.4">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4" customFormat="1" ht="14.4"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ht="14.4">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4.4"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9.4"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4.4"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3" customFormat="1" ht="14.4"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3" customFormat="1" ht="14.4"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3" customFormat="1" ht="14.4"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3" customFormat="1" ht="14.4"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3" customFormat="1" ht="14.4"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3" customFormat="1" ht="14.4"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ht="14.4">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4" customFormat="1" ht="29.4"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4" customFormat="1" ht="14.4"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4" customFormat="1" ht="29.4"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4" customFormat="1" ht="14.4"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3" customFormat="1" ht="15" thickTop="1">
      <c r="A93" s="686"/>
      <c r="B93" s="1879" t="s">
        <v>2547</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3" customFormat="1" ht="14.4"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3" customFormat="1" ht="15" thickTop="1">
      <c r="A95" s="686"/>
      <c r="B95" s="2559" t="s">
        <v>2549</v>
      </c>
      <c r="C95" s="2560" t="s">
        <v>2550</v>
      </c>
      <c r="D95" s="2560" t="s">
        <v>2551</v>
      </c>
      <c r="E95" s="2560" t="s">
        <v>2552</v>
      </c>
      <c r="F95" s="2560" t="s">
        <v>2553</v>
      </c>
      <c r="G95" s="2560" t="s">
        <v>2554</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3" customFormat="1" ht="14.4"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4.4"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4.4"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3" customFormat="1" ht="14.4"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3" customFormat="1" ht="14.4"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7"/>
      <c r="B114" s="1879" t="s">
        <v>2424</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3"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4.4"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4.4"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3" customFormat="1" ht="14.4"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3" customFormat="1" ht="14.4"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2425</v>
      </c>
      <c r="D1" s="1507">
        <f>SUM(D29:D30,D33:D39)</f>
        <v>0</v>
      </c>
      <c r="E1" s="1401" t="s">
        <v>2426</v>
      </c>
      <c r="F1" s="2414"/>
      <c r="G1" s="1396"/>
      <c r="H1" s="1396"/>
      <c r="I1" s="1396"/>
      <c r="J1" s="1396"/>
      <c r="K1" s="1396"/>
      <c r="L1" s="1865" t="s">
        <v>2238</v>
      </c>
      <c r="M1" s="1866">
        <f>SUMPRODUCT((区片价!B5:B9=I2)*(区片价!C3:F3=E2)*(区片价!C5:F9))</f>
        <v>0</v>
      </c>
      <c r="N1" s="1867">
        <f>SUMPRODUCT((因素修正幅度!B5:B9=I2)*(因素修正幅度!C3:F3=E2)*(因素修正幅度!C5:F9))</f>
        <v>0</v>
      </c>
      <c r="O1" s="1396"/>
      <c r="P1" s="1396"/>
      <c r="Q1" s="2172"/>
      <c r="R1" s="2889" t="s">
        <v>2761</v>
      </c>
      <c r="S1" s="2889" t="s">
        <v>2762</v>
      </c>
      <c r="T1" s="2889" t="s">
        <v>2783</v>
      </c>
      <c r="U1" s="2889" t="s">
        <v>2784</v>
      </c>
      <c r="V1" s="2889" t="s">
        <v>2785</v>
      </c>
      <c r="W1" s="2172"/>
      <c r="X1" s="2172"/>
      <c r="Y1" s="2172"/>
      <c r="Z1" s="2172"/>
      <c r="AA1" s="2172"/>
      <c r="AB1" s="2172"/>
      <c r="AC1" s="2173"/>
    </row>
    <row r="2" spans="1:39" ht="15.6">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8" t="s">
        <v>2239</v>
      </c>
      <c r="M2" s="1869">
        <f>SUMPRODUCT((区片价!B10:B28=I2)*(区片价!C3:F3=E2)*(区片价!C10:F28))</f>
        <v>0</v>
      </c>
      <c r="N2" s="1870">
        <f>SUMPRODUCT((因素修正幅度!B10:B28=I2)*(因素修正幅度!C3:F3=E2)*(因素修正幅度!C10:F28))</f>
        <v>0</v>
      </c>
      <c r="O2" s="1405"/>
      <c r="P2" s="1396"/>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6">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8" t="s">
        <v>2240</v>
      </c>
      <c r="M3" s="1869">
        <f>SUMPRODUCT((区片价!B29:B48=I2)*(区片价!C3:F3=E2)*(区片价!C29:F48))</f>
        <v>0</v>
      </c>
      <c r="N3" s="1870">
        <f>SUMPRODUCT((因素修正幅度!B29:B48=I2)*(因素修正幅度!C3:F3=E2)*(因素修正幅度!C29:F48))</f>
        <v>0</v>
      </c>
      <c r="O3" s="1405"/>
      <c r="P3" s="1396"/>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31.2">
      <c r="A4" s="1874" t="s">
        <v>2280</v>
      </c>
      <c r="B4" s="2415" t="e">
        <f>ROUND(B2*10000/F1,0)</f>
        <v>#DIV/0!</v>
      </c>
      <c r="C4" s="1877" t="s">
        <v>2254</v>
      </c>
      <c r="D4" s="1877" t="e">
        <f>ROUND(B2/(F1/666.67),0)</f>
        <v>#DIV/0!</v>
      </c>
      <c r="E4" s="1877" t="s">
        <v>2255</v>
      </c>
      <c r="F4" s="1875"/>
      <c r="G4" s="1875"/>
      <c r="H4" s="1875"/>
      <c r="I4" s="1875"/>
      <c r="J4" s="1876"/>
      <c r="K4" s="3147"/>
      <c r="L4" s="1868" t="s">
        <v>2241</v>
      </c>
      <c r="M4" s="1869">
        <f>SUMPRODUCT((区片价!B49:B75=I2)*(区片价!C3:F3=E2)*(区片价!C49:F75))</f>
        <v>0</v>
      </c>
      <c r="N4" s="1870">
        <f>SUMPRODUCT((因素修正幅度!B49:B75=I2)*(因素修正幅度!C3:F3=E2)*(因素修正幅度!C49:F75))</f>
        <v>0</v>
      </c>
      <c r="O4" s="3147"/>
      <c r="P4" s="1396"/>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6" customFormat="1" ht="15.6" thickBot="1">
      <c r="A5" s="1622" t="s">
        <v>1823</v>
      </c>
      <c r="B5" s="1410" t="s">
        <v>931</v>
      </c>
      <c r="C5" s="1039" t="e">
        <f>ROUND(IF(E2="商业",C6*C7+C16,(IF(E2="住宅",C6*C12+C16,C6+C16))),0)</f>
        <v>#DIV/0!</v>
      </c>
      <c r="D5" s="3068" t="e">
        <f>ROUND(C6+C16,0)</f>
        <v>#DIV/0!</v>
      </c>
      <c r="E5" s="3068"/>
      <c r="F5" s="1411"/>
      <c r="G5" s="1412"/>
      <c r="H5" s="1412"/>
      <c r="I5" s="1412"/>
      <c r="J5" s="1413"/>
      <c r="K5" s="3148"/>
      <c r="L5" s="1868" t="s">
        <v>2242</v>
      </c>
      <c r="M5" s="1869">
        <f>SUMPRODUCT((区片价!B76:B109=I2)*(区片价!C3:F3=E2)*(区片价!C76:F109))</f>
        <v>0</v>
      </c>
      <c r="N5" s="1870">
        <f>SUMPRODUCT((因素修正幅度!B76:B109=I2)*(因素修正幅度!C3:F3=E2)*(因素修正幅度!C76:F109))</f>
        <v>0</v>
      </c>
      <c r="O5" s="3148"/>
      <c r="P5" s="1579"/>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4"/>
      <c r="AE5" s="1414"/>
      <c r="AF5" s="1414"/>
      <c r="AG5" s="1414"/>
      <c r="AH5" s="1414"/>
      <c r="AI5" s="1414"/>
      <c r="AJ5" s="1415"/>
      <c r="AK5" s="1415"/>
      <c r="AL5" s="1415"/>
      <c r="AM5" s="1415"/>
    </row>
    <row r="6" spans="1:39" ht="15.6" thickBot="1">
      <c r="A6" s="1623" t="s">
        <v>1870</v>
      </c>
      <c r="B6" s="1417" t="s">
        <v>931</v>
      </c>
      <c r="C6" s="1040">
        <f>SUMIF(L1:L12,基准地价!G2,M1:M12)</f>
        <v>0</v>
      </c>
      <c r="D6" s="1418" t="s">
        <v>1695</v>
      </c>
      <c r="E6" s="1419"/>
      <c r="F6" s="1419"/>
      <c r="G6" s="1420"/>
      <c r="H6" s="1420"/>
      <c r="I6" s="1420"/>
      <c r="J6" s="1421"/>
      <c r="K6" s="1451"/>
      <c r="L6" s="1868" t="s">
        <v>2243</v>
      </c>
      <c r="M6" s="1869">
        <f>SUMPRODUCT((区片价!B110:B157=I2)*(区片价!C3:F3=E2)*(区片价!C110:F157))</f>
        <v>0</v>
      </c>
      <c r="N6" s="1870">
        <f>SUMPRODUCT((因素修正幅度!B110:B157=I2)*(因素修正幅度!C3:F3=E2)*(因素修正幅度!C110:F157))</f>
        <v>0</v>
      </c>
      <c r="O6" s="1451"/>
      <c r="P6" s="1580"/>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4"/>
      <c r="AE6" s="1414"/>
      <c r="AF6" s="1414"/>
      <c r="AG6" s="1414"/>
      <c r="AH6" s="1414"/>
      <c r="AI6" s="1414"/>
      <c r="AJ6" s="1415"/>
    </row>
    <row r="7" spans="1:39" ht="24">
      <c r="A7" s="3428" t="str">
        <f>IF(E2="商业",IF(C8="不临58条商业街","",2),"")</f>
        <v/>
      </c>
      <c r="B7" s="1422" t="s">
        <v>932</v>
      </c>
      <c r="C7" s="1041" t="e">
        <f>IF(C8="不临58条商业街",1,ROUND(1+(1.6*E8+1.2*E9+0.8*E10+0.4*E11)*C9,4))</f>
        <v>#DIV/0!</v>
      </c>
      <c r="D7" s="1423" t="s">
        <v>933</v>
      </c>
      <c r="E7" s="1042"/>
      <c r="F7" s="1424"/>
      <c r="G7" s="1425"/>
      <c r="H7" s="1425"/>
      <c r="I7" s="1425"/>
      <c r="J7" s="1426"/>
      <c r="K7" s="1451"/>
      <c r="L7" s="1868" t="s">
        <v>2244</v>
      </c>
      <c r="M7" s="1869">
        <f>SUMPRODUCT((区片价!B158:B205=I2)*(区片价!C3:F3=E2)*(区片价!C158:F205))</f>
        <v>0</v>
      </c>
      <c r="N7" s="1870">
        <f>SUMPRODUCT((因素修正幅度!B158:B205=I2)*(因素修正幅度!C3:F3=E2)*(因素修正幅度!C158:F205))</f>
        <v>0</v>
      </c>
      <c r="O7" s="1451"/>
      <c r="P7" s="1580"/>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2764</v>
      </c>
      <c r="X7" s="2880">
        <f>G2</f>
        <v>0</v>
      </c>
      <c r="Y7" s="2880" t="s">
        <v>2765</v>
      </c>
      <c r="Z7" s="2881">
        <f>G3</f>
        <v>0</v>
      </c>
      <c r="AA7" s="2175"/>
      <c r="AB7" s="2175"/>
      <c r="AC7" s="2176"/>
      <c r="AD7" s="2882"/>
      <c r="AE7" s="2882"/>
      <c r="AF7" s="2882"/>
      <c r="AG7" s="2882"/>
      <c r="AH7" s="2882"/>
      <c r="AI7" s="2882"/>
      <c r="AJ7" s="2883"/>
    </row>
    <row r="8" spans="1:39" ht="15">
      <c r="A8" s="3429"/>
      <c r="B8" s="1409" t="s">
        <v>934</v>
      </c>
      <c r="C8" s="1515"/>
      <c r="D8" s="1043" t="s">
        <v>935</v>
      </c>
      <c r="E8" s="1044" t="e">
        <f>ROUND(C11/E7,4)</f>
        <v>#DIV/0!</v>
      </c>
      <c r="F8" s="1427" t="s">
        <v>936</v>
      </c>
      <c r="G8" s="1428"/>
      <c r="H8" s="1428"/>
      <c r="I8" s="1428"/>
      <c r="J8" s="1429"/>
      <c r="K8" s="1451"/>
      <c r="L8" s="1868" t="s">
        <v>2245</v>
      </c>
      <c r="M8" s="1869">
        <f>SUMPRODUCT((区片价!B206:B244=I2)*(区片价!C3:F3=E2)*(区片价!C206:F244))</f>
        <v>0</v>
      </c>
      <c r="N8" s="1870">
        <f>SUMPRODUCT((因素修正幅度!B206:B244=I2)*(因素修正幅度!C3:F3=E2)*(因素修正幅度!C206:F244))</f>
        <v>0</v>
      </c>
      <c r="O8" s="1451"/>
      <c r="P8" s="1396"/>
      <c r="Q8" s="2172"/>
      <c r="R8" s="2890">
        <v>7</v>
      </c>
      <c r="S8" s="2879"/>
      <c r="T8" s="2890" t="e">
        <f t="shared" si="0"/>
        <v>#DIV/0!</v>
      </c>
      <c r="U8" s="2879"/>
      <c r="V8" s="2890" t="e">
        <f t="shared" si="1"/>
        <v>#DIV/0!</v>
      </c>
      <c r="W8" s="3439" t="s">
        <v>2782</v>
      </c>
      <c r="X8" s="3440"/>
      <c r="Y8" s="1832" t="s">
        <v>2766</v>
      </c>
      <c r="Z8" s="1832" t="s">
        <v>2767</v>
      </c>
      <c r="AA8" s="1832" t="s">
        <v>2768</v>
      </c>
      <c r="AB8" s="1832" t="s">
        <v>2769</v>
      </c>
      <c r="AC8" s="1832" t="s">
        <v>2770</v>
      </c>
      <c r="AD8" s="1832" t="s">
        <v>2771</v>
      </c>
      <c r="AE8" s="1832" t="s">
        <v>2772</v>
      </c>
      <c r="AF8" s="1832" t="s">
        <v>2773</v>
      </c>
      <c r="AG8" s="1832" t="s">
        <v>2774</v>
      </c>
      <c r="AH8" s="1832" t="s">
        <v>2775</v>
      </c>
      <c r="AI8" s="1832" t="s">
        <v>2776</v>
      </c>
      <c r="AJ8" s="1832" t="s">
        <v>2777</v>
      </c>
    </row>
    <row r="9" spans="1:39" ht="15">
      <c r="A9" s="3429"/>
      <c r="B9" s="1409" t="s">
        <v>937</v>
      </c>
      <c r="C9" s="1045">
        <f>SUMIF(修正!C59:C119,C8,修正!E59:E119)</f>
        <v>0</v>
      </c>
      <c r="D9" s="1046" t="s">
        <v>938</v>
      </c>
      <c r="E9" s="1046" t="e">
        <f>ROUND(C11/E7,4)</f>
        <v>#DIV/0!</v>
      </c>
      <c r="F9" s="1427" t="s">
        <v>939</v>
      </c>
      <c r="G9" s="1428"/>
      <c r="H9" s="1428"/>
      <c r="I9" s="1428"/>
      <c r="J9" s="1429"/>
      <c r="K9" s="1451"/>
      <c r="L9" s="1868" t="s">
        <v>2246</v>
      </c>
      <c r="M9" s="1869">
        <f>SUMPRODUCT((区片价!B245:B289=I2)*(区片价!C3:F3=E2)*(区片价!C245:F289))</f>
        <v>0</v>
      </c>
      <c r="N9" s="1870">
        <f>SUMPRODUCT((因素修正幅度!B245:B289=I2)*(因素修正幅度!C3:F3=E2)*(因素修正幅度!C245:F289))</f>
        <v>0</v>
      </c>
      <c r="O9" s="1451"/>
      <c r="P9" s="1396"/>
      <c r="Q9" s="2172"/>
      <c r="R9" s="2890">
        <v>8</v>
      </c>
      <c r="S9" s="2879"/>
      <c r="T9" s="2890" t="e">
        <f t="shared" si="0"/>
        <v>#DIV/0!</v>
      </c>
      <c r="U9" s="2879"/>
      <c r="V9" s="2890" t="e">
        <f t="shared" si="1"/>
        <v>#DIV/0!</v>
      </c>
      <c r="W9" s="3438"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9"/>
      <c r="B10" s="1409" t="s">
        <v>940</v>
      </c>
      <c r="C10" s="1046">
        <f>SUMIF(修正!C59:C119,C8,修正!F59:F119)</f>
        <v>0</v>
      </c>
      <c r="D10" s="1046" t="s">
        <v>941</v>
      </c>
      <c r="E10" s="1046" t="e">
        <f>ROUND(C11/E7,4)</f>
        <v>#DIV/0!</v>
      </c>
      <c r="F10" s="1427" t="s">
        <v>942</v>
      </c>
      <c r="G10" s="1428"/>
      <c r="H10" s="1428"/>
      <c r="I10" s="1428"/>
      <c r="J10" s="1429"/>
      <c r="K10" s="1451"/>
      <c r="L10" s="1868" t="s">
        <v>2247</v>
      </c>
      <c r="M10" s="1869">
        <f>SUMPRODUCT((区片价!B290:B316=I2)*(区片价!C3:F3=E2)*(区片价!C290:F316))</f>
        <v>0</v>
      </c>
      <c r="N10" s="1870">
        <f>SUMPRODUCT((因素修正幅度!B290:B316=I2)*(因素修正幅度!C3:F3=E2)*(因素修正幅度!C290:F316))</f>
        <v>0</v>
      </c>
      <c r="O10" s="1451"/>
      <c r="P10" s="1396"/>
      <c r="Q10" s="2172"/>
      <c r="R10" s="2890">
        <v>9</v>
      </c>
      <c r="S10" s="2879"/>
      <c r="T10" s="2890" t="e">
        <f t="shared" si="0"/>
        <v>#DIV/0!</v>
      </c>
      <c r="U10" s="2879"/>
      <c r="V10" s="2890" t="e">
        <f t="shared" si="1"/>
        <v>#DIV/0!</v>
      </c>
      <c r="W10" s="3438"/>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9"/>
      <c r="B11" s="1430" t="s">
        <v>943</v>
      </c>
      <c r="C11" s="1047">
        <f>C10/4</f>
        <v>0</v>
      </c>
      <c r="D11" s="1047" t="s">
        <v>944</v>
      </c>
      <c r="E11" s="1047" t="e">
        <f>ROUND(C11/E7,4)</f>
        <v>#DIV/0!</v>
      </c>
      <c r="F11" s="1431" t="s">
        <v>945</v>
      </c>
      <c r="G11" s="1432"/>
      <c r="H11" s="1432"/>
      <c r="I11" s="1432"/>
      <c r="J11" s="1433"/>
      <c r="K11" s="1451"/>
      <c r="L11" s="1868" t="s">
        <v>2248</v>
      </c>
      <c r="M11" s="1869">
        <f>SUMPRODUCT((区片价!B317:B337=I2)*(区片价!C3:F3=E2)*(区片价!C317:F337))</f>
        <v>0</v>
      </c>
      <c r="N11" s="1870">
        <f>SUMPRODUCT((因素修正幅度!B317:B337=I2)*(因素修正幅度!C3:F3=E2)*(因素修正幅度!C317:F337))</f>
        <v>0</v>
      </c>
      <c r="O11" s="1451"/>
      <c r="P11" s="1396"/>
      <c r="Q11" s="2172"/>
      <c r="R11" s="2890">
        <v>10</v>
      </c>
      <c r="S11" s="2879"/>
      <c r="T11" s="2890" t="e">
        <f t="shared" si="0"/>
        <v>#DIV/0!</v>
      </c>
      <c r="U11" s="2879"/>
      <c r="V11" s="2890" t="e">
        <f t="shared" si="1"/>
        <v>#DIV/0!</v>
      </c>
      <c r="W11" s="3438" t="s">
        <v>2780</v>
      </c>
      <c r="X11" s="1046" t="s">
        <v>2765</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28" t="s">
        <v>1871</v>
      </c>
      <c r="B12" s="1434" t="s">
        <v>946</v>
      </c>
      <c r="C12" s="1041">
        <f>ROUND(C15*D15*E15*F15*G15*H15*I15*J15,4)</f>
        <v>1</v>
      </c>
      <c r="D12" s="1435" t="s">
        <v>947</v>
      </c>
      <c r="E12" s="1436"/>
      <c r="F12" s="1436"/>
      <c r="G12" s="1437"/>
      <c r="H12" s="1437"/>
      <c r="I12" s="1437"/>
      <c r="J12" s="1438"/>
      <c r="K12" s="1451"/>
      <c r="L12" s="1871" t="s">
        <v>2249</v>
      </c>
      <c r="M12" s="1872">
        <f>SUMPRODUCT((区片价!B338:B344=I2)*(区片价!C3:F3=E2)*(区片价!C338:F344))</f>
        <v>0</v>
      </c>
      <c r="N12" s="1873">
        <f>SUMPRODUCT((因素修正幅度!B338:B344=I2)*(因素修正幅度!C3:F3=E2)*(因素修正幅度!C338:F344))</f>
        <v>0</v>
      </c>
      <c r="O12" s="1451"/>
      <c r="P12" s="1396"/>
      <c r="Q12" s="2172"/>
      <c r="R12" s="2890">
        <v>11</v>
      </c>
      <c r="S12" s="2879"/>
      <c r="T12" s="2890" t="e">
        <f t="shared" si="0"/>
        <v>#DIV/0!</v>
      </c>
      <c r="U12" s="2879"/>
      <c r="V12" s="2890" t="e">
        <f t="shared" si="1"/>
        <v>#DIV/0!</v>
      </c>
      <c r="W12" s="3438"/>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0"/>
      <c r="B13" s="1439" t="s">
        <v>1696</v>
      </c>
      <c r="C13" s="1440" t="s">
        <v>1697</v>
      </c>
      <c r="D13" s="1083" t="s">
        <v>1698</v>
      </c>
      <c r="E13" s="1083" t="s">
        <v>1699</v>
      </c>
      <c r="F13" s="1441" t="s">
        <v>948</v>
      </c>
      <c r="G13" s="1442" t="s">
        <v>1642</v>
      </c>
      <c r="H13" s="1443" t="s">
        <v>1642</v>
      </c>
      <c r="I13" s="1444" t="s">
        <v>1642</v>
      </c>
      <c r="J13" s="1445" t="s">
        <v>1642</v>
      </c>
      <c r="K13" s="3163"/>
      <c r="L13" s="3163"/>
      <c r="M13" s="3163"/>
      <c r="N13" s="3163"/>
      <c r="O13" s="3163"/>
      <c r="P13" s="1396"/>
      <c r="Q13" s="2172"/>
      <c r="R13" s="2890">
        <v>12</v>
      </c>
      <c r="S13" s="2879"/>
      <c r="T13" s="2890" t="e">
        <f t="shared" si="0"/>
        <v>#DIV/0!</v>
      </c>
      <c r="U13" s="2879"/>
      <c r="V13" s="2890" t="e">
        <f t="shared" si="1"/>
        <v>#DIV/0!</v>
      </c>
      <c r="W13" s="3438"/>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30"/>
      <c r="B14" s="1446"/>
      <c r="C14" s="1447"/>
      <c r="D14" s="1448"/>
      <c r="E14" s="1448"/>
      <c r="F14" s="1449"/>
      <c r="G14" s="1450" t="s">
        <v>949</v>
      </c>
      <c r="H14" s="1451"/>
      <c r="I14" s="1452"/>
      <c r="J14" s="1453"/>
      <c r="K14" s="3149"/>
      <c r="L14" s="3149"/>
      <c r="M14" s="3149"/>
      <c r="N14" s="3149"/>
      <c r="O14" s="3149"/>
      <c r="P14" s="1396"/>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31"/>
      <c r="B15" s="3168" t="s">
        <v>1700</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28" t="s">
        <v>1838</v>
      </c>
      <c r="B16" s="1422" t="s">
        <v>950</v>
      </c>
      <c r="C16" s="1050" t="e">
        <f>ROUND(IF(F17="与级别开发程度一致",0,(G17-E17)/C17),0)</f>
        <v>#DIV/0!</v>
      </c>
      <c r="D16" s="3446" t="s">
        <v>954</v>
      </c>
      <c r="E16" s="3447"/>
      <c r="F16" s="3446" t="s">
        <v>951</v>
      </c>
      <c r="G16" s="3447"/>
      <c r="H16" s="1454"/>
      <c r="I16" s="1454"/>
      <c r="J16" s="1454"/>
      <c r="K16" s="1454"/>
      <c r="L16" s="1454"/>
      <c r="M16" s="1454"/>
      <c r="N16" s="1454"/>
      <c r="O16" s="3173"/>
      <c r="P16" s="1396"/>
      <c r="Q16" s="2175"/>
      <c r="R16" s="2890">
        <v>15</v>
      </c>
      <c r="S16" s="2879"/>
      <c r="T16" s="2890" t="e">
        <f t="shared" si="0"/>
        <v>#DIV/0!</v>
      </c>
      <c r="U16" s="2879"/>
      <c r="V16" s="2890" t="e">
        <f t="shared" si="1"/>
        <v>#DIV/0!</v>
      </c>
      <c r="W16" s="2175"/>
      <c r="X16" s="2175"/>
      <c r="Y16" s="2175"/>
      <c r="Z16" s="2175"/>
      <c r="AA16" s="2175"/>
      <c r="AB16" s="2175"/>
      <c r="AC16" s="2176"/>
    </row>
    <row r="17" spans="1:40" ht="13.8" thickBot="1">
      <c r="A17" s="3432"/>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5"/>
      <c r="R17" s="2176"/>
      <c r="S17" s="2176"/>
      <c r="T17" s="2176"/>
      <c r="U17" s="2176"/>
      <c r="V17" s="2176"/>
      <c r="W17" s="2175"/>
      <c r="X17" s="2175"/>
      <c r="Y17" s="2175"/>
      <c r="Z17" s="2175"/>
      <c r="AA17" s="2175"/>
      <c r="AB17" s="2175"/>
      <c r="AC17" s="2176"/>
      <c r="AH17" s="1397"/>
      <c r="AI17" s="1397"/>
      <c r="AJ17" s="1400"/>
      <c r="AK17" s="1400"/>
      <c r="AL17" s="1400"/>
      <c r="AM17" s="1400"/>
    </row>
    <row r="18" spans="1:40" s="1416" customFormat="1" ht="15" thickBot="1">
      <c r="A18" s="2732" t="s">
        <v>1829</v>
      </c>
      <c r="B18" s="3169" t="s">
        <v>955</v>
      </c>
      <c r="C18" s="3170">
        <f>SUMIF(修正!C18:C39,E3,修正!E18:E39)</f>
        <v>0</v>
      </c>
      <c r="D18" s="3171"/>
      <c r="E18" s="3172"/>
      <c r="F18" s="3154"/>
      <c r="G18" s="3148"/>
      <c r="H18" s="3148"/>
      <c r="I18" s="3148"/>
      <c r="J18" s="3162"/>
      <c r="K18" s="3148"/>
      <c r="L18" s="3148"/>
      <c r="M18" s="3148"/>
      <c r="N18" s="3148"/>
      <c r="O18" s="3148"/>
      <c r="P18" s="1468"/>
      <c r="Q18" s="2177"/>
      <c r="R18" s="2177"/>
      <c r="S18" s="2177"/>
      <c r="T18" s="2177"/>
      <c r="U18" s="2177"/>
      <c r="V18" s="2177"/>
      <c r="W18" s="2176"/>
      <c r="X18" s="2176"/>
      <c r="Y18" s="2176"/>
      <c r="Z18" s="2176"/>
      <c r="AA18" s="2175"/>
      <c r="AB18" s="2175"/>
      <c r="AC18" s="2178"/>
      <c r="AD18" s="1459"/>
      <c r="AE18" s="1459"/>
      <c r="AF18" s="1459"/>
      <c r="AG18" s="1459"/>
      <c r="AH18" s="1398"/>
      <c r="AI18" s="1398"/>
      <c r="AJ18" s="1399"/>
      <c r="AK18" s="1399"/>
      <c r="AL18" s="1399"/>
    </row>
    <row r="19" spans="1:40" s="1416" customFormat="1" ht="29.4" thickBot="1">
      <c r="A19" s="1624" t="s">
        <v>1835</v>
      </c>
      <c r="B19" s="1457" t="s">
        <v>956</v>
      </c>
      <c r="C19" s="1051" t="e">
        <f>ROUND(IF(H19="按公示增长率计算",SUMPRODUCT((地价!A3:A26=YEAR(G19)&amp;"-"&amp;ROUNDUP(MONTH(G19)/3,0))*(地价!X2:AB2=E2)*(地价!X3:AB26)),IF(H19="地价指数",M20/M19,(1+I19)^O19)),4)</f>
        <v>#VALUE!</v>
      </c>
      <c r="D19" s="1461" t="s">
        <v>957</v>
      </c>
      <c r="E19" s="1052">
        <v>41640</v>
      </c>
      <c r="F19" s="1461" t="s">
        <v>958</v>
      </c>
      <c r="G19" s="1053">
        <f>'数据-取费表'!B2</f>
        <v>43840</v>
      </c>
      <c r="H19" s="1462"/>
      <c r="I19" s="2738" t="str">
        <f>IF(H19="季度增幅（自定义）",SUMIF(N21:N24,E2,O21:O24),"")</f>
        <v/>
      </c>
      <c r="J19" s="1458"/>
      <c r="K19" s="3148"/>
      <c r="L19" s="2990" t="s">
        <v>2840</v>
      </c>
      <c r="M19" s="2991">
        <f>ROUND(SUMIF(地价!B2:F2,E2,地价!B26:F26),0)</f>
        <v>0</v>
      </c>
      <c r="N19" s="2740" t="s">
        <v>1676</v>
      </c>
      <c r="O19" s="2739">
        <f>ROUNDDOWN(DATEDIF(E19,G19,"M")/3,0)</f>
        <v>24</v>
      </c>
      <c r="P19" s="1581"/>
      <c r="Q19" s="2878"/>
      <c r="R19" s="2178"/>
      <c r="S19" s="2178"/>
      <c r="T19" s="2178"/>
      <c r="U19" s="2178"/>
      <c r="V19" s="2178"/>
      <c r="W19" s="2178"/>
      <c r="X19" s="2178"/>
      <c r="Y19" s="1398"/>
      <c r="Z19" s="1398"/>
      <c r="AA19" s="1398"/>
      <c r="AB19" s="1398"/>
      <c r="AC19" s="1459"/>
      <c r="AD19" s="1460"/>
      <c r="AE19" s="1464"/>
      <c r="AF19" s="1399"/>
      <c r="AG19" s="1415"/>
      <c r="AH19" s="1415"/>
      <c r="AI19" s="1415"/>
    </row>
    <row r="20" spans="1:40" s="1416" customFormat="1" ht="29.4" thickBot="1">
      <c r="A20" s="2732" t="s">
        <v>1836</v>
      </c>
      <c r="B20" s="2733" t="s">
        <v>971</v>
      </c>
      <c r="C20" s="2734" t="e">
        <f>ROUND(POWER(1+G20,J20-I20)*(POWER(1+G20,I20)-1)/(POWER(1+G20,J20)-1),4)</f>
        <v>#DIV/0!</v>
      </c>
      <c r="D20" s="2735" t="s">
        <v>972</v>
      </c>
      <c r="E20" s="3043">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50"/>
      <c r="L20" s="2992" t="s">
        <v>2841</v>
      </c>
      <c r="M20" s="3157">
        <f>ROUND(SUMPRODUCT((地价!A4:A26=YEAR(G19)&amp;"-"&amp;ROUNDUP(MONTH(G19)/3,0))*(地价!B2:F2=E2)*(地价!B4:F26)),0)</f>
        <v>0</v>
      </c>
      <c r="N20" s="2743" t="s">
        <v>2644</v>
      </c>
      <c r="O20" s="2741" t="s">
        <v>2643</v>
      </c>
      <c r="P20" s="2742" t="s">
        <v>2649</v>
      </c>
      <c r="Q20" s="2878"/>
      <c r="R20" s="2178"/>
      <c r="S20" s="2178"/>
      <c r="T20" s="2178"/>
      <c r="U20" s="2178"/>
      <c r="V20" s="2178"/>
      <c r="W20" s="2178"/>
      <c r="X20" s="2178"/>
      <c r="Y20" s="1459"/>
      <c r="Z20" s="1459"/>
      <c r="AA20" s="1459"/>
      <c r="AB20" s="1459"/>
      <c r="AC20" s="1459"/>
      <c r="AD20" s="1459"/>
    </row>
    <row r="21" spans="1:40" s="1416" customFormat="1" ht="14.4">
      <c r="A21" s="1626" t="s">
        <v>1837</v>
      </c>
      <c r="B21" s="1467" t="s">
        <v>2760</v>
      </c>
      <c r="C21" s="1152">
        <f>IF(B21="容积率修正",IF(G3&lt;=10,D22,J22),C23)</f>
        <v>0</v>
      </c>
      <c r="D21" s="1468"/>
      <c r="E21" s="1468"/>
      <c r="F21" s="1468"/>
      <c r="G21" s="1468"/>
      <c r="H21" s="1468"/>
      <c r="I21" s="1468"/>
      <c r="J21" s="1469"/>
      <c r="K21" s="3148"/>
      <c r="L21" s="1468"/>
      <c r="M21" s="1468"/>
      <c r="N21" s="1465" t="s">
        <v>975</v>
      </c>
      <c r="O21" s="1528"/>
      <c r="P21" s="2730">
        <f>SUMPRODUCT((地价!A3:A26=YEAR(G19)&amp;"-"&amp;ROUNDUP(MONTH(G19)/3,0))*(地价!AD2:AH2=N21)*(地价!AD3:AH26))</f>
        <v>0</v>
      </c>
      <c r="Q21" s="2878"/>
      <c r="R21" s="2178"/>
      <c r="S21" s="2178"/>
      <c r="T21" s="2178"/>
      <c r="U21" s="2178"/>
      <c r="V21" s="2178"/>
      <c r="W21" s="2178"/>
      <c r="X21" s="2178"/>
      <c r="Y21" s="1398"/>
      <c r="Z21" s="1398"/>
      <c r="AA21" s="1398"/>
      <c r="AB21" s="1398"/>
      <c r="AC21" s="1459"/>
      <c r="AD21" s="1459"/>
    </row>
    <row r="22" spans="1:40" s="1416" customFormat="1" ht="14.4">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1"/>
      <c r="L22" s="1468"/>
      <c r="M22" s="1468"/>
      <c r="N22" s="1465" t="s">
        <v>978</v>
      </c>
      <c r="O22" s="1528"/>
      <c r="P22" s="2730">
        <f>SUMPRODUCT((地价!A3:A26=YEAR(G19)&amp;"-"&amp;ROUNDUP(MONTH(G19)/3,0))*(地价!AD2:AH2=N22)*(地价!AD3:AH26))</f>
        <v>0</v>
      </c>
      <c r="Q22" s="2878"/>
      <c r="R22" s="2178"/>
      <c r="S22" s="2178"/>
      <c r="T22" s="2178"/>
      <c r="U22" s="2178"/>
      <c r="V22" s="2178"/>
      <c r="W22" s="2178"/>
      <c r="X22" s="2178"/>
      <c r="Y22" s="1459"/>
      <c r="Z22" s="1459"/>
      <c r="AA22" s="1459"/>
      <c r="AB22" s="1459"/>
      <c r="AC22" s="1459"/>
      <c r="AD22" s="1459"/>
    </row>
    <row r="23" spans="1:40" ht="1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0">
        <f>SUMPRODUCT((地价!A3:A26=YEAR(G19)&amp;"-"&amp;ROUNDUP(MONTH(G19)/3,0))*(地价!AD2:AH2=N23)*(地价!AD3:AH26))</f>
        <v>0</v>
      </c>
      <c r="Q23" s="2878"/>
      <c r="R23" s="2178"/>
      <c r="S23" s="2178"/>
      <c r="T23" s="2178"/>
      <c r="U23" s="2178"/>
      <c r="V23" s="2178"/>
      <c r="W23" s="2178"/>
      <c r="X23" s="2178"/>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6">
        <f>SUMIF(A44:A87,E2,B44:B87)</f>
        <v>0</v>
      </c>
      <c r="D24" s="1521"/>
      <c r="E24" s="1522"/>
      <c r="F24" s="1522"/>
      <c r="G24" s="1522"/>
      <c r="H24" s="1522"/>
      <c r="I24" s="1522"/>
      <c r="J24" s="1522"/>
      <c r="K24" s="3152"/>
      <c r="L24" s="1468"/>
      <c r="M24" s="1468"/>
      <c r="N24" s="1465" t="s">
        <v>981</v>
      </c>
      <c r="O24" s="3156"/>
      <c r="P24" s="2730">
        <f>SUMPRODUCT((地价!A3:A26=YEAR(G19)&amp;"-"&amp;ROUNDUP(MONTH(G19)/3,0))*(地价!AD2:AH2=N24)*(地价!AD3:AH26))</f>
        <v>0</v>
      </c>
      <c r="Q24" s="2878"/>
      <c r="R24" s="2178"/>
      <c r="S24" s="2178"/>
      <c r="T24" s="2178"/>
      <c r="U24" s="2178"/>
      <c r="V24" s="2178"/>
      <c r="W24" s="2178"/>
      <c r="X24" s="2178"/>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8"/>
      <c r="M25" s="2178"/>
      <c r="N25" s="3158" t="s">
        <v>2647</v>
      </c>
      <c r="O25" s="3159"/>
      <c r="P25" s="2409">
        <f>SUMPRODUCT((地价!A3:A26=YEAR(G19)&amp;"-"&amp;ROUNDUP(MONTH(G19)/3,0))*(地价!AD2:AH2=N25)*(地价!AD3:AH26))</f>
        <v>0</v>
      </c>
      <c r="Q25" s="2878"/>
      <c r="R25" s="2178"/>
      <c r="S25" s="2178"/>
      <c r="T25" s="2178"/>
      <c r="U25" s="2178"/>
      <c r="V25" s="2178"/>
      <c r="W25" s="2178"/>
      <c r="X25" s="2178"/>
      <c r="Y25" s="1398"/>
      <c r="Z25" s="1398"/>
      <c r="AA25" s="1398"/>
      <c r="AB25" s="1398"/>
      <c r="AC25" s="1398"/>
      <c r="AE25" s="1399"/>
      <c r="AF25" s="1399"/>
      <c r="AG25" s="1399"/>
      <c r="AH25" s="1399"/>
      <c r="AI25" s="1400"/>
      <c r="AJ25" s="1400"/>
      <c r="AK25" s="1400"/>
      <c r="AL25" s="1400"/>
      <c r="AM25" s="1400"/>
    </row>
    <row r="26" spans="1:40" ht="14.4">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8"/>
      <c r="R26" s="2178"/>
      <c r="S26" s="2178"/>
      <c r="T26" s="2178"/>
      <c r="U26" s="2178"/>
      <c r="V26" s="2178"/>
      <c r="W26" s="2178"/>
      <c r="X26" s="2178"/>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8"/>
      <c r="R27" s="2878"/>
      <c r="S27" s="2878"/>
      <c r="T27" s="2878"/>
      <c r="U27" s="2878"/>
      <c r="V27" s="2878"/>
      <c r="W27" s="2178"/>
      <c r="X27" s="2178"/>
      <c r="Y27" s="2178"/>
      <c r="Z27" s="2178"/>
      <c r="AA27" s="2178"/>
      <c r="AB27" s="2178"/>
      <c r="AC27" s="2178"/>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8"/>
      <c r="R28" s="2878"/>
      <c r="S28" s="2878"/>
      <c r="T28" s="2878"/>
      <c r="U28" s="2878"/>
      <c r="V28" s="2878"/>
      <c r="W28" s="2178"/>
      <c r="X28" s="2178"/>
      <c r="Y28" s="2178"/>
      <c r="Z28" s="2178"/>
      <c r="AA28" s="2178"/>
      <c r="AB28" s="2178"/>
      <c r="AC28" s="2178"/>
      <c r="AD28" s="1459"/>
      <c r="AE28" s="1459"/>
      <c r="AF28" s="1459"/>
      <c r="AG28" s="1459"/>
    </row>
    <row r="29" spans="1:40" ht="24">
      <c r="A29" s="1488"/>
      <c r="B29" s="1489" t="s">
        <v>993</v>
      </c>
      <c r="C29" s="1057" t="e">
        <f>ROUND(C5*C18*C19*C20*C21*C24,0)</f>
        <v>#DIV/0!</v>
      </c>
      <c r="D29" s="1490"/>
      <c r="E29" s="1832" t="e">
        <f>ROUND(C29*D29/10000,0)</f>
        <v>#DIV/0!</v>
      </c>
      <c r="F29" s="1491" t="s">
        <v>1701</v>
      </c>
      <c r="G29" s="1492"/>
      <c r="H29" s="1492"/>
      <c r="I29" s="1492"/>
      <c r="J29" s="1493"/>
      <c r="K29" s="3153"/>
      <c r="L29" s="3153"/>
      <c r="M29" s="3153"/>
      <c r="N29" s="3153"/>
      <c r="O29" s="3153"/>
      <c r="P29" s="1396"/>
      <c r="Q29" s="2178"/>
      <c r="R29" s="2178"/>
      <c r="S29" s="2178"/>
      <c r="T29" s="2178"/>
      <c r="U29" s="2178"/>
      <c r="V29" s="2178"/>
      <c r="W29" s="2878"/>
      <c r="X29" s="2878"/>
      <c r="Y29" s="2878"/>
      <c r="Z29" s="2878"/>
      <c r="AA29" s="2878"/>
      <c r="AB29" s="2178"/>
      <c r="AC29" s="2178"/>
      <c r="AD29" s="2178"/>
      <c r="AE29" s="2178"/>
      <c r="AF29" s="2178"/>
      <c r="AG29" s="2178"/>
      <c r="AH29" s="2178"/>
      <c r="AJ29" s="1398"/>
      <c r="AK29" s="1398"/>
      <c r="AL29" s="1398"/>
      <c r="AM29" s="1397"/>
      <c r="AN29" s="1397"/>
    </row>
    <row r="30" spans="1:40" ht="24.6" thickBot="1">
      <c r="A30" s="1494"/>
      <c r="B30" s="1495" t="s">
        <v>994</v>
      </c>
      <c r="C30" s="1049" t="e">
        <f>ROUND(IF(E2="工业",C29*M39,C29*M38),0)</f>
        <v>#DIV/0!</v>
      </c>
      <c r="D30" s="1496"/>
      <c r="E30" s="1832" t="e">
        <f>ROUND(C30*D30/10000,0)</f>
        <v>#DIV/0!</v>
      </c>
      <c r="F30" s="1497" t="s">
        <v>995</v>
      </c>
      <c r="G30" s="1498"/>
      <c r="H30" s="1498"/>
      <c r="I30" s="1498"/>
      <c r="J30" s="1499"/>
      <c r="K30" s="1451"/>
      <c r="L30" s="1451"/>
      <c r="M30" s="1451"/>
      <c r="N30" s="1451"/>
      <c r="O30" s="1451"/>
      <c r="P30" s="1396"/>
      <c r="Q30" s="2172"/>
      <c r="R30" s="2172"/>
      <c r="S30" s="2172"/>
      <c r="T30" s="2172"/>
      <c r="U30" s="2172"/>
      <c r="V30" s="2172"/>
      <c r="W30" s="2173"/>
      <c r="X30" s="2173"/>
      <c r="Y30" s="2173"/>
      <c r="Z30" s="2173"/>
      <c r="AA30" s="2173"/>
      <c r="AB30" s="2172"/>
      <c r="AC30" s="2172"/>
      <c r="AD30" s="2172"/>
      <c r="AE30" s="2172"/>
      <c r="AF30" s="2172"/>
      <c r="AG30" s="2172"/>
      <c r="AH30" s="2172"/>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2"/>
      <c r="R31" s="2172"/>
      <c r="S31" s="2172"/>
      <c r="T31" s="2172"/>
      <c r="U31" s="2172"/>
      <c r="V31" s="2172"/>
      <c r="W31" s="2173"/>
      <c r="X31" s="2173"/>
      <c r="Y31" s="2173"/>
      <c r="Z31" s="2173"/>
      <c r="AA31" s="2173"/>
      <c r="AB31" s="2172"/>
      <c r="AC31" s="2172"/>
      <c r="AD31" s="2172"/>
      <c r="AE31" s="2172"/>
      <c r="AF31" s="2172"/>
      <c r="AG31" s="2172"/>
      <c r="AH31" s="2172"/>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2"/>
      <c r="R32" s="2172"/>
      <c r="S32" s="2172"/>
      <c r="T32" s="2172"/>
      <c r="U32" s="2172"/>
      <c r="V32" s="2172"/>
      <c r="W32" s="2173"/>
      <c r="X32" s="2173"/>
      <c r="Y32" s="2173"/>
      <c r="Z32" s="2173"/>
      <c r="AA32" s="2173"/>
      <c r="AB32" s="2172"/>
      <c r="AC32" s="2172"/>
      <c r="AD32" s="2172"/>
      <c r="AE32" s="2172"/>
      <c r="AF32" s="2172"/>
      <c r="AG32" s="2172"/>
      <c r="AH32" s="2172"/>
      <c r="AI32" s="1397"/>
      <c r="AJ32" s="1397"/>
      <c r="AK32" s="1397"/>
      <c r="AL32" s="1397"/>
      <c r="AM32" s="1397"/>
      <c r="AN32" s="1397"/>
    </row>
    <row r="33" spans="1:44" ht="13.2">
      <c r="A33" s="3435" t="s">
        <v>2955</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2"/>
      <c r="R33" s="2172"/>
      <c r="S33" s="2172"/>
      <c r="T33" s="2172"/>
      <c r="U33" s="2172"/>
      <c r="V33" s="2172"/>
      <c r="W33" s="2173"/>
      <c r="X33" s="2173"/>
      <c r="Y33" s="2173"/>
      <c r="Z33" s="2173"/>
      <c r="AA33" s="2173"/>
      <c r="AB33" s="2172"/>
      <c r="AC33" s="2172"/>
      <c r="AD33" s="2172"/>
      <c r="AE33" s="2172"/>
      <c r="AF33" s="2172"/>
      <c r="AG33" s="2172"/>
      <c r="AH33" s="2173"/>
      <c r="AJ33" s="1398"/>
      <c r="AK33" s="1398"/>
      <c r="AL33" s="1398"/>
      <c r="AM33" s="1398"/>
      <c r="AN33" s="1398"/>
      <c r="AO33" s="1399"/>
      <c r="AP33" s="1399"/>
      <c r="AQ33" s="1399"/>
      <c r="AR33" s="1399"/>
    </row>
    <row r="34" spans="1:44" ht="13.2">
      <c r="A34" s="3436"/>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2"/>
      <c r="R34" s="2172"/>
      <c r="S34" s="2172"/>
      <c r="T34" s="2172"/>
      <c r="U34" s="2172"/>
      <c r="V34" s="2172"/>
      <c r="W34" s="2173"/>
      <c r="X34" s="2173"/>
      <c r="Y34" s="2173"/>
      <c r="Z34" s="2173"/>
      <c r="AA34" s="2173"/>
      <c r="AB34" s="2172"/>
      <c r="AC34" s="2172"/>
      <c r="AD34" s="2172"/>
      <c r="AE34" s="2172"/>
      <c r="AF34" s="2172"/>
      <c r="AG34" s="2172"/>
      <c r="AH34" s="2173"/>
      <c r="AJ34" s="1398"/>
      <c r="AK34" s="1398"/>
      <c r="AL34" s="1398"/>
      <c r="AM34" s="1398"/>
      <c r="AN34" s="1398"/>
      <c r="AO34" s="1399"/>
      <c r="AP34" s="1399"/>
      <c r="AQ34" s="1399"/>
      <c r="AR34" s="1399"/>
    </row>
    <row r="35" spans="1:44" ht="13.2">
      <c r="A35" s="3436"/>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2"/>
      <c r="R35" s="2172"/>
      <c r="S35" s="2172"/>
      <c r="T35" s="2172"/>
      <c r="U35" s="2172"/>
      <c r="V35" s="2172"/>
      <c r="W35" s="2173"/>
      <c r="X35" s="2173"/>
      <c r="Y35" s="2173"/>
      <c r="Z35" s="2173"/>
      <c r="AA35" s="2173"/>
      <c r="AB35" s="2172"/>
      <c r="AC35" s="2172"/>
      <c r="AD35" s="2172"/>
      <c r="AE35" s="2172"/>
      <c r="AF35" s="2172"/>
      <c r="AG35" s="2172"/>
      <c r="AH35" s="2173"/>
      <c r="AJ35" s="1398"/>
      <c r="AK35" s="1398"/>
      <c r="AL35" s="1398"/>
      <c r="AM35" s="1398"/>
      <c r="AN35" s="1398"/>
      <c r="AO35" s="1399"/>
      <c r="AP35" s="1399"/>
      <c r="AQ35" s="1399"/>
      <c r="AR35" s="1399"/>
    </row>
    <row r="36" spans="1:44" ht="13.8" thickBot="1">
      <c r="A36" s="3437"/>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2"/>
      <c r="R36" s="2172"/>
      <c r="S36" s="2172"/>
      <c r="T36" s="2172"/>
      <c r="U36" s="2172"/>
      <c r="V36" s="2172"/>
      <c r="W36" s="2173"/>
      <c r="X36" s="2173"/>
      <c r="Y36" s="2173"/>
      <c r="Z36" s="2173"/>
      <c r="AA36" s="2173"/>
      <c r="AB36" s="2172"/>
      <c r="AC36" s="2172"/>
      <c r="AD36" s="2172"/>
      <c r="AE36" s="2172"/>
      <c r="AF36" s="2172"/>
      <c r="AG36" s="2172"/>
      <c r="AH36" s="2173"/>
      <c r="AJ36" s="1398"/>
      <c r="AK36" s="1398"/>
      <c r="AL36" s="1398"/>
      <c r="AM36" s="1398"/>
      <c r="AN36" s="1398"/>
      <c r="AO36" s="1399"/>
      <c r="AP36" s="1399"/>
      <c r="AQ36" s="1399"/>
      <c r="AR36" s="1399"/>
    </row>
    <row r="37" spans="1:44" ht="13.2">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2"/>
      <c r="O37" s="2172"/>
      <c r="P37" s="2172"/>
      <c r="Q37" s="2172"/>
      <c r="R37" s="2173"/>
      <c r="S37" s="2173"/>
      <c r="T37" s="2173"/>
      <c r="U37" s="2173"/>
      <c r="V37" s="2173"/>
      <c r="W37" s="2172"/>
      <c r="X37" s="2172"/>
      <c r="Y37" s="2172"/>
      <c r="Z37" s="2172"/>
      <c r="AA37" s="2172"/>
      <c r="AB37" s="2172"/>
      <c r="AC37" s="2173"/>
    </row>
    <row r="38" spans="1:44" ht="13.2">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2"/>
      <c r="O38" s="2172"/>
      <c r="P38" s="2172"/>
      <c r="Q38" s="2172"/>
      <c r="R38" s="2173"/>
      <c r="S38" s="2173"/>
      <c r="T38" s="2173"/>
      <c r="U38" s="2173"/>
      <c r="V38" s="2173"/>
      <c r="W38" s="2172"/>
      <c r="X38" s="2172"/>
      <c r="Y38" s="2172"/>
      <c r="Z38" s="2172"/>
      <c r="AA38" s="2172"/>
      <c r="AB38" s="2172"/>
      <c r="AC38" s="2173"/>
    </row>
    <row r="39" spans="1:44" ht="13.8"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2"/>
      <c r="O39" s="2172"/>
      <c r="P39" s="2172"/>
      <c r="Q39" s="2172"/>
      <c r="R39" s="2173"/>
      <c r="S39" s="2173"/>
      <c r="T39" s="2173"/>
      <c r="U39" s="2173"/>
      <c r="V39" s="2173"/>
      <c r="W39" s="2172"/>
      <c r="X39" s="2172"/>
      <c r="Y39" s="2172"/>
      <c r="Z39" s="2172"/>
      <c r="AA39" s="2172"/>
      <c r="AB39" s="2172"/>
      <c r="AC39" s="2173"/>
    </row>
    <row r="40" spans="1:44" s="1397"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8"/>
      <c r="AE40" s="1398"/>
      <c r="AF40" s="1398"/>
      <c r="AG40" s="1398"/>
      <c r="AH40" s="1398"/>
      <c r="AI40" s="1398"/>
      <c r="AJ40" s="1398"/>
      <c r="AK40" s="1398"/>
      <c r="AL40" s="1398"/>
      <c r="AM40" s="1398"/>
    </row>
    <row r="41" spans="1:44" s="1397" customFormat="1" ht="24">
      <c r="A41" s="1398"/>
      <c r="B41" s="3144" t="s">
        <v>2982</v>
      </c>
      <c r="C41" s="838" t="e">
        <f>ROUND(POWER(1+E41,H41-G41)*(POWER(1+E41,G41)-1)/(POWER(1+E41,H41)-1),4)</f>
        <v>#DIV/0!</v>
      </c>
      <c r="D41" s="377" t="s">
        <v>2980</v>
      </c>
      <c r="E41" s="3143">
        <f>G20</f>
        <v>0</v>
      </c>
      <c r="F41" s="377" t="s">
        <v>2981</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8"/>
      <c r="AE41" s="1398"/>
      <c r="AF41" s="1398"/>
      <c r="AG41" s="1398"/>
      <c r="AH41" s="1398"/>
      <c r="AI41" s="1398"/>
      <c r="AJ41" s="1398"/>
      <c r="AK41" s="1398"/>
      <c r="AL41" s="1398"/>
      <c r="AM41" s="1398"/>
    </row>
    <row r="42" spans="1:44" s="1397" customFormat="1">
      <c r="A42" s="1398"/>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8"/>
      <c r="AE42" s="1398"/>
      <c r="AF42" s="1398"/>
      <c r="AG42" s="1398"/>
      <c r="AH42" s="1398"/>
      <c r="AI42" s="1398"/>
      <c r="AJ42" s="1398"/>
      <c r="AK42" s="1398"/>
      <c r="AL42" s="1398"/>
      <c r="AM42" s="1398"/>
    </row>
    <row r="43" spans="1:44" s="1397" customFormat="1">
      <c r="A43" s="1398"/>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8"/>
      <c r="AE43" s="1398"/>
      <c r="AF43" s="1398"/>
      <c r="AG43" s="1398"/>
      <c r="AH43" s="1398"/>
      <c r="AI43" s="1398"/>
      <c r="AJ43" s="1398"/>
      <c r="AK43" s="1398"/>
      <c r="AL43" s="1398"/>
      <c r="AM43" s="1398"/>
    </row>
    <row r="44" spans="1:44" s="1397"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8"/>
      <c r="AE44" s="1398"/>
      <c r="AF44" s="1398"/>
      <c r="AG44" s="1398"/>
      <c r="AH44" s="1398"/>
      <c r="AI44" s="1398"/>
      <c r="AJ44" s="1398"/>
      <c r="AK44" s="1398"/>
      <c r="AL44" s="1398"/>
      <c r="AM44" s="1398"/>
    </row>
    <row r="45" spans="1:44" s="1397" customFormat="1" ht="14.4">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8"/>
      <c r="AE45" s="1398"/>
      <c r="AF45" s="1398"/>
      <c r="AG45" s="1398"/>
      <c r="AH45" s="1398"/>
      <c r="AI45" s="1398"/>
      <c r="AJ45" s="1398"/>
      <c r="AK45" s="1398"/>
      <c r="AL45" s="1398"/>
      <c r="AM45" s="1398"/>
    </row>
    <row r="46" spans="1:44" s="1397" customFormat="1" ht="24">
      <c r="A46" s="1061" t="s">
        <v>1008</v>
      </c>
      <c r="B46" s="2370" t="s">
        <v>1009</v>
      </c>
      <c r="C46" s="2392" t="s">
        <v>1010</v>
      </c>
      <c r="D46" s="2393" t="s">
        <v>1011</v>
      </c>
      <c r="E46" s="2394" t="s">
        <v>1013</v>
      </c>
      <c r="F46" s="2395" t="s">
        <v>2250</v>
      </c>
      <c r="G46" s="2393" t="s">
        <v>1014</v>
      </c>
      <c r="H46" s="2376" t="s">
        <v>2417</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8"/>
      <c r="AF46" s="1398"/>
      <c r="AG46" s="1398"/>
      <c r="AH46" s="1398"/>
      <c r="AI46" s="1398"/>
      <c r="AJ46" s="1398"/>
      <c r="AK46" s="1398"/>
      <c r="AL46" s="1398"/>
      <c r="AM46" s="1398"/>
      <c r="AN46" s="1398"/>
    </row>
    <row r="47" spans="1:44" s="1397" customFormat="1" ht="24">
      <c r="A47" s="1061" t="s">
        <v>1020</v>
      </c>
      <c r="B47" s="2373" t="str">
        <f>估价对象房地状况!C16</f>
        <v>一般</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8"/>
      <c r="AF47" s="1398"/>
      <c r="AG47" s="1398"/>
      <c r="AH47" s="1398"/>
      <c r="AI47" s="1398"/>
      <c r="AJ47" s="1398"/>
      <c r="AK47" s="1398"/>
      <c r="AL47" s="1398"/>
      <c r="AM47" s="1398"/>
      <c r="AN47" s="1398"/>
    </row>
    <row r="48" spans="1:44" s="1397" customFormat="1" ht="24">
      <c r="A48" s="1061" t="s">
        <v>1021</v>
      </c>
      <c r="B48" s="2370" t="str">
        <f>估价对象房地状况!C18</f>
        <v>一般</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8"/>
      <c r="AF48" s="1398"/>
      <c r="AG48" s="1398"/>
      <c r="AH48" s="1398"/>
      <c r="AI48" s="1398"/>
      <c r="AJ48" s="1398"/>
      <c r="AK48" s="1398"/>
      <c r="AL48" s="1398"/>
      <c r="AM48" s="1398"/>
      <c r="AN48" s="1398"/>
    </row>
    <row r="49" spans="1:40" s="1397" customFormat="1" ht="24">
      <c r="A49" s="1061" t="s">
        <v>1022</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8"/>
      <c r="AF49" s="1398"/>
      <c r="AG49" s="1398"/>
      <c r="AH49" s="1398"/>
      <c r="AI49" s="1398"/>
      <c r="AJ49" s="1398"/>
      <c r="AK49" s="1398"/>
      <c r="AL49" s="1398"/>
      <c r="AM49" s="1398"/>
      <c r="AN49" s="1398"/>
    </row>
    <row r="50" spans="1:40" s="1397" customFormat="1" ht="48">
      <c r="A50" s="1061" t="s">
        <v>1023</v>
      </c>
      <c r="B50" s="3045" t="s">
        <v>2932</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8"/>
      <c r="AF50" s="1398"/>
      <c r="AG50" s="1398"/>
      <c r="AH50" s="1398"/>
      <c r="AI50" s="1398"/>
      <c r="AJ50" s="1398"/>
      <c r="AK50" s="1398"/>
      <c r="AL50" s="1398"/>
      <c r="AM50" s="1398"/>
      <c r="AN50" s="1398"/>
    </row>
    <row r="51" spans="1:40" s="1397" customFormat="1" ht="24">
      <c r="A51" s="1061" t="s">
        <v>1024</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8"/>
      <c r="AF51" s="1398"/>
      <c r="AG51" s="1398"/>
      <c r="AH51" s="1398"/>
      <c r="AI51" s="1398"/>
      <c r="AJ51" s="1398"/>
      <c r="AK51" s="1398"/>
      <c r="AL51" s="1398"/>
      <c r="AM51" s="1398"/>
      <c r="AN51" s="1398"/>
    </row>
    <row r="52" spans="1:40" s="1397" customFormat="1" ht="36">
      <c r="A52" s="1061" t="s">
        <v>1025</v>
      </c>
      <c r="B52" s="3044" t="s">
        <v>2931</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8"/>
      <c r="AF52" s="1398"/>
      <c r="AG52" s="1398"/>
      <c r="AH52" s="1398"/>
      <c r="AI52" s="1398"/>
      <c r="AJ52" s="1398"/>
      <c r="AK52" s="1398"/>
      <c r="AL52" s="1398"/>
      <c r="AM52" s="1398"/>
      <c r="AN52" s="1398"/>
    </row>
    <row r="53" spans="1:40" s="1397" customFormat="1" ht="24">
      <c r="A53" s="2402" t="s">
        <v>1026</v>
      </c>
      <c r="B53" s="2371" t="str">
        <f>估价对象房地状况!C21</f>
        <v>较好</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8"/>
      <c r="AF53" s="1398"/>
      <c r="AG53" s="1398"/>
      <c r="AH53" s="1398"/>
      <c r="AI53" s="1398"/>
      <c r="AJ53" s="1398"/>
      <c r="AK53" s="1398"/>
      <c r="AL53" s="1398"/>
      <c r="AM53" s="1398"/>
      <c r="AN53" s="1398"/>
    </row>
    <row r="54" spans="1:40" s="1397" customFormat="1" ht="24">
      <c r="A54" s="2402" t="s">
        <v>1027</v>
      </c>
      <c r="B54" s="2370" t="str">
        <f>估价对象房地状况!C22</f>
        <v>七通</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8"/>
      <c r="AF54" s="1398"/>
      <c r="AG54" s="1398"/>
      <c r="AH54" s="1398"/>
      <c r="AI54" s="1398"/>
      <c r="AJ54" s="1398"/>
      <c r="AK54" s="1398"/>
      <c r="AL54" s="1398"/>
      <c r="AM54" s="1398"/>
      <c r="AN54" s="1398"/>
    </row>
    <row r="55" spans="1:40" s="1397" customFormat="1" ht="36.6" thickBot="1">
      <c r="A55" s="2403" t="s">
        <v>1028</v>
      </c>
      <c r="B55" s="2374" t="str">
        <f>估价对象房地状况!C20</f>
        <v>较好</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8"/>
      <c r="AF55" s="1398"/>
      <c r="AG55" s="1398"/>
      <c r="AH55" s="1398"/>
      <c r="AI55" s="1398"/>
      <c r="AJ55" s="1398"/>
      <c r="AK55" s="1398"/>
      <c r="AL55" s="1398"/>
      <c r="AM55" s="1398"/>
      <c r="AN55" s="1398"/>
    </row>
    <row r="56" spans="1:40" s="1397" customFormat="1" ht="14.4">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8"/>
      <c r="AF56" s="1398"/>
      <c r="AG56" s="1398"/>
      <c r="AH56" s="1398"/>
      <c r="AI56" s="1398"/>
      <c r="AJ56" s="1398"/>
      <c r="AK56" s="1398"/>
      <c r="AL56" s="1398"/>
      <c r="AM56" s="1398"/>
      <c r="AN56" s="1398"/>
    </row>
    <row r="57" spans="1:40" s="1397" customFormat="1" ht="24">
      <c r="A57" s="1061" t="s">
        <v>1008</v>
      </c>
      <c r="B57" s="2370"/>
      <c r="C57" s="2392" t="s">
        <v>1010</v>
      </c>
      <c r="D57" s="2393" t="s">
        <v>1011</v>
      </c>
      <c r="E57" s="2394" t="s">
        <v>1013</v>
      </c>
      <c r="F57" s="2395" t="s">
        <v>2251</v>
      </c>
      <c r="G57" s="2393" t="s">
        <v>1014</v>
      </c>
      <c r="H57" s="2376" t="s">
        <v>2417</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8"/>
      <c r="AF57" s="1398"/>
      <c r="AG57" s="1398"/>
      <c r="AH57" s="1398"/>
      <c r="AI57" s="1398"/>
      <c r="AJ57" s="1398"/>
      <c r="AK57" s="1398"/>
      <c r="AL57" s="1398"/>
      <c r="AM57" s="1398"/>
      <c r="AN57" s="1398"/>
    </row>
    <row r="58" spans="1:40" s="1397" customFormat="1" ht="24">
      <c r="A58" s="1061" t="s">
        <v>1030</v>
      </c>
      <c r="B58" s="2373" t="str">
        <f>估价对象房地状况!C17</f>
        <v>一般</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8"/>
      <c r="AF58" s="1398"/>
      <c r="AG58" s="1398"/>
      <c r="AH58" s="1398"/>
      <c r="AI58" s="1398"/>
      <c r="AJ58" s="1398"/>
      <c r="AK58" s="1398"/>
      <c r="AL58" s="1398"/>
      <c r="AM58" s="1398"/>
      <c r="AN58" s="1398"/>
    </row>
    <row r="59" spans="1:40" s="1397" customFormat="1" ht="24">
      <c r="A59" s="1061" t="s">
        <v>1021</v>
      </c>
      <c r="B59" s="2370" t="str">
        <f>估价对象房地状况!C18</f>
        <v>一般</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8"/>
      <c r="AF59" s="1398"/>
      <c r="AG59" s="1398"/>
      <c r="AH59" s="1398"/>
      <c r="AI59" s="1398"/>
      <c r="AJ59" s="1398"/>
      <c r="AK59" s="1398"/>
      <c r="AL59" s="1398"/>
      <c r="AM59" s="1398"/>
      <c r="AN59" s="1398"/>
    </row>
    <row r="60" spans="1:40" s="1397" customFormat="1" ht="24">
      <c r="A60" s="1061" t="s">
        <v>1022</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8"/>
      <c r="AF60" s="1398"/>
      <c r="AG60" s="1398"/>
      <c r="AH60" s="1398"/>
      <c r="AI60" s="1398"/>
      <c r="AJ60" s="1398"/>
      <c r="AK60" s="1398"/>
      <c r="AL60" s="1398"/>
      <c r="AM60" s="1398"/>
      <c r="AN60" s="1398"/>
    </row>
    <row r="61" spans="1:40" s="1397" customFormat="1" ht="48">
      <c r="A61" s="1061" t="s">
        <v>1023</v>
      </c>
      <c r="B61" s="3045" t="s">
        <v>2933</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8"/>
      <c r="AF61" s="1398"/>
      <c r="AG61" s="1398"/>
      <c r="AH61" s="1398"/>
      <c r="AI61" s="1398"/>
      <c r="AJ61" s="1398"/>
      <c r="AK61" s="1398"/>
      <c r="AL61" s="1398"/>
      <c r="AM61" s="1398"/>
      <c r="AN61" s="1398"/>
    </row>
    <row r="62" spans="1:40" s="1397" customFormat="1" ht="24">
      <c r="A62" s="1061" t="s">
        <v>1024</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8"/>
      <c r="AF62" s="1398"/>
      <c r="AG62" s="1398"/>
      <c r="AH62" s="1398"/>
      <c r="AI62" s="1398"/>
      <c r="AJ62" s="1398"/>
      <c r="AK62" s="1398"/>
      <c r="AL62" s="1398"/>
      <c r="AM62" s="1398"/>
      <c r="AN62" s="1398"/>
    </row>
    <row r="63" spans="1:40" s="1397" customFormat="1" ht="36">
      <c r="A63" s="1061" t="s">
        <v>1025</v>
      </c>
      <c r="B63" s="3044" t="s">
        <v>2931</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8"/>
      <c r="AF63" s="1398"/>
      <c r="AG63" s="1398"/>
      <c r="AH63" s="1398"/>
      <c r="AI63" s="1398"/>
      <c r="AJ63" s="1398"/>
      <c r="AK63" s="1398"/>
      <c r="AL63" s="1398"/>
      <c r="AM63" s="1398"/>
      <c r="AN63" s="1398"/>
    </row>
    <row r="64" spans="1:40" s="1397" customFormat="1" ht="24">
      <c r="A64" s="1061" t="s">
        <v>1026</v>
      </c>
      <c r="B64" s="2371" t="str">
        <f>估价对象房地状况!C21</f>
        <v>较好</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8"/>
      <c r="AF64" s="1398"/>
      <c r="AG64" s="1398"/>
      <c r="AH64" s="1398"/>
      <c r="AI64" s="1398"/>
      <c r="AJ64" s="1398"/>
      <c r="AK64" s="1398"/>
      <c r="AL64" s="1398"/>
      <c r="AM64" s="1398"/>
      <c r="AN64" s="1398"/>
    </row>
    <row r="65" spans="1:40" s="1397" customFormat="1" ht="24">
      <c r="A65" s="1061" t="s">
        <v>1027</v>
      </c>
      <c r="B65" s="2371" t="str">
        <f>估价对象房地状况!C22</f>
        <v>七通</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8"/>
      <c r="AF65" s="1398"/>
      <c r="AG65" s="1398"/>
      <c r="AH65" s="1398"/>
      <c r="AI65" s="1398"/>
      <c r="AJ65" s="1398"/>
      <c r="AK65" s="1398"/>
      <c r="AL65" s="1398"/>
      <c r="AM65" s="1398"/>
      <c r="AN65" s="1398"/>
    </row>
    <row r="66" spans="1:40" s="1397" customFormat="1" ht="36.6" thickBot="1">
      <c r="A66" s="2403" t="s">
        <v>1028</v>
      </c>
      <c r="B66" s="2375" t="str">
        <f>估价对象房地状况!C20</f>
        <v>较好</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8"/>
      <c r="AF66" s="1398"/>
      <c r="AG66" s="1398"/>
      <c r="AH66" s="1398"/>
      <c r="AI66" s="1398"/>
      <c r="AJ66" s="1398"/>
      <c r="AK66" s="1398"/>
      <c r="AL66" s="1398"/>
      <c r="AM66" s="1398"/>
      <c r="AN66" s="1398"/>
    </row>
    <row r="67" spans="1:40" s="1397" customFormat="1" ht="14.4">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8"/>
      <c r="AF67" s="1398"/>
      <c r="AG67" s="1398"/>
      <c r="AH67" s="1398"/>
      <c r="AI67" s="1398"/>
      <c r="AJ67" s="1398"/>
      <c r="AK67" s="1398"/>
      <c r="AL67" s="1398"/>
      <c r="AM67" s="1398"/>
      <c r="AN67" s="1398"/>
    </row>
    <row r="68" spans="1:40" s="1397" customFormat="1" ht="24">
      <c r="A68" s="1061" t="s">
        <v>1008</v>
      </c>
      <c r="B68" s="2370"/>
      <c r="C68" s="2392" t="s">
        <v>1010</v>
      </c>
      <c r="D68" s="2393" t="s">
        <v>1011</v>
      </c>
      <c r="E68" s="2394" t="s">
        <v>1013</v>
      </c>
      <c r="F68" s="2395" t="s">
        <v>2252</v>
      </c>
      <c r="G68" s="2393" t="s">
        <v>1014</v>
      </c>
      <c r="H68" s="2376" t="s">
        <v>2417</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8"/>
      <c r="AF68" s="1398"/>
      <c r="AG68" s="1398"/>
      <c r="AH68" s="1398"/>
      <c r="AI68" s="1398"/>
      <c r="AJ68" s="1398"/>
      <c r="AK68" s="1398"/>
      <c r="AL68" s="1398"/>
      <c r="AM68" s="1398"/>
      <c r="AN68" s="1398"/>
    </row>
    <row r="69" spans="1:40" s="1397" customFormat="1" ht="24">
      <c r="A69" s="1061" t="s">
        <v>1032</v>
      </c>
      <c r="B69" s="2373" t="str">
        <f>估价对象房地状况!C15</f>
        <v>较好</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8"/>
      <c r="AF69" s="1398"/>
      <c r="AG69" s="1398"/>
      <c r="AH69" s="1398"/>
      <c r="AI69" s="1398"/>
      <c r="AJ69" s="1398"/>
      <c r="AK69" s="1398"/>
      <c r="AL69" s="1398"/>
      <c r="AM69" s="1398"/>
      <c r="AN69" s="1398"/>
    </row>
    <row r="70" spans="1:40" s="1397" customFormat="1" ht="24">
      <c r="A70" s="1061" t="s">
        <v>1033</v>
      </c>
      <c r="B70" s="2370" t="str">
        <f>估价对象房地状况!C18</f>
        <v>一般</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8"/>
      <c r="AF70" s="1398"/>
      <c r="AG70" s="1398"/>
      <c r="AH70" s="1398"/>
      <c r="AI70" s="1398"/>
      <c r="AJ70" s="1398"/>
      <c r="AK70" s="1398"/>
      <c r="AL70" s="1398"/>
      <c r="AM70" s="1398"/>
      <c r="AN70" s="1398"/>
    </row>
    <row r="71" spans="1:40" s="1397" customFormat="1" ht="24">
      <c r="A71" s="1061" t="s">
        <v>1022</v>
      </c>
      <c r="B71" s="2370">
        <f>估价对象房地状况!C19</f>
        <v>0</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8"/>
      <c r="AF71" s="1398"/>
      <c r="AG71" s="1398"/>
      <c r="AH71" s="1398"/>
      <c r="AI71" s="1398"/>
      <c r="AJ71" s="1398"/>
      <c r="AK71" s="1398"/>
      <c r="AL71" s="1398"/>
      <c r="AM71" s="1398"/>
      <c r="AN71" s="1398"/>
    </row>
    <row r="72" spans="1:40" s="1397" customFormat="1" ht="13.8">
      <c r="A72" s="1061" t="s">
        <v>1034</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8"/>
      <c r="AF72" s="1398"/>
      <c r="AG72" s="1398"/>
      <c r="AH72" s="1398"/>
      <c r="AI72" s="1398"/>
      <c r="AJ72" s="1398"/>
      <c r="AK72" s="1398"/>
      <c r="AL72" s="1398"/>
      <c r="AM72" s="1398"/>
      <c r="AN72" s="1398"/>
    </row>
    <row r="73" spans="1:40" s="1397" customFormat="1" ht="24">
      <c r="A73" s="1061" t="s">
        <v>1026</v>
      </c>
      <c r="B73" s="2371" t="str">
        <f>估价对象房地状况!C21</f>
        <v>较好</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8"/>
      <c r="AF73" s="1398"/>
      <c r="AG73" s="1398"/>
      <c r="AH73" s="1398"/>
      <c r="AI73" s="1398"/>
      <c r="AJ73" s="1398"/>
      <c r="AK73" s="1398"/>
      <c r="AL73" s="1398"/>
      <c r="AM73" s="1398"/>
      <c r="AN73" s="1398"/>
    </row>
    <row r="74" spans="1:40" s="1397" customFormat="1" ht="24">
      <c r="A74" s="1061" t="s">
        <v>1027</v>
      </c>
      <c r="B74" s="2371" t="str">
        <f>估价对象房地状况!C22</f>
        <v>七通</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8"/>
      <c r="AF74" s="1398"/>
      <c r="AG74" s="1398"/>
      <c r="AH74" s="1398"/>
      <c r="AI74" s="1398"/>
      <c r="AJ74" s="1398"/>
      <c r="AK74" s="1398"/>
      <c r="AL74" s="1398"/>
      <c r="AM74" s="1398"/>
      <c r="AN74" s="1398"/>
    </row>
    <row r="75" spans="1:40" s="1397" customFormat="1" ht="36">
      <c r="A75" s="1061" t="s">
        <v>1025</v>
      </c>
      <c r="B75" s="3044" t="s">
        <v>2931</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8"/>
      <c r="AF75" s="1398"/>
      <c r="AG75" s="1398"/>
      <c r="AH75" s="1398"/>
      <c r="AI75" s="1398"/>
      <c r="AJ75" s="1398"/>
      <c r="AK75" s="1398"/>
      <c r="AL75" s="1398"/>
      <c r="AM75" s="1398"/>
      <c r="AN75" s="1398"/>
    </row>
    <row r="76" spans="1:40" ht="36">
      <c r="A76" s="1061" t="s">
        <v>1028</v>
      </c>
      <c r="B76" s="2373" t="str">
        <f>估价对象房地状况!C20</f>
        <v>较好</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8"/>
      <c r="AN76" s="1399"/>
    </row>
    <row r="77" spans="1:40" ht="36.6" thickBot="1">
      <c r="A77" s="2403" t="s">
        <v>1035</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0"/>
      <c r="AD77" s="1399"/>
      <c r="AJ77" s="1398"/>
      <c r="AN77" s="1399"/>
    </row>
    <row r="78" spans="1:40" ht="14.4">
      <c r="A78" s="2386" t="s">
        <v>1036</v>
      </c>
      <c r="B78" s="2387">
        <f>1+E80</f>
        <v>1</v>
      </c>
      <c r="C78" s="2406"/>
      <c r="D78" s="2389"/>
      <c r="E78" s="2390"/>
      <c r="F78" s="2391"/>
      <c r="G78" s="2385"/>
      <c r="H78" s="2385"/>
      <c r="I78" s="2385"/>
      <c r="J78" s="1060"/>
      <c r="K78" s="1060"/>
      <c r="L78" s="1060"/>
      <c r="M78" s="1060"/>
      <c r="N78" s="1060"/>
      <c r="AC78" s="1400"/>
      <c r="AD78" s="1399"/>
      <c r="AJ78" s="1398"/>
      <c r="AN78" s="1399"/>
    </row>
    <row r="79" spans="1:40" ht="24">
      <c r="A79" s="1061" t="s">
        <v>1008</v>
      </c>
      <c r="B79" s="2370"/>
      <c r="C79" s="2392" t="s">
        <v>1010</v>
      </c>
      <c r="D79" s="2393" t="s">
        <v>1011</v>
      </c>
      <c r="E79" s="2394" t="s">
        <v>1013</v>
      </c>
      <c r="F79" s="2395" t="s">
        <v>2253</v>
      </c>
      <c r="G79" s="2393" t="s">
        <v>1014</v>
      </c>
      <c r="H79" s="2376" t="s">
        <v>2417</v>
      </c>
      <c r="I79" s="2393" t="s">
        <v>1012</v>
      </c>
      <c r="J79" s="2396" t="s">
        <v>1015</v>
      </c>
      <c r="K79" s="2396" t="s">
        <v>1016</v>
      </c>
      <c r="L79" s="2396" t="s">
        <v>1017</v>
      </c>
      <c r="M79" s="2396" t="s">
        <v>1018</v>
      </c>
      <c r="N79" s="2396" t="s">
        <v>1019</v>
      </c>
      <c r="AC79" s="1400"/>
      <c r="AD79" s="1399"/>
      <c r="AJ79" s="1398"/>
      <c r="AN79" s="1399"/>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0"/>
      <c r="AD80" s="1399"/>
      <c r="AJ80" s="1398"/>
      <c r="AN80" s="1399"/>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0"/>
      <c r="AD81" s="1399"/>
      <c r="AJ81" s="1398"/>
      <c r="AN81" s="1399"/>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0"/>
      <c r="AD82" s="1399"/>
      <c r="AJ82" s="1398"/>
      <c r="AN82" s="1399"/>
    </row>
    <row r="83" spans="1:40" ht="13.8">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0"/>
      <c r="AD83" s="1399"/>
      <c r="AJ83" s="1398"/>
      <c r="AN83" s="1399"/>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0"/>
      <c r="AD84" s="1399"/>
      <c r="AJ84" s="1398"/>
      <c r="AN84" s="1399"/>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0"/>
      <c r="AD85" s="1399"/>
      <c r="AJ85" s="1398"/>
      <c r="AN85" s="1399"/>
    </row>
    <row r="86" spans="1:40" ht="36">
      <c r="A86" s="1061" t="s">
        <v>1025</v>
      </c>
      <c r="B86" s="3044" t="s">
        <v>2931</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0"/>
      <c r="AD86" s="1399"/>
      <c r="AJ86" s="1398"/>
      <c r="AN86" s="1399"/>
    </row>
    <row r="87" spans="1:40" ht="48.6"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0"/>
      <c r="AD87" s="1399"/>
      <c r="AJ87" s="1398"/>
      <c r="AN87" s="1399"/>
    </row>
    <row r="90" spans="1:40">
      <c r="A90" s="3433" t="s">
        <v>1633</v>
      </c>
      <c r="B90" s="3433"/>
      <c r="C90" s="3433"/>
      <c r="D90" s="3433"/>
      <c r="E90" s="3433"/>
      <c r="F90" s="3433"/>
      <c r="G90" s="3433"/>
      <c r="H90" s="3433"/>
      <c r="I90" s="3433"/>
      <c r="J90" s="3433"/>
      <c r="K90" s="2412"/>
      <c r="L90" s="2412"/>
      <c r="M90" s="2412"/>
      <c r="N90" s="2412"/>
    </row>
    <row r="91" spans="1:40">
      <c r="A91" s="3434" t="s">
        <v>1443</v>
      </c>
      <c r="B91" s="3434" t="s">
        <v>1634</v>
      </c>
      <c r="C91" s="1134" t="s">
        <v>1635</v>
      </c>
      <c r="D91" s="1135"/>
      <c r="E91" s="1135"/>
      <c r="F91" s="1135"/>
      <c r="G91" s="1135"/>
      <c r="H91" s="1135"/>
      <c r="I91" s="1135"/>
      <c r="J91" s="1136"/>
      <c r="K91" s="1128"/>
      <c r="L91" s="1128"/>
      <c r="M91" s="1128"/>
      <c r="N91" s="1128"/>
    </row>
    <row r="92" spans="1:40">
      <c r="A92" s="3434"/>
      <c r="B92" s="3434"/>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41" t="s">
        <v>2763</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2"/>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1"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42"/>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42"/>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42"/>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42"/>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42"/>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42"/>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42"/>
      <c r="B108" s="3444"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3"/>
      <c r="B109" s="3445"/>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27" t="s">
        <v>1639</v>
      </c>
      <c r="B110" s="3427"/>
      <c r="C110" s="3427"/>
      <c r="D110" s="3427"/>
      <c r="E110" s="3427"/>
      <c r="F110" s="3427"/>
      <c r="G110" s="3427"/>
      <c r="H110" s="3427"/>
      <c r="I110" s="3427"/>
      <c r="J110" s="3427"/>
      <c r="K110" s="2410"/>
      <c r="L110" s="2410"/>
      <c r="M110" s="2410"/>
      <c r="N110" s="2410"/>
    </row>
    <row r="112" spans="1:14" ht="12.6" thickBot="1"/>
    <row r="113" spans="1:13" ht="25.8" thickBot="1">
      <c r="A113" s="1014" t="s">
        <v>896</v>
      </c>
      <c r="B113" s="2413">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3.2">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3.2">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8"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34" t="s">
        <v>1007</v>
      </c>
      <c r="B18" s="1148" t="s">
        <v>1446</v>
      </c>
      <c r="C18" s="1125" t="s">
        <v>1447</v>
      </c>
      <c r="D18" s="1126"/>
      <c r="E18" s="1148">
        <v>1</v>
      </c>
      <c r="F18" s="1127" t="s">
        <v>1448</v>
      </c>
      <c r="G18" s="1128"/>
      <c r="H18" s="1099"/>
      <c r="I18" s="1099"/>
    </row>
    <row r="19" spans="1:9" s="1583" customFormat="1" ht="19.5" customHeight="1">
      <c r="A19" s="3434"/>
      <c r="B19" s="3434" t="s">
        <v>1449</v>
      </c>
      <c r="C19" s="1125" t="s">
        <v>1450</v>
      </c>
      <c r="D19" s="1126"/>
      <c r="E19" s="1148">
        <v>0.9</v>
      </c>
      <c r="F19" s="1127" t="s">
        <v>1451</v>
      </c>
      <c r="G19" s="1128"/>
      <c r="H19" s="1099"/>
      <c r="I19" s="1099"/>
    </row>
    <row r="20" spans="1:9" s="1583" customFormat="1" ht="19.5" customHeight="1">
      <c r="A20" s="3434"/>
      <c r="B20" s="3434"/>
      <c r="C20" s="1125" t="s">
        <v>1452</v>
      </c>
      <c r="D20" s="1126"/>
      <c r="E20" s="1148">
        <v>1.1000000000000001</v>
      </c>
      <c r="F20" s="1127" t="s">
        <v>1453</v>
      </c>
      <c r="G20" s="1128"/>
      <c r="H20" s="1099"/>
      <c r="I20" s="1099"/>
    </row>
    <row r="21" spans="1:9" s="1583" customFormat="1" ht="19.5" customHeight="1">
      <c r="A21" s="3434"/>
      <c r="B21" s="3434"/>
      <c r="C21" s="1125" t="s">
        <v>1454</v>
      </c>
      <c r="D21" s="1126"/>
      <c r="E21" s="1148">
        <v>0.8</v>
      </c>
      <c r="F21" s="1127" t="s">
        <v>1455</v>
      </c>
      <c r="G21" s="1128"/>
      <c r="H21" s="1099"/>
      <c r="I21" s="1099"/>
    </row>
    <row r="22" spans="1:9" s="1583" customFormat="1" ht="19.5" customHeight="1">
      <c r="A22" s="3434"/>
      <c r="B22" s="3434"/>
      <c r="C22" s="1125" t="s">
        <v>1456</v>
      </c>
      <c r="D22" s="1126"/>
      <c r="E22" s="1148">
        <v>0.5</v>
      </c>
      <c r="F22" s="1127"/>
      <c r="G22" s="1128"/>
      <c r="H22" s="1099"/>
      <c r="I22" s="1099"/>
    </row>
    <row r="23" spans="1:9" s="1583" customFormat="1" ht="19.5" customHeight="1">
      <c r="A23" s="3434" t="s">
        <v>1029</v>
      </c>
      <c r="B23" s="1148" t="s">
        <v>1446</v>
      </c>
      <c r="C23" s="1125" t="s">
        <v>1457</v>
      </c>
      <c r="D23" s="1126"/>
      <c r="E23" s="1148">
        <v>1</v>
      </c>
      <c r="F23" s="1127" t="s">
        <v>1458</v>
      </c>
      <c r="G23" s="1128"/>
      <c r="H23" s="1099"/>
      <c r="I23" s="1099"/>
    </row>
    <row r="24" spans="1:9" s="1583" customFormat="1" ht="19.5" customHeight="1">
      <c r="A24" s="3434"/>
      <c r="B24" s="3434" t="s">
        <v>1449</v>
      </c>
      <c r="C24" s="1125" t="s">
        <v>1459</v>
      </c>
      <c r="D24" s="1126"/>
      <c r="E24" s="1148">
        <v>0.5</v>
      </c>
      <c r="F24" s="1127"/>
      <c r="G24" s="1128"/>
      <c r="H24" s="1099"/>
      <c r="I24" s="1099"/>
    </row>
    <row r="25" spans="1:9" s="1583" customFormat="1" ht="19.5" customHeight="1">
      <c r="A25" s="3434"/>
      <c r="B25" s="3434"/>
      <c r="C25" s="1125" t="s">
        <v>1460</v>
      </c>
      <c r="D25" s="1126"/>
      <c r="E25" s="1148">
        <v>1.1000000000000001</v>
      </c>
      <c r="F25" s="1127"/>
      <c r="G25" s="1128"/>
      <c r="H25" s="1099"/>
      <c r="I25" s="1099"/>
    </row>
    <row r="26" spans="1:9" s="1583" customFormat="1" ht="19.5" customHeight="1">
      <c r="A26" s="3434"/>
      <c r="B26" s="3434"/>
      <c r="C26" s="1125" t="s">
        <v>1461</v>
      </c>
      <c r="D26" s="1126"/>
      <c r="E26" s="1148">
        <v>1.1000000000000001</v>
      </c>
      <c r="F26" s="1127"/>
      <c r="G26" s="1128"/>
      <c r="H26" s="1099"/>
      <c r="I26" s="1099"/>
    </row>
    <row r="27" spans="1:9" s="1583" customFormat="1" ht="19.5" customHeight="1">
      <c r="A27" s="3434"/>
      <c r="B27" s="3434"/>
      <c r="C27" s="1125" t="s">
        <v>1462</v>
      </c>
      <c r="D27" s="1126"/>
      <c r="E27" s="1148">
        <v>0.9</v>
      </c>
      <c r="F27" s="1127" t="s">
        <v>1463</v>
      </c>
      <c r="G27" s="1128"/>
      <c r="H27" s="1099"/>
      <c r="I27" s="1099"/>
    </row>
    <row r="28" spans="1:9" s="1583" customFormat="1" ht="19.5" customHeight="1">
      <c r="A28" s="3434"/>
      <c r="B28" s="3434"/>
      <c r="C28" s="1125" t="s">
        <v>1464</v>
      </c>
      <c r="D28" s="1126"/>
      <c r="E28" s="1148">
        <v>0.9</v>
      </c>
      <c r="F28" s="1127" t="s">
        <v>1465</v>
      </c>
      <c r="G28" s="1128"/>
      <c r="H28" s="1099"/>
      <c r="I28" s="1099"/>
    </row>
    <row r="29" spans="1:9" s="1583" customFormat="1" ht="19.5" customHeight="1">
      <c r="A29" s="3434"/>
      <c r="B29" s="3434"/>
      <c r="C29" s="1125" t="s">
        <v>1466</v>
      </c>
      <c r="D29" s="1126"/>
      <c r="E29" s="1148">
        <v>0.9</v>
      </c>
      <c r="F29" s="1127" t="s">
        <v>1467</v>
      </c>
      <c r="G29" s="1128"/>
      <c r="H29" s="1099"/>
      <c r="I29" s="1099"/>
    </row>
    <row r="30" spans="1:9" s="1583" customFormat="1" ht="19.5" customHeight="1">
      <c r="A30" s="3434"/>
      <c r="B30" s="3434"/>
      <c r="C30" s="1125" t="s">
        <v>1468</v>
      </c>
      <c r="D30" s="1126"/>
      <c r="E30" s="1148">
        <v>0.9</v>
      </c>
      <c r="F30" s="1127" t="s">
        <v>1469</v>
      </c>
      <c r="G30" s="1128"/>
      <c r="H30" s="1099"/>
      <c r="I30" s="1099"/>
    </row>
    <row r="31" spans="1:9" s="1583" customFormat="1" ht="19.5" customHeight="1">
      <c r="A31" s="3434"/>
      <c r="B31" s="3434"/>
      <c r="C31" s="1125" t="s">
        <v>1470</v>
      </c>
      <c r="D31" s="1126"/>
      <c r="E31" s="1148">
        <v>0.8</v>
      </c>
      <c r="F31" s="1127" t="s">
        <v>1471</v>
      </c>
      <c r="G31" s="1128"/>
      <c r="H31" s="1099"/>
      <c r="I31" s="1099"/>
    </row>
    <row r="32" spans="1:9" s="1583" customFormat="1" ht="19.5" customHeight="1">
      <c r="A32" s="3434"/>
      <c r="B32" s="3434"/>
      <c r="C32" s="1125" t="s">
        <v>1472</v>
      </c>
      <c r="D32" s="1126"/>
      <c r="E32" s="1148">
        <v>0.8</v>
      </c>
      <c r="F32" s="1127" t="s">
        <v>1473</v>
      </c>
      <c r="G32" s="1128"/>
      <c r="H32" s="1099"/>
      <c r="I32" s="1099"/>
    </row>
    <row r="33" spans="1:9" s="1583" customFormat="1" ht="19.5" customHeight="1">
      <c r="A33" s="3434" t="s">
        <v>1474</v>
      </c>
      <c r="B33" s="1148" t="s">
        <v>1446</v>
      </c>
      <c r="C33" s="1125" t="s">
        <v>1475</v>
      </c>
      <c r="D33" s="1126"/>
      <c r="E33" s="1148">
        <v>1</v>
      </c>
      <c r="F33" s="1127" t="s">
        <v>1476</v>
      </c>
      <c r="G33" s="1128"/>
      <c r="H33" s="1099"/>
      <c r="I33" s="1099"/>
    </row>
    <row r="34" spans="1:9" s="1583" customFormat="1" ht="19.5" customHeight="1">
      <c r="A34" s="3434"/>
      <c r="B34" s="1148" t="s">
        <v>1449</v>
      </c>
      <c r="C34" s="1125" t="s">
        <v>1477</v>
      </c>
      <c r="D34" s="1126"/>
      <c r="E34" s="1148">
        <v>1.5</v>
      </c>
      <c r="F34" s="1127" t="s">
        <v>1478</v>
      </c>
      <c r="G34" s="1128"/>
      <c r="H34" s="1099"/>
      <c r="I34" s="1099"/>
    </row>
    <row r="35" spans="1:9" s="1583" customFormat="1" ht="19.5" customHeight="1">
      <c r="A35" s="3434" t="s">
        <v>1432</v>
      </c>
      <c r="B35" s="1148" t="s">
        <v>1446</v>
      </c>
      <c r="C35" s="1125" t="s">
        <v>1479</v>
      </c>
      <c r="D35" s="1126"/>
      <c r="E35" s="1148">
        <v>1</v>
      </c>
      <c r="F35" s="1127" t="s">
        <v>1480</v>
      </c>
      <c r="G35" s="1128"/>
      <c r="H35" s="1099"/>
      <c r="I35" s="1099"/>
    </row>
    <row r="36" spans="1:9" s="1583" customFormat="1" ht="19.5" customHeight="1">
      <c r="A36" s="3434"/>
      <c r="B36" s="3434" t="s">
        <v>1449</v>
      </c>
      <c r="C36" s="1125" t="s">
        <v>1481</v>
      </c>
      <c r="D36" s="1126"/>
      <c r="E36" s="1148">
        <v>1</v>
      </c>
      <c r="F36" s="1127" t="s">
        <v>1482</v>
      </c>
      <c r="G36" s="1128"/>
      <c r="H36" s="1099"/>
      <c r="I36" s="1099"/>
    </row>
    <row r="37" spans="1:9" s="1583" customFormat="1" ht="19.5" customHeight="1">
      <c r="A37" s="3434"/>
      <c r="B37" s="3434"/>
      <c r="C37" s="1125" t="s">
        <v>1483</v>
      </c>
      <c r="D37" s="1126"/>
      <c r="E37" s="1148">
        <v>1.5</v>
      </c>
      <c r="F37" s="1127" t="s">
        <v>1484</v>
      </c>
      <c r="G37" s="1128"/>
      <c r="H37" s="1099"/>
      <c r="I37" s="1099"/>
    </row>
    <row r="38" spans="1:9" s="1583" customFormat="1" ht="19.5" customHeight="1">
      <c r="A38" s="3434"/>
      <c r="B38" s="3434"/>
      <c r="C38" s="1125" t="s">
        <v>1485</v>
      </c>
      <c r="D38" s="1126"/>
      <c r="E38" s="1148">
        <v>1</v>
      </c>
      <c r="F38" s="1127" t="s">
        <v>1486</v>
      </c>
      <c r="G38" s="1128"/>
      <c r="H38" s="1099"/>
      <c r="I38" s="1099"/>
    </row>
    <row r="39" spans="1:9" s="1583" customFormat="1" ht="19.5" customHeight="1">
      <c r="A39" s="3434"/>
      <c r="B39" s="3434"/>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36">
      <c r="A61" s="1148">
        <v>1</v>
      </c>
      <c r="B61" s="3434" t="s">
        <v>1501</v>
      </c>
      <c r="C61" s="1062" t="s">
        <v>1502</v>
      </c>
      <c r="D61" s="1062" t="s">
        <v>1503</v>
      </c>
      <c r="E61" s="1133">
        <v>0.5</v>
      </c>
      <c r="F61" s="1148">
        <v>80</v>
      </c>
      <c r="H61" s="1099">
        <f>SUMIF(C59:C119,基准地价!C8,E59:E119)</f>
        <v>0</v>
      </c>
    </row>
    <row r="62" spans="1:8" s="1099" customFormat="1" ht="36">
      <c r="A62" s="1148">
        <v>2</v>
      </c>
      <c r="B62" s="3434"/>
      <c r="C62" s="1062" t="s">
        <v>1504</v>
      </c>
      <c r="D62" s="1062" t="s">
        <v>1505</v>
      </c>
      <c r="E62" s="1133">
        <v>0.5</v>
      </c>
      <c r="F62" s="1148">
        <v>80</v>
      </c>
    </row>
    <row r="63" spans="1:8" s="1099" customFormat="1" ht="48">
      <c r="A63" s="1148">
        <v>3</v>
      </c>
      <c r="B63" s="3434"/>
      <c r="C63" s="1062" t="s">
        <v>1506</v>
      </c>
      <c r="D63" s="1062" t="s">
        <v>1507</v>
      </c>
      <c r="E63" s="1133">
        <v>0.5</v>
      </c>
      <c r="F63" s="1148">
        <v>80</v>
      </c>
    </row>
    <row r="64" spans="1:8" s="1099" customFormat="1" ht="48">
      <c r="A64" s="1148">
        <v>4</v>
      </c>
      <c r="B64" s="3434"/>
      <c r="C64" s="1062" t="s">
        <v>1508</v>
      </c>
      <c r="D64" s="1062" t="s">
        <v>1509</v>
      </c>
      <c r="E64" s="1133">
        <v>0.4</v>
      </c>
      <c r="F64" s="1148">
        <v>60</v>
      </c>
    </row>
    <row r="65" spans="1:6" s="1099" customFormat="1" ht="48">
      <c r="A65" s="1148">
        <v>5</v>
      </c>
      <c r="B65" s="3434"/>
      <c r="C65" s="1062" t="s">
        <v>1510</v>
      </c>
      <c r="D65" s="1062" t="s">
        <v>1511</v>
      </c>
      <c r="E65" s="1133">
        <v>0.2</v>
      </c>
      <c r="F65" s="1148">
        <v>30</v>
      </c>
    </row>
    <row r="66" spans="1:6" s="1099" customFormat="1" ht="48">
      <c r="A66" s="1148">
        <v>6</v>
      </c>
      <c r="B66" s="3434"/>
      <c r="C66" s="1062" t="s">
        <v>1512</v>
      </c>
      <c r="D66" s="1062" t="s">
        <v>1513</v>
      </c>
      <c r="E66" s="1133">
        <v>0.3</v>
      </c>
      <c r="F66" s="1148">
        <v>50</v>
      </c>
    </row>
    <row r="67" spans="1:6" s="1099" customFormat="1" ht="48">
      <c r="A67" s="1148">
        <v>7</v>
      </c>
      <c r="B67" s="3434"/>
      <c r="C67" s="1062" t="s">
        <v>1514</v>
      </c>
      <c r="D67" s="1062" t="s">
        <v>1515</v>
      </c>
      <c r="E67" s="1133">
        <v>0.2</v>
      </c>
      <c r="F67" s="1148">
        <v>30</v>
      </c>
    </row>
    <row r="68" spans="1:6" s="1099" customFormat="1" ht="48">
      <c r="A68" s="1148">
        <v>8</v>
      </c>
      <c r="B68" s="3434"/>
      <c r="C68" s="1062" t="s">
        <v>1516</v>
      </c>
      <c r="D68" s="1062" t="s">
        <v>1517</v>
      </c>
      <c r="E68" s="1133">
        <v>0.2</v>
      </c>
      <c r="F68" s="1148">
        <v>30</v>
      </c>
    </row>
    <row r="69" spans="1:6" s="1099" customFormat="1" ht="48">
      <c r="A69" s="1148">
        <v>9</v>
      </c>
      <c r="B69" s="3434"/>
      <c r="C69" s="1062" t="s">
        <v>1518</v>
      </c>
      <c r="D69" s="1062" t="s">
        <v>1519</v>
      </c>
      <c r="E69" s="1133">
        <v>0.2</v>
      </c>
      <c r="F69" s="1148">
        <v>30</v>
      </c>
    </row>
    <row r="70" spans="1:6" s="1099" customFormat="1" ht="60">
      <c r="A70" s="1148">
        <v>10</v>
      </c>
      <c r="B70" s="3434"/>
      <c r="C70" s="1062" t="s">
        <v>1520</v>
      </c>
      <c r="D70" s="1062" t="s">
        <v>1521</v>
      </c>
      <c r="E70" s="1133">
        <v>0.2</v>
      </c>
      <c r="F70" s="1148">
        <v>30</v>
      </c>
    </row>
    <row r="71" spans="1:6" s="1099" customFormat="1" ht="60">
      <c r="A71" s="1148">
        <v>11</v>
      </c>
      <c r="B71" s="3434"/>
      <c r="C71" s="1062" t="s">
        <v>1522</v>
      </c>
      <c r="D71" s="1062" t="s">
        <v>1523</v>
      </c>
      <c r="E71" s="1133">
        <v>0.2</v>
      </c>
      <c r="F71" s="1148">
        <v>30</v>
      </c>
    </row>
    <row r="72" spans="1:6" s="1099" customFormat="1" ht="36">
      <c r="A72" s="1148">
        <v>12</v>
      </c>
      <c r="B72" s="3434"/>
      <c r="C72" s="1062" t="s">
        <v>1524</v>
      </c>
      <c r="D72" s="1062" t="s">
        <v>1525</v>
      </c>
      <c r="E72" s="1133">
        <v>0.5</v>
      </c>
      <c r="F72" s="1148">
        <v>80</v>
      </c>
    </row>
    <row r="73" spans="1:6" s="1099" customFormat="1" ht="36">
      <c r="A73" s="1148">
        <v>13</v>
      </c>
      <c r="B73" s="3434"/>
      <c r="C73" s="1062" t="s">
        <v>1526</v>
      </c>
      <c r="D73" s="1062" t="s">
        <v>1527</v>
      </c>
      <c r="E73" s="1133">
        <v>0.4</v>
      </c>
      <c r="F73" s="1148">
        <v>60</v>
      </c>
    </row>
    <row r="74" spans="1:6" s="1099" customFormat="1" ht="36">
      <c r="A74" s="1148">
        <v>14</v>
      </c>
      <c r="B74" s="3434"/>
      <c r="C74" s="1062" t="s">
        <v>1528</v>
      </c>
      <c r="D74" s="1062" t="s">
        <v>1529</v>
      </c>
      <c r="E74" s="1133">
        <v>0.2</v>
      </c>
      <c r="F74" s="1148">
        <v>30</v>
      </c>
    </row>
    <row r="75" spans="1:6" s="1099" customFormat="1" ht="36">
      <c r="A75" s="1148">
        <v>15</v>
      </c>
      <c r="B75" s="3434"/>
      <c r="C75" s="1062" t="s">
        <v>1530</v>
      </c>
      <c r="D75" s="1062" t="s">
        <v>1531</v>
      </c>
      <c r="E75" s="1133">
        <v>0.2</v>
      </c>
      <c r="F75" s="1148">
        <v>30</v>
      </c>
    </row>
    <row r="76" spans="1:6" s="1099" customFormat="1" ht="36">
      <c r="A76" s="1148">
        <v>16</v>
      </c>
      <c r="B76" s="3434" t="s">
        <v>1532</v>
      </c>
      <c r="C76" s="1062" t="s">
        <v>1533</v>
      </c>
      <c r="D76" s="1062" t="s">
        <v>1534</v>
      </c>
      <c r="E76" s="1133">
        <v>0.5</v>
      </c>
      <c r="F76" s="1148">
        <v>80</v>
      </c>
    </row>
    <row r="77" spans="1:6" s="1099" customFormat="1" ht="36">
      <c r="A77" s="1148">
        <v>17</v>
      </c>
      <c r="B77" s="3434"/>
      <c r="C77" s="1062" t="s">
        <v>1535</v>
      </c>
      <c r="D77" s="1062" t="s">
        <v>1536</v>
      </c>
      <c r="E77" s="1133">
        <v>0.5</v>
      </c>
      <c r="F77" s="1148">
        <v>80</v>
      </c>
    </row>
    <row r="78" spans="1:6" s="1099" customFormat="1" ht="36">
      <c r="A78" s="1148">
        <v>18</v>
      </c>
      <c r="B78" s="3434"/>
      <c r="C78" s="1062" t="s">
        <v>1537</v>
      </c>
      <c r="D78" s="1062" t="s">
        <v>1538</v>
      </c>
      <c r="E78" s="1133">
        <v>0.2</v>
      </c>
      <c r="F78" s="1148">
        <v>30</v>
      </c>
    </row>
    <row r="79" spans="1:6" s="1099" customFormat="1" ht="36">
      <c r="A79" s="1148">
        <v>19</v>
      </c>
      <c r="B79" s="3434"/>
      <c r="C79" s="1062" t="s">
        <v>1539</v>
      </c>
      <c r="D79" s="1062" t="s">
        <v>1540</v>
      </c>
      <c r="E79" s="1133">
        <v>0.5</v>
      </c>
      <c r="F79" s="1148">
        <v>80</v>
      </c>
    </row>
    <row r="80" spans="1:6" s="1099" customFormat="1" ht="36">
      <c r="A80" s="1148">
        <v>20</v>
      </c>
      <c r="B80" s="3434"/>
      <c r="C80" s="1062" t="s">
        <v>1541</v>
      </c>
      <c r="D80" s="1062" t="s">
        <v>1542</v>
      </c>
      <c r="E80" s="1133">
        <v>0.2</v>
      </c>
      <c r="F80" s="1148">
        <v>30</v>
      </c>
    </row>
    <row r="81" spans="1:6" s="1099" customFormat="1" ht="36">
      <c r="A81" s="1148">
        <v>21</v>
      </c>
      <c r="B81" s="3434"/>
      <c r="C81" s="1062" t="s">
        <v>1543</v>
      </c>
      <c r="D81" s="1062" t="s">
        <v>1544</v>
      </c>
      <c r="E81" s="1133">
        <v>0.2</v>
      </c>
      <c r="F81" s="1148">
        <v>30</v>
      </c>
    </row>
    <row r="82" spans="1:6" s="1099" customFormat="1" ht="60">
      <c r="A82" s="1148">
        <v>22</v>
      </c>
      <c r="B82" s="3434"/>
      <c r="C82" s="1062" t="s">
        <v>1545</v>
      </c>
      <c r="D82" s="1062" t="s">
        <v>1546</v>
      </c>
      <c r="E82" s="1133">
        <v>0.2</v>
      </c>
      <c r="F82" s="1148">
        <v>30</v>
      </c>
    </row>
    <row r="83" spans="1:6" s="1099" customFormat="1" ht="60">
      <c r="A83" s="1148">
        <v>23</v>
      </c>
      <c r="B83" s="3434"/>
      <c r="C83" s="1062" t="s">
        <v>1547</v>
      </c>
      <c r="D83" s="1062" t="s">
        <v>1548</v>
      </c>
      <c r="E83" s="1133">
        <v>0.2</v>
      </c>
      <c r="F83" s="1148">
        <v>30</v>
      </c>
    </row>
    <row r="84" spans="1:6" s="1099" customFormat="1" ht="48">
      <c r="A84" s="1148">
        <v>24</v>
      </c>
      <c r="B84" s="3434"/>
      <c r="C84" s="1062" t="s">
        <v>1549</v>
      </c>
      <c r="D84" s="1062" t="s">
        <v>1550</v>
      </c>
      <c r="E84" s="1133">
        <v>0.2</v>
      </c>
      <c r="F84" s="1148">
        <v>30</v>
      </c>
    </row>
    <row r="85" spans="1:6" s="1099" customFormat="1" ht="36">
      <c r="A85" s="1148">
        <v>25</v>
      </c>
      <c r="B85" s="3434"/>
      <c r="C85" s="1062" t="s">
        <v>1551</v>
      </c>
      <c r="D85" s="1062" t="s">
        <v>1552</v>
      </c>
      <c r="E85" s="1133">
        <v>0.5</v>
      </c>
      <c r="F85" s="1148">
        <v>80</v>
      </c>
    </row>
    <row r="86" spans="1:6" s="1099" customFormat="1" ht="36">
      <c r="A86" s="1148">
        <v>26</v>
      </c>
      <c r="B86" s="3434"/>
      <c r="C86" s="1062" t="s">
        <v>1553</v>
      </c>
      <c r="D86" s="1062" t="s">
        <v>1554</v>
      </c>
      <c r="E86" s="1133">
        <v>0.2</v>
      </c>
      <c r="F86" s="1148">
        <v>30</v>
      </c>
    </row>
    <row r="87" spans="1:6" s="1099" customFormat="1" ht="36">
      <c r="A87" s="1148">
        <v>27</v>
      </c>
      <c r="B87" s="3434"/>
      <c r="C87" s="1062" t="s">
        <v>1555</v>
      </c>
      <c r="D87" s="1062" t="s">
        <v>1556</v>
      </c>
      <c r="E87" s="1133">
        <v>0.2</v>
      </c>
      <c r="F87" s="1148">
        <v>30</v>
      </c>
    </row>
    <row r="88" spans="1:6" s="1099" customFormat="1" ht="36">
      <c r="A88" s="1148">
        <v>28</v>
      </c>
      <c r="B88" s="3434"/>
      <c r="C88" s="1062" t="s">
        <v>1557</v>
      </c>
      <c r="D88" s="1062" t="s">
        <v>1558</v>
      </c>
      <c r="E88" s="1133">
        <v>0.2</v>
      </c>
      <c r="F88" s="1148">
        <v>30</v>
      </c>
    </row>
    <row r="89" spans="1:6" s="1099" customFormat="1" ht="36">
      <c r="A89" s="1148">
        <v>29</v>
      </c>
      <c r="B89" s="3434"/>
      <c r="C89" s="1062" t="s">
        <v>1559</v>
      </c>
      <c r="D89" s="1062" t="s">
        <v>1560</v>
      </c>
      <c r="E89" s="1133">
        <v>0.2</v>
      </c>
      <c r="F89" s="1148">
        <v>30</v>
      </c>
    </row>
    <row r="90" spans="1:6" s="1099" customFormat="1" ht="36">
      <c r="A90" s="1148">
        <v>30</v>
      </c>
      <c r="B90" s="3434"/>
      <c r="C90" s="1062" t="s">
        <v>1561</v>
      </c>
      <c r="D90" s="1062" t="s">
        <v>1562</v>
      </c>
      <c r="E90" s="1133">
        <v>0.2</v>
      </c>
      <c r="F90" s="1148">
        <v>30</v>
      </c>
    </row>
    <row r="91" spans="1:6" s="1099" customFormat="1" ht="48">
      <c r="A91" s="1148">
        <v>31</v>
      </c>
      <c r="B91" s="3434"/>
      <c r="C91" s="1062" t="s">
        <v>1563</v>
      </c>
      <c r="D91" s="1062" t="s">
        <v>1564</v>
      </c>
      <c r="E91" s="1133">
        <v>0.2</v>
      </c>
      <c r="F91" s="1148">
        <v>30</v>
      </c>
    </row>
    <row r="92" spans="1:6" s="1099" customFormat="1" ht="36">
      <c r="A92" s="1148">
        <v>32</v>
      </c>
      <c r="B92" s="3434" t="s">
        <v>1565</v>
      </c>
      <c r="C92" s="1148" t="s">
        <v>1566</v>
      </c>
      <c r="D92" s="1062" t="s">
        <v>1567</v>
      </c>
      <c r="E92" s="1133">
        <v>0.2</v>
      </c>
      <c r="F92" s="1148">
        <v>30</v>
      </c>
    </row>
    <row r="93" spans="1:6" s="1099" customFormat="1" ht="36">
      <c r="A93" s="1148">
        <v>33</v>
      </c>
      <c r="B93" s="3434"/>
      <c r="C93" s="1148" t="s">
        <v>1568</v>
      </c>
      <c r="D93" s="1062" t="s">
        <v>1569</v>
      </c>
      <c r="E93" s="1133">
        <v>0.2</v>
      </c>
      <c r="F93" s="1148">
        <v>30</v>
      </c>
    </row>
    <row r="94" spans="1:6" s="1099" customFormat="1" ht="60">
      <c r="A94" s="1148">
        <v>34</v>
      </c>
      <c r="B94" s="3434"/>
      <c r="C94" s="1148" t="s">
        <v>1570</v>
      </c>
      <c r="D94" s="1062" t="s">
        <v>1571</v>
      </c>
      <c r="E94" s="1133">
        <v>0.2</v>
      </c>
      <c r="F94" s="1148">
        <v>30</v>
      </c>
    </row>
    <row r="95" spans="1:6" s="1099" customFormat="1" ht="48">
      <c r="A95" s="1148">
        <v>35</v>
      </c>
      <c r="B95" s="3434"/>
      <c r="C95" s="1148" t="s">
        <v>1572</v>
      </c>
      <c r="D95" s="1062" t="s">
        <v>1573</v>
      </c>
      <c r="E95" s="1133">
        <v>0.2</v>
      </c>
      <c r="F95" s="1148">
        <v>30</v>
      </c>
    </row>
    <row r="96" spans="1:6" s="1099" customFormat="1" ht="72">
      <c r="A96" s="1148">
        <v>36</v>
      </c>
      <c r="B96" s="3434"/>
      <c r="C96" s="1062" t="s">
        <v>1574</v>
      </c>
      <c r="D96" s="1062" t="s">
        <v>1575</v>
      </c>
      <c r="E96" s="1133">
        <v>0.2</v>
      </c>
      <c r="F96" s="1148">
        <v>30</v>
      </c>
    </row>
    <row r="97" spans="1:6" s="1099" customFormat="1" ht="36">
      <c r="A97" s="1148">
        <v>37</v>
      </c>
      <c r="B97" s="3434"/>
      <c r="C97" s="1148" t="s">
        <v>1576</v>
      </c>
      <c r="D97" s="1062" t="s">
        <v>1577</v>
      </c>
      <c r="E97" s="1133">
        <v>0.2</v>
      </c>
      <c r="F97" s="1148">
        <v>30</v>
      </c>
    </row>
    <row r="98" spans="1:6" s="1099" customFormat="1" ht="36">
      <c r="A98" s="1148">
        <v>38</v>
      </c>
      <c r="B98" s="3434"/>
      <c r="C98" s="1148" t="s">
        <v>1578</v>
      </c>
      <c r="D98" s="1062" t="s">
        <v>1579</v>
      </c>
      <c r="E98" s="1133">
        <v>0.2</v>
      </c>
      <c r="F98" s="1148">
        <v>30</v>
      </c>
    </row>
    <row r="99" spans="1:6" s="1099" customFormat="1" ht="36">
      <c r="A99" s="1148">
        <v>39</v>
      </c>
      <c r="B99" s="3434" t="s">
        <v>1580</v>
      </c>
      <c r="C99" s="1148" t="s">
        <v>1581</v>
      </c>
      <c r="D99" s="1062" t="s">
        <v>1582</v>
      </c>
      <c r="E99" s="1133">
        <v>0.3</v>
      </c>
      <c r="F99" s="1148">
        <v>50</v>
      </c>
    </row>
    <row r="100" spans="1:6" s="1099" customFormat="1" ht="36">
      <c r="A100" s="1148">
        <v>40</v>
      </c>
      <c r="B100" s="3434"/>
      <c r="C100" s="1148" t="s">
        <v>1583</v>
      </c>
      <c r="D100" s="1062" t="s">
        <v>1584</v>
      </c>
      <c r="E100" s="1133">
        <v>0.2</v>
      </c>
      <c r="F100" s="1148">
        <v>30</v>
      </c>
    </row>
    <row r="101" spans="1:6" s="1099" customFormat="1" ht="36">
      <c r="A101" s="1148">
        <v>41</v>
      </c>
      <c r="B101" s="3434"/>
      <c r="C101" s="1148" t="s">
        <v>1585</v>
      </c>
      <c r="D101" s="1062" t="s">
        <v>1582</v>
      </c>
      <c r="E101" s="1133">
        <v>0.2</v>
      </c>
      <c r="F101" s="1148">
        <v>30</v>
      </c>
    </row>
    <row r="102" spans="1:6" s="1099" customFormat="1" ht="72">
      <c r="A102" s="1148">
        <v>42</v>
      </c>
      <c r="B102" s="1148" t="s">
        <v>1586</v>
      </c>
      <c r="C102" s="1062" t="s">
        <v>1587</v>
      </c>
      <c r="D102" s="1062" t="s">
        <v>1588</v>
      </c>
      <c r="E102" s="1133">
        <v>0.2</v>
      </c>
      <c r="F102" s="1148">
        <v>30</v>
      </c>
    </row>
    <row r="103" spans="1:6" s="1099" customFormat="1" ht="36">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48">
      <c r="A105" s="1148">
        <v>45</v>
      </c>
      <c r="B105" s="3434" t="s">
        <v>1595</v>
      </c>
      <c r="C105" s="1148" t="s">
        <v>1596</v>
      </c>
      <c r="D105" s="1062" t="s">
        <v>1597</v>
      </c>
      <c r="E105" s="1133">
        <v>0.2</v>
      </c>
      <c r="F105" s="1148">
        <v>30</v>
      </c>
    </row>
    <row r="106" spans="1:6" s="1099" customFormat="1" ht="48">
      <c r="A106" s="1148">
        <v>46</v>
      </c>
      <c r="B106" s="3434"/>
      <c r="C106" s="1148" t="s">
        <v>1598</v>
      </c>
      <c r="D106" s="1062" t="s">
        <v>1599</v>
      </c>
      <c r="E106" s="1133">
        <v>0.2</v>
      </c>
      <c r="F106" s="1148">
        <v>30</v>
      </c>
    </row>
    <row r="107" spans="1:6" s="1099" customFormat="1" ht="36">
      <c r="A107" s="1148">
        <v>47</v>
      </c>
      <c r="B107" s="3434" t="s">
        <v>1600</v>
      </c>
      <c r="C107" s="1148" t="s">
        <v>1601</v>
      </c>
      <c r="D107" s="1062" t="s">
        <v>1602</v>
      </c>
      <c r="E107" s="1133">
        <v>0.3</v>
      </c>
      <c r="F107" s="1148">
        <v>50</v>
      </c>
    </row>
    <row r="108" spans="1:6" s="1099" customFormat="1" ht="48">
      <c r="A108" s="1148">
        <v>48</v>
      </c>
      <c r="B108" s="3434"/>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48">
      <c r="A110" s="1148">
        <v>50</v>
      </c>
      <c r="B110" s="1148" t="s">
        <v>1608</v>
      </c>
      <c r="C110" s="1148" t="s">
        <v>1609</v>
      </c>
      <c r="D110" s="1062" t="s">
        <v>1610</v>
      </c>
      <c r="E110" s="1133">
        <v>0.2</v>
      </c>
      <c r="F110" s="1148">
        <v>30</v>
      </c>
    </row>
    <row r="111" spans="1:6" s="1099" customFormat="1" ht="48">
      <c r="A111" s="1148">
        <v>51</v>
      </c>
      <c r="B111" s="3434" t="s">
        <v>1611</v>
      </c>
      <c r="C111" s="1148" t="s">
        <v>1612</v>
      </c>
      <c r="D111" s="1062" t="s">
        <v>1613</v>
      </c>
      <c r="E111" s="1133">
        <v>0.2</v>
      </c>
      <c r="F111" s="1148">
        <v>30</v>
      </c>
    </row>
    <row r="112" spans="1:6" s="1099" customFormat="1" ht="36">
      <c r="A112" s="1148">
        <v>52</v>
      </c>
      <c r="B112" s="3434"/>
      <c r="C112" s="1148" t="s">
        <v>1614</v>
      </c>
      <c r="D112" s="1062" t="s">
        <v>1615</v>
      </c>
      <c r="E112" s="1133">
        <v>0.2</v>
      </c>
      <c r="F112" s="1148">
        <v>30</v>
      </c>
    </row>
    <row r="113" spans="1:14" s="1099" customFormat="1" ht="36">
      <c r="A113" s="1148">
        <v>53</v>
      </c>
      <c r="B113" s="3434"/>
      <c r="C113" s="1148" t="s">
        <v>1616</v>
      </c>
      <c r="D113" s="1062" t="s">
        <v>1617</v>
      </c>
      <c r="E113" s="1133">
        <v>0.2</v>
      </c>
      <c r="F113" s="1148">
        <v>30</v>
      </c>
    </row>
    <row r="114" spans="1:14" ht="48">
      <c r="A114" s="1148">
        <v>54</v>
      </c>
      <c r="B114" s="1148" t="s">
        <v>1618</v>
      </c>
      <c r="C114" s="1148" t="s">
        <v>1619</v>
      </c>
      <c r="D114" s="1062" t="s">
        <v>1620</v>
      </c>
      <c r="E114" s="1133">
        <v>0.2</v>
      </c>
      <c r="F114" s="1148">
        <v>30</v>
      </c>
    </row>
    <row r="115" spans="1:14" ht="36">
      <c r="A115" s="1148">
        <v>55</v>
      </c>
      <c r="B115" s="1148" t="s">
        <v>1621</v>
      </c>
      <c r="C115" s="1148" t="s">
        <v>1622</v>
      </c>
      <c r="D115" s="1062" t="s">
        <v>1623</v>
      </c>
      <c r="E115" s="1133">
        <v>0.2</v>
      </c>
      <c r="F115" s="1148">
        <v>30</v>
      </c>
    </row>
    <row r="116" spans="1:14" ht="36">
      <c r="A116" s="1148">
        <v>56</v>
      </c>
      <c r="B116" s="3434" t="s">
        <v>1624</v>
      </c>
      <c r="C116" s="1148" t="s">
        <v>1625</v>
      </c>
      <c r="D116" s="1062" t="s">
        <v>1626</v>
      </c>
      <c r="E116" s="1133">
        <v>0.2</v>
      </c>
      <c r="F116" s="1148">
        <v>30</v>
      </c>
    </row>
    <row r="117" spans="1:14" ht="36">
      <c r="A117" s="1148">
        <v>57</v>
      </c>
      <c r="B117" s="3434"/>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4.4">
      <c r="A119" s="1148"/>
      <c r="B119" s="1148"/>
      <c r="C119" s="1148"/>
      <c r="D119" s="1148"/>
      <c r="E119" s="1133"/>
      <c r="F119" s="1148"/>
    </row>
    <row r="121" spans="1:14" ht="19.5" customHeight="1">
      <c r="A121" s="3433" t="s">
        <v>1633</v>
      </c>
      <c r="B121" s="3433"/>
      <c r="C121" s="3433"/>
      <c r="D121" s="3433"/>
      <c r="E121" s="3433"/>
      <c r="F121" s="3433"/>
      <c r="G121" s="3433"/>
      <c r="H121" s="3433"/>
      <c r="I121" s="3433"/>
      <c r="J121" s="343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48" t="s">
        <v>1039</v>
      </c>
      <c r="B1" s="3448"/>
      <c r="C1" s="3448"/>
      <c r="D1" s="3448"/>
      <c r="E1" s="3448"/>
      <c r="F1" s="3448"/>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5" thickBot="1">
      <c r="A2" s="3449" t="s">
        <v>1052</v>
      </c>
      <c r="B2" s="3449"/>
      <c r="C2" s="3449"/>
      <c r="D2" s="3449"/>
      <c r="E2" s="3449"/>
      <c r="F2" s="3449"/>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50"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51"/>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2421</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2422</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452" t="s">
        <v>2079</v>
      </c>
      <c r="B1" s="3452"/>
    </row>
    <row r="2" spans="1:6" ht="15" thickBot="1">
      <c r="A2" s="1834"/>
      <c r="B2" s="1834"/>
    </row>
    <row r="3" spans="1:6" ht="15" thickBot="1">
      <c r="A3" s="1834"/>
      <c r="B3" s="1834"/>
      <c r="C3" s="1835" t="s">
        <v>2080</v>
      </c>
      <c r="D3" s="1835" t="s">
        <v>2081</v>
      </c>
      <c r="E3" s="1835" t="s">
        <v>2082</v>
      </c>
      <c r="F3" s="1835" t="s">
        <v>2083</v>
      </c>
    </row>
    <row r="4" spans="1:6" ht="15" thickBot="1">
      <c r="A4" s="1836" t="s">
        <v>2084</v>
      </c>
      <c r="B4" s="1837" t="s">
        <v>2085</v>
      </c>
      <c r="C4" s="1835"/>
      <c r="D4" s="1835"/>
      <c r="E4" s="1835"/>
      <c r="F4" s="1835"/>
    </row>
    <row r="5" spans="1:6" ht="15" thickBot="1">
      <c r="A5" s="1838" t="s">
        <v>2086</v>
      </c>
      <c r="B5" s="1839" t="s">
        <v>2087</v>
      </c>
      <c r="C5" s="1840">
        <v>8.8999999999999996E-2</v>
      </c>
      <c r="D5" s="1840">
        <v>7.3999999999999996E-2</v>
      </c>
      <c r="E5" s="1840">
        <v>7.4999999999999997E-2</v>
      </c>
      <c r="F5" s="1841">
        <v>0.1</v>
      </c>
    </row>
    <row r="6" spans="1:6" ht="15" thickBot="1">
      <c r="A6" s="1838" t="s">
        <v>1096</v>
      </c>
      <c r="B6" s="1842" t="s">
        <v>2088</v>
      </c>
      <c r="C6" s="1843">
        <v>0.1</v>
      </c>
      <c r="D6" s="1843">
        <v>9.0999999999999998E-2</v>
      </c>
      <c r="E6" s="1843">
        <v>9.0999999999999998E-2</v>
      </c>
      <c r="F6" s="1844">
        <v>0.1</v>
      </c>
    </row>
    <row r="7" spans="1:6" ht="15" thickBot="1">
      <c r="A7" s="1838" t="s">
        <v>1096</v>
      </c>
      <c r="B7" s="1845" t="s">
        <v>1084</v>
      </c>
      <c r="C7" s="1843">
        <v>8.5999999999999993E-2</v>
      </c>
      <c r="D7" s="1843">
        <v>9.6000000000000002E-2</v>
      </c>
      <c r="E7" s="1843">
        <v>7.5999999999999998E-2</v>
      </c>
      <c r="F7" s="1844">
        <v>0.1</v>
      </c>
    </row>
    <row r="8" spans="1:6" ht="15" thickBot="1">
      <c r="A8" s="1838" t="s">
        <v>1096</v>
      </c>
      <c r="B8" s="1842" t="s">
        <v>1097</v>
      </c>
      <c r="C8" s="1843">
        <v>9.9000000000000005E-2</v>
      </c>
      <c r="D8" s="1843">
        <v>9.8000000000000004E-2</v>
      </c>
      <c r="E8" s="1843">
        <v>9.8000000000000004E-2</v>
      </c>
      <c r="F8" s="1844">
        <v>0.1</v>
      </c>
    </row>
    <row r="9" spans="1:6" ht="15" thickBot="1">
      <c r="A9" s="1846" t="s">
        <v>1096</v>
      </c>
      <c r="B9" s="1847" t="s">
        <v>1111</v>
      </c>
      <c r="C9" s="1848">
        <v>0.05</v>
      </c>
      <c r="D9" s="1849"/>
      <c r="E9" s="1849"/>
      <c r="F9" s="1850"/>
    </row>
    <row r="10" spans="1:6" ht="15" thickBot="1">
      <c r="A10" s="1838" t="s">
        <v>1155</v>
      </c>
      <c r="B10" s="1839" t="s">
        <v>2089</v>
      </c>
      <c r="C10" s="1840">
        <v>8.8999999999999996E-2</v>
      </c>
      <c r="D10" s="1840">
        <v>7.2999999999999995E-2</v>
      </c>
      <c r="E10" s="1840">
        <v>8.2000000000000003E-2</v>
      </c>
      <c r="F10" s="1841">
        <v>0.1</v>
      </c>
    </row>
    <row r="11" spans="1:6" ht="15" thickBot="1">
      <c r="A11" s="1838" t="s">
        <v>1155</v>
      </c>
      <c r="B11" s="1845" t="s">
        <v>1071</v>
      </c>
      <c r="C11" s="1843">
        <v>8.8999999999999996E-2</v>
      </c>
      <c r="D11" s="1843">
        <v>7.2999999999999995E-2</v>
      </c>
      <c r="E11" s="1843">
        <v>8.2000000000000003E-2</v>
      </c>
      <c r="F11" s="1844">
        <v>0.1</v>
      </c>
    </row>
    <row r="12" spans="1:6" ht="15" thickBot="1">
      <c r="A12" s="1838" t="s">
        <v>1155</v>
      </c>
      <c r="B12" s="1845" t="s">
        <v>1085</v>
      </c>
      <c r="C12" s="1843">
        <v>6.0999999999999999E-2</v>
      </c>
      <c r="D12" s="1843">
        <v>7.0999999999999994E-2</v>
      </c>
      <c r="E12" s="1843">
        <v>9.6000000000000002E-2</v>
      </c>
      <c r="F12" s="1844">
        <v>0.1</v>
      </c>
    </row>
    <row r="13" spans="1:6" ht="15" thickBot="1">
      <c r="A13" s="1838" t="s">
        <v>1155</v>
      </c>
      <c r="B13" s="1845" t="s">
        <v>1098</v>
      </c>
      <c r="C13" s="1843">
        <v>6.9000000000000006E-2</v>
      </c>
      <c r="D13" s="1843">
        <v>6.5000000000000002E-2</v>
      </c>
      <c r="E13" s="1843">
        <v>6.6000000000000003E-2</v>
      </c>
      <c r="F13" s="1844">
        <v>0.1</v>
      </c>
    </row>
    <row r="14" spans="1:6" ht="15" thickBot="1">
      <c r="A14" s="1838" t="s">
        <v>1155</v>
      </c>
      <c r="B14" s="1845" t="s">
        <v>1112</v>
      </c>
      <c r="C14" s="1843">
        <v>0.1</v>
      </c>
      <c r="D14" s="1843">
        <v>6.5000000000000002E-2</v>
      </c>
      <c r="E14" s="1843">
        <v>7.0000000000000007E-2</v>
      </c>
      <c r="F14" s="1844">
        <v>0.1</v>
      </c>
    </row>
    <row r="15" spans="1:6" ht="15" thickBot="1">
      <c r="A15" s="1838" t="s">
        <v>1155</v>
      </c>
      <c r="B15" s="1845" t="s">
        <v>1123</v>
      </c>
      <c r="C15" s="1843">
        <v>9.8000000000000004E-2</v>
      </c>
      <c r="D15" s="1843">
        <v>8.8999999999999996E-2</v>
      </c>
      <c r="E15" s="1843">
        <v>8.8999999999999996E-2</v>
      </c>
      <c r="F15" s="1844">
        <v>0.1</v>
      </c>
    </row>
    <row r="16" spans="1:6" ht="15" thickBot="1">
      <c r="A16" s="1838" t="s">
        <v>1155</v>
      </c>
      <c r="B16" s="1845" t="s">
        <v>1134</v>
      </c>
      <c r="C16" s="1843">
        <v>7.0000000000000007E-2</v>
      </c>
      <c r="D16" s="1843">
        <v>9.2999999999999999E-2</v>
      </c>
      <c r="E16" s="1843">
        <v>9.6000000000000002E-2</v>
      </c>
      <c r="F16" s="1844">
        <v>0.1</v>
      </c>
    </row>
    <row r="17" spans="1:6" ht="15" thickBot="1">
      <c r="A17" s="1838" t="s">
        <v>1155</v>
      </c>
      <c r="B17" s="1845" t="s">
        <v>1145</v>
      </c>
      <c r="C17" s="1843">
        <v>9.5000000000000001E-2</v>
      </c>
      <c r="D17" s="1843">
        <v>0.1</v>
      </c>
      <c r="E17" s="1843">
        <v>0.1</v>
      </c>
      <c r="F17" s="1851"/>
    </row>
    <row r="18" spans="1:6" ht="15" thickBot="1">
      <c r="A18" s="1838" t="s">
        <v>1155</v>
      </c>
      <c r="B18" s="1845" t="s">
        <v>1157</v>
      </c>
      <c r="C18" s="1843">
        <v>7.3999999999999996E-2</v>
      </c>
      <c r="D18" s="1843">
        <v>9.9000000000000005E-2</v>
      </c>
      <c r="E18" s="1843">
        <v>0.1</v>
      </c>
      <c r="F18" s="1851"/>
    </row>
    <row r="19" spans="1:6" ht="15" thickBot="1">
      <c r="A19" s="1838" t="s">
        <v>1155</v>
      </c>
      <c r="B19" s="1845" t="s">
        <v>1167</v>
      </c>
      <c r="C19" s="1843">
        <v>9.9000000000000005E-2</v>
      </c>
      <c r="D19" s="1843">
        <v>7.5999999999999998E-2</v>
      </c>
      <c r="E19" s="1843">
        <v>8.6999999999999994E-2</v>
      </c>
      <c r="F19" s="1851"/>
    </row>
    <row r="20" spans="1:6" ht="15" thickBot="1">
      <c r="A20" s="1838" t="s">
        <v>1155</v>
      </c>
      <c r="B20" s="1845" t="s">
        <v>1177</v>
      </c>
      <c r="C20" s="1843">
        <v>9.8000000000000004E-2</v>
      </c>
      <c r="D20" s="1843">
        <v>8.5000000000000006E-2</v>
      </c>
      <c r="E20" s="1843">
        <v>8.2000000000000003E-2</v>
      </c>
      <c r="F20" s="1851"/>
    </row>
    <row r="21" spans="1:6" ht="15" thickBot="1">
      <c r="A21" s="1838" t="s">
        <v>1155</v>
      </c>
      <c r="B21" s="1845" t="s">
        <v>1187</v>
      </c>
      <c r="C21" s="1843">
        <v>6.6000000000000003E-2</v>
      </c>
      <c r="D21" s="1843">
        <v>6.4000000000000001E-2</v>
      </c>
      <c r="E21" s="1843">
        <v>6.5000000000000002E-2</v>
      </c>
      <c r="F21" s="1851"/>
    </row>
    <row r="22" spans="1:6" ht="15" thickBot="1">
      <c r="A22" s="1838" t="s">
        <v>1155</v>
      </c>
      <c r="B22" s="1845" t="s">
        <v>2090</v>
      </c>
      <c r="C22" s="1843">
        <v>0.08</v>
      </c>
      <c r="D22" s="1843">
        <v>9.8000000000000004E-2</v>
      </c>
      <c r="E22" s="1843">
        <v>9.8000000000000004E-2</v>
      </c>
      <c r="F22" s="1851"/>
    </row>
    <row r="23" spans="1:6" ht="15" thickBot="1">
      <c r="A23" s="1838" t="s">
        <v>1155</v>
      </c>
      <c r="B23" s="1845" t="s">
        <v>1207</v>
      </c>
      <c r="C23" s="1843">
        <v>9.9000000000000005E-2</v>
      </c>
      <c r="D23" s="1843">
        <v>9.8000000000000004E-2</v>
      </c>
      <c r="E23" s="1843">
        <v>9.0999999999999998E-2</v>
      </c>
      <c r="F23" s="1851"/>
    </row>
    <row r="24" spans="1:6" ht="15" thickBot="1">
      <c r="A24" s="1838" t="s">
        <v>1155</v>
      </c>
      <c r="B24" s="1845" t="s">
        <v>1217</v>
      </c>
      <c r="C24" s="1843">
        <v>8.8999999999999996E-2</v>
      </c>
      <c r="D24" s="1843">
        <v>9.7000000000000003E-2</v>
      </c>
      <c r="E24" s="1843">
        <v>7.0000000000000007E-2</v>
      </c>
      <c r="F24" s="1851"/>
    </row>
    <row r="25" spans="1:6" ht="15" thickBot="1">
      <c r="A25" s="1838" t="s">
        <v>1155</v>
      </c>
      <c r="B25" s="1845" t="s">
        <v>1227</v>
      </c>
      <c r="C25" s="1843">
        <v>8.8999999999999996E-2</v>
      </c>
      <c r="D25" s="1843">
        <v>0.1</v>
      </c>
      <c r="E25" s="1843">
        <v>8.1000000000000003E-2</v>
      </c>
      <c r="F25" s="1851"/>
    </row>
    <row r="26" spans="1:6" ht="15" thickBot="1">
      <c r="A26" s="1838" t="s">
        <v>1155</v>
      </c>
      <c r="B26" s="1845" t="s">
        <v>1237</v>
      </c>
      <c r="C26" s="1852"/>
      <c r="D26" s="1843">
        <v>9.6000000000000002E-2</v>
      </c>
      <c r="E26" s="1843">
        <v>9.2999999999999999E-2</v>
      </c>
      <c r="F26" s="1851"/>
    </row>
    <row r="27" spans="1:6" ht="15" thickBot="1">
      <c r="A27" s="1838" t="s">
        <v>1155</v>
      </c>
      <c r="B27" s="1845" t="s">
        <v>1247</v>
      </c>
      <c r="C27" s="1852"/>
      <c r="D27" s="1843">
        <v>7.5999999999999998E-2</v>
      </c>
      <c r="E27" s="1843">
        <v>9.1999999999999998E-2</v>
      </c>
      <c r="F27" s="1851"/>
    </row>
    <row r="28" spans="1:6" ht="15" thickBot="1">
      <c r="A28" s="1846" t="s">
        <v>1155</v>
      </c>
      <c r="B28" s="1847" t="s">
        <v>1257</v>
      </c>
      <c r="C28" s="1849"/>
      <c r="D28" s="1848">
        <v>7.5999999999999998E-2</v>
      </c>
      <c r="E28" s="1848">
        <v>9.1999999999999998E-2</v>
      </c>
      <c r="F28" s="1850"/>
    </row>
    <row r="29" spans="1:6" ht="15" thickBot="1">
      <c r="A29" s="1838" t="s">
        <v>1326</v>
      </c>
      <c r="B29" s="1839" t="s">
        <v>2091</v>
      </c>
      <c r="C29" s="1840">
        <v>6.4000000000000001E-2</v>
      </c>
      <c r="D29" s="1840">
        <v>6.5000000000000002E-2</v>
      </c>
      <c r="E29" s="1840">
        <v>6.9000000000000006E-2</v>
      </c>
      <c r="F29" s="1841">
        <v>0.1</v>
      </c>
    </row>
    <row r="30" spans="1:6" ht="15" thickBot="1">
      <c r="A30" s="1838" t="s">
        <v>1326</v>
      </c>
      <c r="B30" s="1845" t="s">
        <v>1072</v>
      </c>
      <c r="C30" s="1843">
        <v>6.4000000000000001E-2</v>
      </c>
      <c r="D30" s="1843">
        <v>9.9000000000000005E-2</v>
      </c>
      <c r="E30" s="1843">
        <v>0.1</v>
      </c>
      <c r="F30" s="1844">
        <v>0.1</v>
      </c>
    </row>
    <row r="31" spans="1:6" ht="15" thickBot="1">
      <c r="A31" s="1838" t="s">
        <v>1326</v>
      </c>
      <c r="B31" s="1845" t="s">
        <v>1086</v>
      </c>
      <c r="C31" s="1843">
        <v>0.1</v>
      </c>
      <c r="D31" s="1843">
        <v>9.5000000000000001E-2</v>
      </c>
      <c r="E31" s="1843">
        <v>8.8999999999999996E-2</v>
      </c>
      <c r="F31" s="1844">
        <v>0.1</v>
      </c>
    </row>
    <row r="32" spans="1:6" ht="15" thickBot="1">
      <c r="A32" s="1838" t="s">
        <v>1326</v>
      </c>
      <c r="B32" s="1845" t="s">
        <v>1099</v>
      </c>
      <c r="C32" s="1843">
        <v>0.05</v>
      </c>
      <c r="D32" s="1843">
        <v>0.05</v>
      </c>
      <c r="E32" s="1843">
        <v>8.7999999999999995E-2</v>
      </c>
      <c r="F32" s="1844">
        <v>0.1</v>
      </c>
    </row>
    <row r="33" spans="1:6" ht="15" thickBot="1">
      <c r="A33" s="1838" t="s">
        <v>1326</v>
      </c>
      <c r="B33" s="1845" t="s">
        <v>1113</v>
      </c>
      <c r="C33" s="1843">
        <v>7.4999999999999997E-2</v>
      </c>
      <c r="D33" s="1843">
        <v>9.4E-2</v>
      </c>
      <c r="E33" s="1843">
        <v>9.7000000000000003E-2</v>
      </c>
      <c r="F33" s="1844">
        <v>0.1</v>
      </c>
    </row>
    <row r="34" spans="1:6" ht="15" thickBot="1">
      <c r="A34" s="1838" t="s">
        <v>1326</v>
      </c>
      <c r="B34" s="1845" t="s">
        <v>1124</v>
      </c>
      <c r="C34" s="1843">
        <v>9.8000000000000004E-2</v>
      </c>
      <c r="D34" s="1843">
        <v>8.5999999999999993E-2</v>
      </c>
      <c r="E34" s="1843">
        <v>9.7000000000000003E-2</v>
      </c>
      <c r="F34" s="1844">
        <v>0.1</v>
      </c>
    </row>
    <row r="35" spans="1:6" ht="15" thickBot="1">
      <c r="A35" s="1838" t="s">
        <v>1326</v>
      </c>
      <c r="B35" s="1845" t="s">
        <v>1135</v>
      </c>
      <c r="C35" s="1843">
        <v>5.8999999999999997E-2</v>
      </c>
      <c r="D35" s="1843">
        <v>6.5000000000000002E-2</v>
      </c>
      <c r="E35" s="1843">
        <v>7.0000000000000007E-2</v>
      </c>
      <c r="F35" s="1844">
        <v>0.1</v>
      </c>
    </row>
    <row r="36" spans="1:6" ht="15" thickBot="1">
      <c r="A36" s="1838" t="s">
        <v>1326</v>
      </c>
      <c r="B36" s="1845" t="s">
        <v>1146</v>
      </c>
      <c r="C36" s="1843">
        <v>6.3E-2</v>
      </c>
      <c r="D36" s="1843">
        <v>0.1</v>
      </c>
      <c r="E36" s="1843">
        <v>0.1</v>
      </c>
      <c r="F36" s="1844">
        <v>0.1</v>
      </c>
    </row>
    <row r="37" spans="1:6" ht="15" thickBot="1">
      <c r="A37" s="1838" t="s">
        <v>1326</v>
      </c>
      <c r="B37" s="1845" t="s">
        <v>1158</v>
      </c>
      <c r="C37" s="1843">
        <v>7.3999999999999996E-2</v>
      </c>
      <c r="D37" s="1843">
        <v>0.1</v>
      </c>
      <c r="E37" s="1843">
        <v>0.1</v>
      </c>
      <c r="F37" s="1844">
        <v>0.1</v>
      </c>
    </row>
    <row r="38" spans="1:6" ht="15" thickBot="1">
      <c r="A38" s="1838" t="s">
        <v>1326</v>
      </c>
      <c r="B38" s="1845" t="s">
        <v>1168</v>
      </c>
      <c r="C38" s="1843">
        <v>0.1</v>
      </c>
      <c r="D38" s="1843">
        <v>9.6000000000000002E-2</v>
      </c>
      <c r="E38" s="1843">
        <v>9.6000000000000002E-2</v>
      </c>
      <c r="F38" s="1851"/>
    </row>
    <row r="39" spans="1:6" ht="15" thickBot="1">
      <c r="A39" s="1838" t="s">
        <v>1326</v>
      </c>
      <c r="B39" s="1845" t="s">
        <v>1178</v>
      </c>
      <c r="C39" s="1843">
        <v>0.1</v>
      </c>
      <c r="D39" s="1843">
        <v>9.6000000000000002E-2</v>
      </c>
      <c r="E39" s="1843">
        <v>9.6000000000000002E-2</v>
      </c>
      <c r="F39" s="1851"/>
    </row>
    <row r="40" spans="1:6" ht="15" thickBot="1">
      <c r="A40" s="1838" t="s">
        <v>1326</v>
      </c>
      <c r="B40" s="1845" t="s">
        <v>1188</v>
      </c>
      <c r="C40" s="1843">
        <v>9.6000000000000002E-2</v>
      </c>
      <c r="D40" s="1843">
        <v>0.1</v>
      </c>
      <c r="E40" s="1843">
        <v>9.9000000000000005E-2</v>
      </c>
      <c r="F40" s="1851"/>
    </row>
    <row r="41" spans="1:6" ht="15" thickBot="1">
      <c r="A41" s="1838" t="s">
        <v>1326</v>
      </c>
      <c r="B41" s="1845" t="s">
        <v>1198</v>
      </c>
      <c r="C41" s="1843">
        <v>9.6000000000000002E-2</v>
      </c>
      <c r="D41" s="1843">
        <v>9.8000000000000004E-2</v>
      </c>
      <c r="E41" s="1843">
        <v>9.8000000000000004E-2</v>
      </c>
      <c r="F41" s="1851"/>
    </row>
    <row r="42" spans="1:6" ht="15" thickBot="1">
      <c r="A42" s="1838" t="s">
        <v>1326</v>
      </c>
      <c r="B42" s="1845" t="s">
        <v>1208</v>
      </c>
      <c r="C42" s="1843">
        <v>0.1</v>
      </c>
      <c r="D42" s="1843">
        <v>8.7999999999999995E-2</v>
      </c>
      <c r="E42" s="1843">
        <v>0.1</v>
      </c>
      <c r="F42" s="1851"/>
    </row>
    <row r="43" spans="1:6" ht="15" thickBot="1">
      <c r="A43" s="1838" t="s">
        <v>1326</v>
      </c>
      <c r="B43" s="1845" t="s">
        <v>1218</v>
      </c>
      <c r="C43" s="1843">
        <v>9.8000000000000004E-2</v>
      </c>
      <c r="D43" s="1843">
        <v>9.7000000000000003E-2</v>
      </c>
      <c r="E43" s="1843">
        <v>9.6000000000000002E-2</v>
      </c>
      <c r="F43" s="1851"/>
    </row>
    <row r="44" spans="1:6" ht="15" thickBot="1">
      <c r="A44" s="1838" t="s">
        <v>1326</v>
      </c>
      <c r="B44" s="1845" t="s">
        <v>1228</v>
      </c>
      <c r="C44" s="1843">
        <v>8.5999999999999993E-2</v>
      </c>
      <c r="D44" s="1843">
        <v>7.9000000000000001E-2</v>
      </c>
      <c r="E44" s="1843">
        <v>7.0999999999999994E-2</v>
      </c>
      <c r="F44" s="1851"/>
    </row>
    <row r="45" spans="1:6" ht="15" thickBot="1">
      <c r="A45" s="1838" t="s">
        <v>1326</v>
      </c>
      <c r="B45" s="1845" t="s">
        <v>1238</v>
      </c>
      <c r="C45" s="1843">
        <v>9.8000000000000004E-2</v>
      </c>
      <c r="D45" s="1843">
        <v>9.6000000000000002E-2</v>
      </c>
      <c r="E45" s="1843">
        <v>9.6000000000000002E-2</v>
      </c>
      <c r="F45" s="1851"/>
    </row>
    <row r="46" spans="1:6" ht="15" thickBot="1">
      <c r="A46" s="1838" t="s">
        <v>1326</v>
      </c>
      <c r="B46" s="1845" t="s">
        <v>1248</v>
      </c>
      <c r="C46" s="1843">
        <v>8.5999999999999993E-2</v>
      </c>
      <c r="D46" s="1843">
        <v>9.8000000000000004E-2</v>
      </c>
      <c r="E46" s="1843">
        <v>8.7999999999999995E-2</v>
      </c>
      <c r="F46" s="1851"/>
    </row>
    <row r="47" spans="1:6" ht="15" thickBot="1">
      <c r="A47" s="1838" t="s">
        <v>1326</v>
      </c>
      <c r="B47" s="1845" t="s">
        <v>1258</v>
      </c>
      <c r="C47" s="1843">
        <v>9.6000000000000002E-2</v>
      </c>
      <c r="D47" s="1852"/>
      <c r="E47" s="1843">
        <v>6.9000000000000006E-2</v>
      </c>
      <c r="F47" s="1851"/>
    </row>
    <row r="48" spans="1:6" ht="15" thickBot="1">
      <c r="A48" s="1846" t="s">
        <v>1326</v>
      </c>
      <c r="B48" s="1847" t="s">
        <v>1267</v>
      </c>
      <c r="C48" s="1848">
        <v>9.8000000000000004E-2</v>
      </c>
      <c r="D48" s="1849"/>
      <c r="E48" s="1848">
        <v>9.5000000000000001E-2</v>
      </c>
      <c r="F48" s="1850"/>
    </row>
    <row r="49" spans="1:6" ht="15" thickBot="1">
      <c r="A49" s="1838" t="s">
        <v>925</v>
      </c>
      <c r="B49" s="1839" t="s">
        <v>2092</v>
      </c>
      <c r="C49" s="1840">
        <v>9.7000000000000003E-2</v>
      </c>
      <c r="D49" s="1840">
        <v>9.5000000000000001E-2</v>
      </c>
      <c r="E49" s="1840">
        <v>9.7000000000000003E-2</v>
      </c>
      <c r="F49" s="1841">
        <v>0.1</v>
      </c>
    </row>
    <row r="50" spans="1:6" ht="15" thickBot="1">
      <c r="A50" s="1838" t="s">
        <v>925</v>
      </c>
      <c r="B50" s="1842" t="s">
        <v>1073</v>
      </c>
      <c r="C50" s="1843">
        <v>7.4999999999999997E-2</v>
      </c>
      <c r="D50" s="1843">
        <v>9.5000000000000001E-2</v>
      </c>
      <c r="E50" s="1843">
        <v>0.1</v>
      </c>
      <c r="F50" s="1844">
        <v>0.1</v>
      </c>
    </row>
    <row r="51" spans="1:6" ht="15" thickBot="1">
      <c r="A51" s="1838" t="s">
        <v>925</v>
      </c>
      <c r="B51" s="1842" t="s">
        <v>1087</v>
      </c>
      <c r="C51" s="1843">
        <v>9.8000000000000004E-2</v>
      </c>
      <c r="D51" s="1843">
        <v>8.8999999999999996E-2</v>
      </c>
      <c r="E51" s="1843">
        <v>0.1</v>
      </c>
      <c r="F51" s="1844">
        <v>0.1</v>
      </c>
    </row>
    <row r="52" spans="1:6" ht="15" thickBot="1">
      <c r="A52" s="1838" t="s">
        <v>925</v>
      </c>
      <c r="B52" s="1842" t="s">
        <v>1100</v>
      </c>
      <c r="C52" s="1843">
        <v>9.8000000000000004E-2</v>
      </c>
      <c r="D52" s="1843">
        <v>9.7000000000000003E-2</v>
      </c>
      <c r="E52" s="1843">
        <v>8.1000000000000003E-2</v>
      </c>
      <c r="F52" s="1844">
        <v>0.1</v>
      </c>
    </row>
    <row r="53" spans="1:6" ht="15" thickBot="1">
      <c r="A53" s="1838" t="s">
        <v>925</v>
      </c>
      <c r="B53" s="1842" t="s">
        <v>1114</v>
      </c>
      <c r="C53" s="1843">
        <v>9.7000000000000003E-2</v>
      </c>
      <c r="D53" s="1843">
        <v>7.5999999999999998E-2</v>
      </c>
      <c r="E53" s="1843">
        <v>7.0999999999999994E-2</v>
      </c>
      <c r="F53" s="1844">
        <v>0.1</v>
      </c>
    </row>
    <row r="54" spans="1:6" ht="15" thickBot="1">
      <c r="A54" s="1838" t="s">
        <v>925</v>
      </c>
      <c r="B54" s="1842" t="s">
        <v>1125</v>
      </c>
      <c r="C54" s="1843">
        <v>7.5999999999999998E-2</v>
      </c>
      <c r="D54" s="1843">
        <v>0.1</v>
      </c>
      <c r="E54" s="1843">
        <v>9.9000000000000005E-2</v>
      </c>
      <c r="F54" s="1844">
        <v>0.1</v>
      </c>
    </row>
    <row r="55" spans="1:6" ht="15" thickBot="1">
      <c r="A55" s="1838" t="s">
        <v>925</v>
      </c>
      <c r="B55" s="1842" t="s">
        <v>1136</v>
      </c>
      <c r="C55" s="1843">
        <v>0.1</v>
      </c>
      <c r="D55" s="1843">
        <v>0.1</v>
      </c>
      <c r="E55" s="1843">
        <v>9.6000000000000002E-2</v>
      </c>
      <c r="F55" s="1844">
        <v>0.1</v>
      </c>
    </row>
    <row r="56" spans="1:6" ht="15" thickBot="1">
      <c r="A56" s="1838" t="s">
        <v>925</v>
      </c>
      <c r="B56" s="1842" t="s">
        <v>1147</v>
      </c>
      <c r="C56" s="1843">
        <v>0.1</v>
      </c>
      <c r="D56" s="1843">
        <v>9.6000000000000002E-2</v>
      </c>
      <c r="E56" s="1843">
        <v>5.1999999999999998E-2</v>
      </c>
      <c r="F56" s="1844">
        <v>0.1</v>
      </c>
    </row>
    <row r="57" spans="1:6" ht="15" thickBot="1">
      <c r="A57" s="1838" t="s">
        <v>925</v>
      </c>
      <c r="B57" s="1842" t="s">
        <v>1159</v>
      </c>
      <c r="C57" s="1843">
        <v>9.7000000000000003E-2</v>
      </c>
      <c r="D57" s="1843">
        <v>9.6000000000000002E-2</v>
      </c>
      <c r="E57" s="1843">
        <v>9.6000000000000002E-2</v>
      </c>
      <c r="F57" s="1844">
        <v>0.1</v>
      </c>
    </row>
    <row r="58" spans="1:6" ht="15" thickBot="1">
      <c r="A58" s="1838" t="s">
        <v>925</v>
      </c>
      <c r="B58" s="1842" t="s">
        <v>1169</v>
      </c>
      <c r="C58" s="1843">
        <v>9.6000000000000002E-2</v>
      </c>
      <c r="D58" s="1843">
        <v>9.9000000000000005E-2</v>
      </c>
      <c r="E58" s="1843">
        <v>9.6000000000000002E-2</v>
      </c>
      <c r="F58" s="1844">
        <v>0.1</v>
      </c>
    </row>
    <row r="59" spans="1:6" ht="15" thickBot="1">
      <c r="A59" s="1838" t="s">
        <v>925</v>
      </c>
      <c r="B59" s="1842" t="s">
        <v>1179</v>
      </c>
      <c r="C59" s="1843">
        <v>7.1999999999999995E-2</v>
      </c>
      <c r="D59" s="1843">
        <v>9.6000000000000002E-2</v>
      </c>
      <c r="E59" s="1843">
        <v>7.0999999999999994E-2</v>
      </c>
      <c r="F59" s="1844">
        <v>0.1</v>
      </c>
    </row>
    <row r="60" spans="1:6" ht="15" thickBot="1">
      <c r="A60" s="1838" t="s">
        <v>925</v>
      </c>
      <c r="B60" s="1842" t="s">
        <v>1189</v>
      </c>
      <c r="C60" s="1843">
        <v>9.6000000000000002E-2</v>
      </c>
      <c r="D60" s="1843">
        <v>8.8999999999999996E-2</v>
      </c>
      <c r="E60" s="1843">
        <v>9.6000000000000002E-2</v>
      </c>
      <c r="F60" s="1844">
        <v>0.1</v>
      </c>
    </row>
    <row r="61" spans="1:6" ht="15" thickBot="1">
      <c r="A61" s="1838" t="s">
        <v>925</v>
      </c>
      <c r="B61" s="1842" t="s">
        <v>1199</v>
      </c>
      <c r="C61" s="1843">
        <v>8.8999999999999996E-2</v>
      </c>
      <c r="D61" s="1843">
        <v>9.8000000000000004E-2</v>
      </c>
      <c r="E61" s="1843">
        <v>8.7999999999999995E-2</v>
      </c>
      <c r="F61" s="1851"/>
    </row>
    <row r="62" spans="1:6" ht="15" thickBot="1">
      <c r="A62" s="1838" t="s">
        <v>925</v>
      </c>
      <c r="B62" s="1842" t="s">
        <v>1209</v>
      </c>
      <c r="C62" s="1843">
        <v>9.8000000000000004E-2</v>
      </c>
      <c r="D62" s="1843">
        <v>9.2999999999999999E-2</v>
      </c>
      <c r="E62" s="1843">
        <v>9.7000000000000003E-2</v>
      </c>
      <c r="F62" s="1851"/>
    </row>
    <row r="63" spans="1:6" ht="15" thickBot="1">
      <c r="A63" s="1838" t="s">
        <v>925</v>
      </c>
      <c r="B63" s="1842" t="s">
        <v>1219</v>
      </c>
      <c r="C63" s="1843">
        <v>9.6000000000000002E-2</v>
      </c>
      <c r="D63" s="1843">
        <v>9.8000000000000004E-2</v>
      </c>
      <c r="E63" s="1843">
        <v>0.09</v>
      </c>
      <c r="F63" s="1851"/>
    </row>
    <row r="64" spans="1:6" ht="15" thickBot="1">
      <c r="A64" s="1838" t="s">
        <v>925</v>
      </c>
      <c r="B64" s="1842" t="s">
        <v>1229</v>
      </c>
      <c r="C64" s="1843">
        <v>9.9000000000000005E-2</v>
      </c>
      <c r="D64" s="1843">
        <v>9.7000000000000003E-2</v>
      </c>
      <c r="E64" s="1843">
        <v>9.9000000000000005E-2</v>
      </c>
      <c r="F64" s="1851"/>
    </row>
    <row r="65" spans="1:6" ht="15" thickBot="1">
      <c r="A65" s="1838" t="s">
        <v>925</v>
      </c>
      <c r="B65" s="1842" t="s">
        <v>1239</v>
      </c>
      <c r="C65" s="1843">
        <v>9.8000000000000004E-2</v>
      </c>
      <c r="D65" s="1843">
        <v>9.6000000000000002E-2</v>
      </c>
      <c r="E65" s="1843">
        <v>9.6000000000000002E-2</v>
      </c>
      <c r="F65" s="1851"/>
    </row>
    <row r="66" spans="1:6" ht="15" thickBot="1">
      <c r="A66" s="1838" t="s">
        <v>925</v>
      </c>
      <c r="B66" s="1842" t="s">
        <v>1249</v>
      </c>
      <c r="C66" s="1843">
        <v>9.6000000000000002E-2</v>
      </c>
      <c r="D66" s="1843">
        <v>9.1999999999999998E-2</v>
      </c>
      <c r="E66" s="1843">
        <v>9.6000000000000002E-2</v>
      </c>
      <c r="F66" s="1851"/>
    </row>
    <row r="67" spans="1:6" ht="15" thickBot="1">
      <c r="A67" s="1838" t="s">
        <v>925</v>
      </c>
      <c r="B67" s="1842" t="s">
        <v>1259</v>
      </c>
      <c r="C67" s="1843">
        <v>9.4E-2</v>
      </c>
      <c r="D67" s="1843">
        <v>0.1</v>
      </c>
      <c r="E67" s="1843">
        <v>8.7999999999999995E-2</v>
      </c>
      <c r="F67" s="1851"/>
    </row>
    <row r="68" spans="1:6" ht="15" thickBot="1">
      <c r="A68" s="1838" t="s">
        <v>925</v>
      </c>
      <c r="B68" s="1842" t="s">
        <v>1268</v>
      </c>
      <c r="C68" s="1843">
        <v>0.1</v>
      </c>
      <c r="D68" s="1843">
        <v>8.7999999999999995E-2</v>
      </c>
      <c r="E68" s="1843">
        <v>9.7000000000000003E-2</v>
      </c>
      <c r="F68" s="1851"/>
    </row>
    <row r="69" spans="1:6" ht="15" thickBot="1">
      <c r="A69" s="1838" t="s">
        <v>925</v>
      </c>
      <c r="B69" s="1842" t="s">
        <v>1277</v>
      </c>
      <c r="C69" s="1843">
        <v>6.4000000000000001E-2</v>
      </c>
      <c r="D69" s="1843">
        <v>0.1</v>
      </c>
      <c r="E69" s="1843">
        <v>0.1</v>
      </c>
      <c r="F69" s="1851"/>
    </row>
    <row r="70" spans="1:6" ht="15" thickBot="1">
      <c r="A70" s="1838" t="s">
        <v>925</v>
      </c>
      <c r="B70" s="1842" t="s">
        <v>1285</v>
      </c>
      <c r="C70" s="1843">
        <v>9.0999999999999998E-2</v>
      </c>
      <c r="D70" s="1852"/>
      <c r="E70" s="1852"/>
      <c r="F70" s="1851"/>
    </row>
    <row r="71" spans="1:6" ht="15" thickBot="1">
      <c r="A71" s="1838" t="s">
        <v>925</v>
      </c>
      <c r="B71" s="1842" t="s">
        <v>1292</v>
      </c>
      <c r="C71" s="1843">
        <v>0.1</v>
      </c>
      <c r="D71" s="1852"/>
      <c r="E71" s="1852"/>
      <c r="F71" s="1851"/>
    </row>
    <row r="72" spans="1:6" ht="24.6" thickBot="1">
      <c r="A72" s="1838" t="s">
        <v>925</v>
      </c>
      <c r="B72" s="1842" t="s">
        <v>2093</v>
      </c>
      <c r="C72" s="1852"/>
      <c r="D72" s="1852"/>
      <c r="E72" s="1852"/>
      <c r="F72" s="1844">
        <v>0.05</v>
      </c>
    </row>
    <row r="73" spans="1:6" ht="24.6" thickBot="1">
      <c r="A73" s="1838" t="s">
        <v>925</v>
      </c>
      <c r="B73" s="1842" t="s">
        <v>2094</v>
      </c>
      <c r="C73" s="1852"/>
      <c r="D73" s="1852"/>
      <c r="E73" s="1852"/>
      <c r="F73" s="1844">
        <v>0.05</v>
      </c>
    </row>
    <row r="74" spans="1:6" ht="24.6" thickBot="1">
      <c r="A74" s="1838" t="s">
        <v>925</v>
      </c>
      <c r="B74" s="1842" t="s">
        <v>2095</v>
      </c>
      <c r="C74" s="1852"/>
      <c r="D74" s="1852"/>
      <c r="E74" s="1852"/>
      <c r="F74" s="1844">
        <v>0.05</v>
      </c>
    </row>
    <row r="75" spans="1:6" ht="24.6" thickBot="1">
      <c r="A75" s="1846" t="s">
        <v>925</v>
      </c>
      <c r="B75" s="1853" t="s">
        <v>2096</v>
      </c>
      <c r="C75" s="1849"/>
      <c r="D75" s="1849"/>
      <c r="E75" s="1849"/>
      <c r="F75" s="1854">
        <v>0.05</v>
      </c>
    </row>
    <row r="76" spans="1:6" ht="15" thickBot="1">
      <c r="A76" s="1838" t="s">
        <v>1407</v>
      </c>
      <c r="B76" s="1839" t="s">
        <v>2097</v>
      </c>
      <c r="C76" s="1840">
        <v>0.1</v>
      </c>
      <c r="D76" s="1840">
        <v>0.1</v>
      </c>
      <c r="E76" s="1840">
        <v>0.1</v>
      </c>
      <c r="F76" s="1841">
        <v>0.1</v>
      </c>
    </row>
    <row r="77" spans="1:6" ht="15" thickBot="1">
      <c r="A77" s="1838" t="s">
        <v>1407</v>
      </c>
      <c r="B77" s="1842" t="s">
        <v>1074</v>
      </c>
      <c r="C77" s="1843">
        <v>8.7999999999999995E-2</v>
      </c>
      <c r="D77" s="1843">
        <v>8.6999999999999994E-2</v>
      </c>
      <c r="E77" s="1843">
        <v>7.9000000000000001E-2</v>
      </c>
      <c r="F77" s="1844">
        <v>0.1</v>
      </c>
    </row>
    <row r="78" spans="1:6" ht="15" thickBot="1">
      <c r="A78" s="1838" t="s">
        <v>1407</v>
      </c>
      <c r="B78" s="1842" t="s">
        <v>1088</v>
      </c>
      <c r="C78" s="1843">
        <v>8.6999999999999994E-2</v>
      </c>
      <c r="D78" s="1843">
        <v>8.4000000000000005E-2</v>
      </c>
      <c r="E78" s="1843">
        <v>9.6000000000000002E-2</v>
      </c>
      <c r="F78" s="1844">
        <v>0.1</v>
      </c>
    </row>
    <row r="79" spans="1:6" ht="15" thickBot="1">
      <c r="A79" s="1838" t="s">
        <v>1407</v>
      </c>
      <c r="B79" s="1842" t="s">
        <v>1101</v>
      </c>
      <c r="C79" s="1843">
        <v>9.8000000000000004E-2</v>
      </c>
      <c r="D79" s="1843">
        <v>9.8000000000000004E-2</v>
      </c>
      <c r="E79" s="1843">
        <v>9.0999999999999998E-2</v>
      </c>
      <c r="F79" s="1844">
        <v>0.1</v>
      </c>
    </row>
    <row r="80" spans="1:6" ht="15" thickBot="1">
      <c r="A80" s="1838" t="s">
        <v>1407</v>
      </c>
      <c r="B80" s="1842" t="s">
        <v>1115</v>
      </c>
      <c r="C80" s="1843">
        <v>9.6000000000000002E-2</v>
      </c>
      <c r="D80" s="1843">
        <v>9.6000000000000002E-2</v>
      </c>
      <c r="E80" s="1843">
        <v>0.1</v>
      </c>
      <c r="F80" s="1844">
        <v>0.1</v>
      </c>
    </row>
    <row r="81" spans="1:6" ht="15" thickBot="1">
      <c r="A81" s="1838" t="s">
        <v>1407</v>
      </c>
      <c r="B81" s="1842" t="s">
        <v>1126</v>
      </c>
      <c r="C81" s="1843">
        <v>9.9000000000000005E-2</v>
      </c>
      <c r="D81" s="1843">
        <v>9.9000000000000005E-2</v>
      </c>
      <c r="E81" s="1843">
        <v>9.8000000000000004E-2</v>
      </c>
      <c r="F81" s="1844">
        <v>0.1</v>
      </c>
    </row>
    <row r="82" spans="1:6" ht="15" thickBot="1">
      <c r="A82" s="1838" t="s">
        <v>1407</v>
      </c>
      <c r="B82" s="1842" t="s">
        <v>1137</v>
      </c>
      <c r="C82" s="1843">
        <v>9.9000000000000005E-2</v>
      </c>
      <c r="D82" s="1843">
        <v>9.9000000000000005E-2</v>
      </c>
      <c r="E82" s="1843">
        <v>9.7000000000000003E-2</v>
      </c>
      <c r="F82" s="1844">
        <v>0.1</v>
      </c>
    </row>
    <row r="83" spans="1:6" ht="15" thickBot="1">
      <c r="A83" s="1838" t="s">
        <v>1407</v>
      </c>
      <c r="B83" s="1842" t="s">
        <v>1148</v>
      </c>
      <c r="C83" s="1843">
        <v>9.8000000000000004E-2</v>
      </c>
      <c r="D83" s="1843">
        <v>9.8000000000000004E-2</v>
      </c>
      <c r="E83" s="1843">
        <v>9.8000000000000004E-2</v>
      </c>
      <c r="F83" s="1844">
        <v>0.1</v>
      </c>
    </row>
    <row r="84" spans="1:6" ht="15" thickBot="1">
      <c r="A84" s="1838" t="s">
        <v>1407</v>
      </c>
      <c r="B84" s="1842" t="s">
        <v>1160</v>
      </c>
      <c r="C84" s="1843">
        <v>9.9000000000000005E-2</v>
      </c>
      <c r="D84" s="1843">
        <v>9.9000000000000005E-2</v>
      </c>
      <c r="E84" s="1843">
        <v>9.9000000000000005E-2</v>
      </c>
      <c r="F84" s="1844">
        <v>0.1</v>
      </c>
    </row>
    <row r="85" spans="1:6" ht="15" thickBot="1">
      <c r="A85" s="1838" t="s">
        <v>1407</v>
      </c>
      <c r="B85" s="1842" t="s">
        <v>1170</v>
      </c>
      <c r="C85" s="1843">
        <v>9.9000000000000005E-2</v>
      </c>
      <c r="D85" s="1843">
        <v>9.9000000000000005E-2</v>
      </c>
      <c r="E85" s="1843">
        <v>9.9000000000000005E-2</v>
      </c>
      <c r="F85" s="1844">
        <v>0.1</v>
      </c>
    </row>
    <row r="86" spans="1:6" ht="15" thickBot="1">
      <c r="A86" s="1838" t="s">
        <v>1407</v>
      </c>
      <c r="B86" s="1842" t="s">
        <v>1180</v>
      </c>
      <c r="C86" s="1843">
        <v>0.1</v>
      </c>
      <c r="D86" s="1843">
        <v>0.1</v>
      </c>
      <c r="E86" s="1843">
        <v>7.6999999999999999E-2</v>
      </c>
      <c r="F86" s="1844">
        <v>0.1</v>
      </c>
    </row>
    <row r="87" spans="1:6" ht="15" thickBot="1">
      <c r="A87" s="1838" t="s">
        <v>1407</v>
      </c>
      <c r="B87" s="1842" t="s">
        <v>1190</v>
      </c>
      <c r="C87" s="1843">
        <v>0.1</v>
      </c>
      <c r="D87" s="1843">
        <v>0.1</v>
      </c>
      <c r="E87" s="1843">
        <v>9.8000000000000004E-2</v>
      </c>
      <c r="F87" s="1851"/>
    </row>
    <row r="88" spans="1:6" ht="15" thickBot="1">
      <c r="A88" s="1838" t="s">
        <v>1407</v>
      </c>
      <c r="B88" s="1842" t="s">
        <v>1200</v>
      </c>
      <c r="C88" s="1843">
        <v>9.1999999999999998E-2</v>
      </c>
      <c r="D88" s="1843">
        <v>8.5000000000000006E-2</v>
      </c>
      <c r="E88" s="1843">
        <v>9.6000000000000002E-2</v>
      </c>
      <c r="F88" s="1851"/>
    </row>
    <row r="89" spans="1:6" ht="15" thickBot="1">
      <c r="A89" s="1838" t="s">
        <v>1407</v>
      </c>
      <c r="B89" s="1842" t="s">
        <v>1210</v>
      </c>
      <c r="C89" s="1843">
        <v>0.1</v>
      </c>
      <c r="D89" s="1843">
        <v>0.1</v>
      </c>
      <c r="E89" s="1843">
        <v>9.7000000000000003E-2</v>
      </c>
      <c r="F89" s="1851"/>
    </row>
    <row r="90" spans="1:6" ht="15" thickBot="1">
      <c r="A90" s="1838" t="s">
        <v>1407</v>
      </c>
      <c r="B90" s="1842" t="s">
        <v>1220</v>
      </c>
      <c r="C90" s="1843">
        <v>9.8000000000000004E-2</v>
      </c>
      <c r="D90" s="1843">
        <v>9.8000000000000004E-2</v>
      </c>
      <c r="E90" s="1843">
        <v>8.7999999999999995E-2</v>
      </c>
      <c r="F90" s="1851"/>
    </row>
    <row r="91" spans="1:6" ht="15" thickBot="1">
      <c r="A91" s="1838" t="s">
        <v>1407</v>
      </c>
      <c r="B91" s="1842" t="s">
        <v>1230</v>
      </c>
      <c r="C91" s="1843">
        <v>9.9000000000000005E-2</v>
      </c>
      <c r="D91" s="1843">
        <v>9.9000000000000005E-2</v>
      </c>
      <c r="E91" s="1843">
        <v>9.0999999999999998E-2</v>
      </c>
      <c r="F91" s="1851"/>
    </row>
    <row r="92" spans="1:6" ht="15" thickBot="1">
      <c r="A92" s="1838" t="s">
        <v>1407</v>
      </c>
      <c r="B92" s="1842" t="s">
        <v>1240</v>
      </c>
      <c r="C92" s="1843">
        <v>9.6000000000000002E-2</v>
      </c>
      <c r="D92" s="1843">
        <v>9.6000000000000002E-2</v>
      </c>
      <c r="E92" s="1843">
        <v>7.2999999999999995E-2</v>
      </c>
      <c r="F92" s="1851"/>
    </row>
    <row r="93" spans="1:6" ht="15" thickBot="1">
      <c r="A93" s="1838" t="s">
        <v>1407</v>
      </c>
      <c r="B93" s="1842" t="s">
        <v>1250</v>
      </c>
      <c r="C93" s="1843">
        <v>9.6000000000000002E-2</v>
      </c>
      <c r="D93" s="1843">
        <v>9.6000000000000002E-2</v>
      </c>
      <c r="E93" s="1843">
        <v>9.9000000000000005E-2</v>
      </c>
      <c r="F93" s="1851"/>
    </row>
    <row r="94" spans="1:6" ht="15" thickBot="1">
      <c r="A94" s="1838" t="s">
        <v>1407</v>
      </c>
      <c r="B94" s="1842" t="s">
        <v>1260</v>
      </c>
      <c r="C94" s="1843">
        <v>7.5999999999999998E-2</v>
      </c>
      <c r="D94" s="1843">
        <v>7.3999999999999996E-2</v>
      </c>
      <c r="E94" s="1843">
        <v>9.7000000000000003E-2</v>
      </c>
      <c r="F94" s="1851"/>
    </row>
    <row r="95" spans="1:6" ht="15" thickBot="1">
      <c r="A95" s="1838" t="s">
        <v>1407</v>
      </c>
      <c r="B95" s="1842" t="s">
        <v>1269</v>
      </c>
      <c r="C95" s="1843">
        <v>9.9000000000000005E-2</v>
      </c>
      <c r="D95" s="1843">
        <v>9.4E-2</v>
      </c>
      <c r="E95" s="1843">
        <v>9.6000000000000002E-2</v>
      </c>
      <c r="F95" s="1851"/>
    </row>
    <row r="96" spans="1:6" ht="15" thickBot="1">
      <c r="A96" s="1838" t="s">
        <v>1407</v>
      </c>
      <c r="B96" s="1842" t="s">
        <v>1278</v>
      </c>
      <c r="C96" s="1843">
        <v>9.9000000000000005E-2</v>
      </c>
      <c r="D96" s="1843">
        <v>9.9000000000000005E-2</v>
      </c>
      <c r="E96" s="1843">
        <v>9.9000000000000005E-2</v>
      </c>
      <c r="F96" s="1851"/>
    </row>
    <row r="97" spans="1:6" ht="15" thickBot="1">
      <c r="A97" s="1838" t="s">
        <v>1407</v>
      </c>
      <c r="B97" s="1842" t="s">
        <v>1286</v>
      </c>
      <c r="C97" s="1843">
        <v>9.8000000000000004E-2</v>
      </c>
      <c r="D97" s="1843">
        <v>9.8000000000000004E-2</v>
      </c>
      <c r="E97" s="1843">
        <v>9.7000000000000003E-2</v>
      </c>
      <c r="F97" s="1851"/>
    </row>
    <row r="98" spans="1:6" ht="15" thickBot="1">
      <c r="A98" s="1838" t="s">
        <v>1407</v>
      </c>
      <c r="B98" s="1842" t="s">
        <v>1293</v>
      </c>
      <c r="C98" s="1843">
        <v>0.1</v>
      </c>
      <c r="D98" s="1843">
        <v>0.1</v>
      </c>
      <c r="E98" s="1843">
        <v>9.7000000000000003E-2</v>
      </c>
      <c r="F98" s="1851"/>
    </row>
    <row r="99" spans="1:6" ht="15" thickBot="1">
      <c r="A99" s="1838" t="s">
        <v>1407</v>
      </c>
      <c r="B99" s="1842" t="s">
        <v>1300</v>
      </c>
      <c r="C99" s="1843">
        <v>0.1</v>
      </c>
      <c r="D99" s="1843">
        <v>0.1</v>
      </c>
      <c r="E99" s="1852"/>
      <c r="F99" s="1851"/>
    </row>
    <row r="100" spans="1:6" ht="15" thickBot="1">
      <c r="A100" s="1838" t="s">
        <v>1407</v>
      </c>
      <c r="B100" s="1842" t="s">
        <v>1307</v>
      </c>
      <c r="C100" s="1843">
        <v>0.09</v>
      </c>
      <c r="D100" s="1843">
        <v>8.8999999999999996E-2</v>
      </c>
      <c r="E100" s="1852"/>
      <c r="F100" s="1851"/>
    </row>
    <row r="101" spans="1:6" ht="15" thickBot="1">
      <c r="A101" s="1838" t="s">
        <v>1407</v>
      </c>
      <c r="B101" s="1842" t="s">
        <v>1314</v>
      </c>
      <c r="C101" s="1843">
        <v>9.8000000000000004E-2</v>
      </c>
      <c r="D101" s="1843">
        <v>9.7000000000000003E-2</v>
      </c>
      <c r="E101" s="1852"/>
      <c r="F101" s="1851"/>
    </row>
    <row r="102" spans="1:6" ht="24.6" thickBot="1">
      <c r="A102" s="1838" t="s">
        <v>1407</v>
      </c>
      <c r="B102" s="1842" t="s">
        <v>2098</v>
      </c>
      <c r="C102" s="1852"/>
      <c r="D102" s="1852"/>
      <c r="E102" s="1852"/>
      <c r="F102" s="1844">
        <v>0.05</v>
      </c>
    </row>
    <row r="103" spans="1:6" ht="24.6" thickBot="1">
      <c r="A103" s="1838" t="s">
        <v>1407</v>
      </c>
      <c r="B103" s="1842" t="s">
        <v>2099</v>
      </c>
      <c r="C103" s="1852"/>
      <c r="D103" s="1852"/>
      <c r="E103" s="1852"/>
      <c r="F103" s="1844">
        <v>0.05</v>
      </c>
    </row>
    <row r="104" spans="1:6" ht="15" thickBot="1">
      <c r="A104" s="1838" t="s">
        <v>1407</v>
      </c>
      <c r="B104" s="1842" t="s">
        <v>2100</v>
      </c>
      <c r="C104" s="1852"/>
      <c r="D104" s="1852"/>
      <c r="E104" s="1852"/>
      <c r="F104" s="1844">
        <v>0.05</v>
      </c>
    </row>
    <row r="105" spans="1:6" ht="24.6" thickBot="1">
      <c r="A105" s="1838" t="s">
        <v>1407</v>
      </c>
      <c r="B105" s="1842" t="s">
        <v>2101</v>
      </c>
      <c r="C105" s="1852"/>
      <c r="D105" s="1852"/>
      <c r="E105" s="1852"/>
      <c r="F105" s="1844">
        <v>0.05</v>
      </c>
    </row>
    <row r="106" spans="1:6" ht="24.6" thickBot="1">
      <c r="A106" s="1838" t="s">
        <v>1407</v>
      </c>
      <c r="B106" s="1842" t="s">
        <v>2102</v>
      </c>
      <c r="C106" s="1852"/>
      <c r="D106" s="1852"/>
      <c r="E106" s="1852"/>
      <c r="F106" s="1844">
        <v>0.05</v>
      </c>
    </row>
    <row r="107" spans="1:6" ht="24.6" thickBot="1">
      <c r="A107" s="1838" t="s">
        <v>1407</v>
      </c>
      <c r="B107" s="1842" t="s">
        <v>2103</v>
      </c>
      <c r="C107" s="1852"/>
      <c r="D107" s="1852"/>
      <c r="E107" s="1852"/>
      <c r="F107" s="1844">
        <v>0.05</v>
      </c>
    </row>
    <row r="108" spans="1:6" ht="24.6" thickBot="1">
      <c r="A108" s="1838" t="s">
        <v>1407</v>
      </c>
      <c r="B108" s="1842" t="s">
        <v>2104</v>
      </c>
      <c r="C108" s="1852"/>
      <c r="D108" s="1852"/>
      <c r="E108" s="1852"/>
      <c r="F108" s="1844">
        <v>0.05</v>
      </c>
    </row>
    <row r="109" spans="1:6" ht="24.6" thickBot="1">
      <c r="A109" s="1846" t="s">
        <v>1407</v>
      </c>
      <c r="B109" s="1853" t="s">
        <v>2105</v>
      </c>
      <c r="C109" s="1849"/>
      <c r="D109" s="1849"/>
      <c r="E109" s="1849"/>
      <c r="F109" s="1854">
        <v>0.05</v>
      </c>
    </row>
    <row r="110" spans="1:6" ht="15" thickBot="1">
      <c r="A110" s="1838" t="s">
        <v>1409</v>
      </c>
      <c r="B110" s="1839" t="s">
        <v>2106</v>
      </c>
      <c r="C110" s="1840">
        <v>0.129</v>
      </c>
      <c r="D110" s="1840">
        <v>0.129</v>
      </c>
      <c r="E110" s="1840">
        <v>0.126</v>
      </c>
      <c r="F110" s="1841">
        <v>0.13</v>
      </c>
    </row>
    <row r="111" spans="1:6" ht="15" thickBot="1">
      <c r="A111" s="1838" t="s">
        <v>1409</v>
      </c>
      <c r="B111" s="1842" t="s">
        <v>1075</v>
      </c>
      <c r="C111" s="1843">
        <v>0.11</v>
      </c>
      <c r="D111" s="1843">
        <v>0.11</v>
      </c>
      <c r="E111" s="1843">
        <v>9.9000000000000005E-2</v>
      </c>
      <c r="F111" s="1844">
        <v>0.128</v>
      </c>
    </row>
    <row r="112" spans="1:6" ht="15" thickBot="1">
      <c r="A112" s="1838" t="s">
        <v>1409</v>
      </c>
      <c r="B112" s="1842" t="s">
        <v>1089</v>
      </c>
      <c r="C112" s="1843">
        <v>0.125</v>
      </c>
      <c r="D112" s="1843">
        <v>0.125</v>
      </c>
      <c r="E112" s="1843">
        <v>0.12</v>
      </c>
      <c r="F112" s="1844">
        <v>0.125</v>
      </c>
    </row>
    <row r="113" spans="1:6" ht="15" thickBot="1">
      <c r="A113" s="1838" t="s">
        <v>1409</v>
      </c>
      <c r="B113" s="1842" t="s">
        <v>1102</v>
      </c>
      <c r="C113" s="1843">
        <v>0.13</v>
      </c>
      <c r="D113" s="1843">
        <v>0.13</v>
      </c>
      <c r="E113" s="1843">
        <v>0.13</v>
      </c>
      <c r="F113" s="1844">
        <v>0.13</v>
      </c>
    </row>
    <row r="114" spans="1:6" ht="15" thickBot="1">
      <c r="A114" s="1838" t="s">
        <v>1409</v>
      </c>
      <c r="B114" s="1842" t="s">
        <v>1116</v>
      </c>
      <c r="C114" s="1843">
        <v>0.123</v>
      </c>
      <c r="D114" s="1843">
        <v>0.123</v>
      </c>
      <c r="E114" s="1843">
        <v>0.12</v>
      </c>
      <c r="F114" s="1844">
        <v>0.13</v>
      </c>
    </row>
    <row r="115" spans="1:6" ht="15" thickBot="1">
      <c r="A115" s="1838" t="s">
        <v>1409</v>
      </c>
      <c r="B115" s="1842" t="s">
        <v>1127</v>
      </c>
      <c r="C115" s="1843">
        <v>0.125</v>
      </c>
      <c r="D115" s="1843">
        <v>0.125</v>
      </c>
      <c r="E115" s="1843">
        <v>0.11700000000000001</v>
      </c>
      <c r="F115" s="1844">
        <v>0.13</v>
      </c>
    </row>
    <row r="116" spans="1:6" ht="15" thickBot="1">
      <c r="A116" s="1838" t="s">
        <v>1409</v>
      </c>
      <c r="B116" s="1842" t="s">
        <v>1138</v>
      </c>
      <c r="C116" s="1843">
        <v>0.11700000000000001</v>
      </c>
      <c r="D116" s="1843">
        <v>0.11700000000000001</v>
      </c>
      <c r="E116" s="1843">
        <v>8.7999999999999995E-2</v>
      </c>
      <c r="F116" s="1844">
        <v>0.13</v>
      </c>
    </row>
    <row r="117" spans="1:6" ht="15" thickBot="1">
      <c r="A117" s="1838" t="s">
        <v>1409</v>
      </c>
      <c r="B117" s="1842" t="s">
        <v>1149</v>
      </c>
      <c r="C117" s="1843">
        <v>0.13</v>
      </c>
      <c r="D117" s="1843">
        <v>0.13</v>
      </c>
      <c r="E117" s="1843">
        <v>0.129</v>
      </c>
      <c r="F117" s="1844">
        <v>0.13</v>
      </c>
    </row>
    <row r="118" spans="1:6" ht="15" thickBot="1">
      <c r="A118" s="1838" t="s">
        <v>1409</v>
      </c>
      <c r="B118" s="1842" t="s">
        <v>1161</v>
      </c>
      <c r="C118" s="1843">
        <v>0.123</v>
      </c>
      <c r="D118" s="1843">
        <v>0.123</v>
      </c>
      <c r="E118" s="1843">
        <v>0.11600000000000001</v>
      </c>
      <c r="F118" s="1844">
        <v>0.13</v>
      </c>
    </row>
    <row r="119" spans="1:6" ht="15" thickBot="1">
      <c r="A119" s="1838" t="s">
        <v>1409</v>
      </c>
      <c r="B119" s="1842" t="s">
        <v>1171</v>
      </c>
      <c r="C119" s="1843">
        <v>0.127</v>
      </c>
      <c r="D119" s="1843">
        <v>0.127</v>
      </c>
      <c r="E119" s="1843">
        <v>0.124</v>
      </c>
      <c r="F119" s="1844">
        <v>0.13</v>
      </c>
    </row>
    <row r="120" spans="1:6" ht="15" thickBot="1">
      <c r="A120" s="1838" t="s">
        <v>1409</v>
      </c>
      <c r="B120" s="1842" t="s">
        <v>1181</v>
      </c>
      <c r="C120" s="1843">
        <v>0.125</v>
      </c>
      <c r="D120" s="1843">
        <v>0.125</v>
      </c>
      <c r="E120" s="1843">
        <v>0.122</v>
      </c>
      <c r="F120" s="1844">
        <v>0.13</v>
      </c>
    </row>
    <row r="121" spans="1:6" ht="15" thickBot="1">
      <c r="A121" s="1838" t="s">
        <v>1409</v>
      </c>
      <c r="B121" s="1842" t="s">
        <v>1191</v>
      </c>
      <c r="C121" s="1843">
        <v>0.13</v>
      </c>
      <c r="D121" s="1843">
        <v>0.13</v>
      </c>
      <c r="E121" s="1843">
        <v>0.13</v>
      </c>
      <c r="F121" s="1844">
        <v>0.13</v>
      </c>
    </row>
    <row r="122" spans="1:6" ht="15" thickBot="1">
      <c r="A122" s="1838" t="s">
        <v>1409</v>
      </c>
      <c r="B122" s="1842" t="s">
        <v>1201</v>
      </c>
      <c r="C122" s="1843">
        <v>0.13</v>
      </c>
      <c r="D122" s="1843">
        <v>0.13</v>
      </c>
      <c r="E122" s="1843">
        <v>0.125</v>
      </c>
      <c r="F122" s="1844">
        <v>0.13</v>
      </c>
    </row>
    <row r="123" spans="1:6" ht="15" thickBot="1">
      <c r="A123" s="1838" t="s">
        <v>1409</v>
      </c>
      <c r="B123" s="1842" t="s">
        <v>1211</v>
      </c>
      <c r="C123" s="1843">
        <v>0.129</v>
      </c>
      <c r="D123" s="1843">
        <v>0.129</v>
      </c>
      <c r="E123" s="1843">
        <v>0.123</v>
      </c>
      <c r="F123" s="1844">
        <v>0.13</v>
      </c>
    </row>
    <row r="124" spans="1:6" ht="15" thickBot="1">
      <c r="A124" s="1838" t="s">
        <v>1409</v>
      </c>
      <c r="B124" s="1842" t="s">
        <v>1221</v>
      </c>
      <c r="C124" s="1843">
        <v>0.10199999999999999</v>
      </c>
      <c r="D124" s="1843">
        <v>0.10100000000000001</v>
      </c>
      <c r="E124" s="1843">
        <v>0.08</v>
      </c>
      <c r="F124" s="1851"/>
    </row>
    <row r="125" spans="1:6" ht="15" thickBot="1">
      <c r="A125" s="1838" t="s">
        <v>1409</v>
      </c>
      <c r="B125" s="1842" t="s">
        <v>1231</v>
      </c>
      <c r="C125" s="1843">
        <v>0.13</v>
      </c>
      <c r="D125" s="1843">
        <v>0.13</v>
      </c>
      <c r="E125" s="1843">
        <v>0.129</v>
      </c>
      <c r="F125" s="1851"/>
    </row>
    <row r="126" spans="1:6" ht="15" thickBot="1">
      <c r="A126" s="1838" t="s">
        <v>1409</v>
      </c>
      <c r="B126" s="1842" t="s">
        <v>1241</v>
      </c>
      <c r="C126" s="1843">
        <v>0.13</v>
      </c>
      <c r="D126" s="1843">
        <v>0.13</v>
      </c>
      <c r="E126" s="1843">
        <v>0.126</v>
      </c>
      <c r="F126" s="1851"/>
    </row>
    <row r="127" spans="1:6" ht="15" thickBot="1">
      <c r="A127" s="1838" t="s">
        <v>1409</v>
      </c>
      <c r="B127" s="1842" t="s">
        <v>1251</v>
      </c>
      <c r="C127" s="1843">
        <v>0.125</v>
      </c>
      <c r="D127" s="1843">
        <v>0.125</v>
      </c>
      <c r="E127" s="1843">
        <v>0.121</v>
      </c>
      <c r="F127" s="1851"/>
    </row>
    <row r="128" spans="1:6" ht="15" thickBot="1">
      <c r="A128" s="1838" t="s">
        <v>1409</v>
      </c>
      <c r="B128" s="1842" t="s">
        <v>1261</v>
      </c>
      <c r="C128" s="1843">
        <v>0.12</v>
      </c>
      <c r="D128" s="1843">
        <v>0.12</v>
      </c>
      <c r="E128" s="1843">
        <v>0.105</v>
      </c>
      <c r="F128" s="1851"/>
    </row>
    <row r="129" spans="1:6" ht="15" thickBot="1">
      <c r="A129" s="1838" t="s">
        <v>1409</v>
      </c>
      <c r="B129" s="1842" t="s">
        <v>1270</v>
      </c>
      <c r="C129" s="1843">
        <v>0.13</v>
      </c>
      <c r="D129" s="1843">
        <v>0.13</v>
      </c>
      <c r="E129" s="1843">
        <v>0.126</v>
      </c>
      <c r="F129" s="1851"/>
    </row>
    <row r="130" spans="1:6" ht="15" thickBot="1">
      <c r="A130" s="1838" t="s">
        <v>1409</v>
      </c>
      <c r="B130" s="1842" t="s">
        <v>1279</v>
      </c>
      <c r="C130" s="1843">
        <v>0.125</v>
      </c>
      <c r="D130" s="1843">
        <v>0.125</v>
      </c>
      <c r="E130" s="1843">
        <v>0.122</v>
      </c>
      <c r="F130" s="1851"/>
    </row>
    <row r="131" spans="1:6" ht="15" thickBot="1">
      <c r="A131" s="1838" t="s">
        <v>1409</v>
      </c>
      <c r="B131" s="1842" t="s">
        <v>1287</v>
      </c>
      <c r="C131" s="1843">
        <v>0.127</v>
      </c>
      <c r="D131" s="1843">
        <v>0.126</v>
      </c>
      <c r="E131" s="1843">
        <v>0.123</v>
      </c>
      <c r="F131" s="1851"/>
    </row>
    <row r="132" spans="1:6" ht="15" thickBot="1">
      <c r="A132" s="1838" t="s">
        <v>1409</v>
      </c>
      <c r="B132" s="1842" t="s">
        <v>1294</v>
      </c>
      <c r="C132" s="1843">
        <v>9.0999999999999998E-2</v>
      </c>
      <c r="D132" s="1843">
        <v>0.121</v>
      </c>
      <c r="E132" s="1843">
        <v>9.9000000000000005E-2</v>
      </c>
      <c r="F132" s="1851"/>
    </row>
    <row r="133" spans="1:6" ht="15" thickBot="1">
      <c r="A133" s="1838" t="s">
        <v>1409</v>
      </c>
      <c r="B133" s="1842" t="s">
        <v>1301</v>
      </c>
      <c r="C133" s="1843">
        <v>0.13</v>
      </c>
      <c r="D133" s="1843">
        <v>0.13</v>
      </c>
      <c r="E133" s="1843">
        <v>0.129</v>
      </c>
      <c r="F133" s="1851"/>
    </row>
    <row r="134" spans="1:6" ht="15" thickBot="1">
      <c r="A134" s="1838" t="s">
        <v>1409</v>
      </c>
      <c r="B134" s="1842" t="s">
        <v>2107</v>
      </c>
      <c r="C134" s="1843">
        <v>6.8000000000000005E-2</v>
      </c>
      <c r="D134" s="1843">
        <v>6.5000000000000002E-2</v>
      </c>
      <c r="E134" s="1843">
        <v>6.5000000000000002E-2</v>
      </c>
      <c r="F134" s="1844">
        <v>0.13</v>
      </c>
    </row>
    <row r="135" spans="1:6" ht="15" thickBot="1">
      <c r="A135" s="1838" t="s">
        <v>1409</v>
      </c>
      <c r="B135" s="1842" t="s">
        <v>1315</v>
      </c>
      <c r="C135" s="1843">
        <v>0.123</v>
      </c>
      <c r="D135" s="1843">
        <v>0.123</v>
      </c>
      <c r="E135" s="1843">
        <v>0.11</v>
      </c>
      <c r="F135" s="1851"/>
    </row>
    <row r="136" spans="1:6" ht="15" thickBot="1">
      <c r="A136" s="1838" t="s">
        <v>1409</v>
      </c>
      <c r="B136" s="1842" t="s">
        <v>1322</v>
      </c>
      <c r="C136" s="1843">
        <v>0.13</v>
      </c>
      <c r="D136" s="1843">
        <v>0.13</v>
      </c>
      <c r="E136" s="1843">
        <v>0.125</v>
      </c>
      <c r="F136" s="1851"/>
    </row>
    <row r="137" spans="1:6" ht="15" thickBot="1">
      <c r="A137" s="1838" t="s">
        <v>1409</v>
      </c>
      <c r="B137" s="1842" t="s">
        <v>1329</v>
      </c>
      <c r="C137" s="1843">
        <v>0.121</v>
      </c>
      <c r="D137" s="1843">
        <v>0.122</v>
      </c>
      <c r="E137" s="1843">
        <v>0.115</v>
      </c>
      <c r="F137" s="1851"/>
    </row>
    <row r="138" spans="1:6" ht="15" thickBot="1">
      <c r="A138" s="1838" t="s">
        <v>1409</v>
      </c>
      <c r="B138" s="1842" t="s">
        <v>2108</v>
      </c>
      <c r="C138" s="1843">
        <v>0.105</v>
      </c>
      <c r="D138" s="1843">
        <v>0.125</v>
      </c>
      <c r="E138" s="1843">
        <v>0.112</v>
      </c>
      <c r="F138" s="1851"/>
    </row>
    <row r="139" spans="1:6" ht="15" thickBot="1">
      <c r="A139" s="1838" t="s">
        <v>1409</v>
      </c>
      <c r="B139" s="1842" t="s">
        <v>2109</v>
      </c>
      <c r="C139" s="1843">
        <v>0.127</v>
      </c>
      <c r="D139" s="1843">
        <v>0.127</v>
      </c>
      <c r="E139" s="1843">
        <v>0.122</v>
      </c>
      <c r="F139" s="1844">
        <v>0.13</v>
      </c>
    </row>
    <row r="140" spans="1:6" ht="15" thickBot="1">
      <c r="A140" s="1838" t="s">
        <v>1409</v>
      </c>
      <c r="B140" s="1842" t="s">
        <v>2110</v>
      </c>
      <c r="C140" s="1843">
        <v>0.125</v>
      </c>
      <c r="D140" s="1843">
        <v>0.125</v>
      </c>
      <c r="E140" s="1843">
        <v>0.11899999999999999</v>
      </c>
      <c r="F140" s="1844">
        <v>0.13</v>
      </c>
    </row>
    <row r="141" spans="1:6" ht="15" thickBot="1">
      <c r="A141" s="1838" t="s">
        <v>1409</v>
      </c>
      <c r="B141" s="1842" t="s">
        <v>1348</v>
      </c>
      <c r="C141" s="1843">
        <v>0.125</v>
      </c>
      <c r="D141" s="1843">
        <v>0.125</v>
      </c>
      <c r="E141" s="1843">
        <v>0.11700000000000001</v>
      </c>
      <c r="F141" s="1851"/>
    </row>
    <row r="142" spans="1:6" ht="15" thickBot="1">
      <c r="A142" s="1838" t="s">
        <v>1409</v>
      </c>
      <c r="B142" s="1842" t="s">
        <v>1353</v>
      </c>
      <c r="C142" s="1843">
        <v>0.125</v>
      </c>
      <c r="D142" s="1843">
        <v>0.125</v>
      </c>
      <c r="E142" s="1843">
        <v>0.115</v>
      </c>
      <c r="F142" s="1851"/>
    </row>
    <row r="143" spans="1:6" ht="15" thickBot="1">
      <c r="A143" s="1838" t="s">
        <v>1409</v>
      </c>
      <c r="B143" s="1842" t="s">
        <v>1358</v>
      </c>
      <c r="C143" s="1843">
        <v>0.121</v>
      </c>
      <c r="D143" s="1843">
        <v>0.121</v>
      </c>
      <c r="E143" s="1843">
        <v>0.108</v>
      </c>
      <c r="F143" s="1851"/>
    </row>
    <row r="144" spans="1:6" ht="15" thickBot="1">
      <c r="A144" s="1838" t="s">
        <v>1409</v>
      </c>
      <c r="B144" s="1855" t="s">
        <v>2111</v>
      </c>
      <c r="C144" s="1856">
        <v>0.126</v>
      </c>
      <c r="D144" s="1856">
        <v>0.126</v>
      </c>
      <c r="E144" s="1856">
        <v>0.121</v>
      </c>
      <c r="F144" s="1851"/>
    </row>
    <row r="145" spans="1:6" ht="15" thickBot="1">
      <c r="A145" s="1846" t="s">
        <v>1409</v>
      </c>
      <c r="B145" s="1857" t="s">
        <v>2112</v>
      </c>
      <c r="C145" s="1858"/>
      <c r="D145" s="1858"/>
      <c r="E145" s="1858"/>
      <c r="F145" s="1859">
        <v>0.05</v>
      </c>
    </row>
    <row r="146" spans="1:6" ht="24.6" thickBot="1">
      <c r="A146" s="1860" t="s">
        <v>1409</v>
      </c>
      <c r="B146" s="1845" t="s">
        <v>2113</v>
      </c>
      <c r="C146" s="1852"/>
      <c r="D146" s="1852"/>
      <c r="E146" s="1852"/>
      <c r="F146" s="1861">
        <v>0.05</v>
      </c>
    </row>
    <row r="147" spans="1:6" ht="24.6" thickBot="1">
      <c r="A147" s="1838" t="s">
        <v>1409</v>
      </c>
      <c r="B147" s="1842" t="s">
        <v>2114</v>
      </c>
      <c r="C147" s="1852"/>
      <c r="D147" s="1852"/>
      <c r="E147" s="1852"/>
      <c r="F147" s="1844">
        <v>0.05</v>
      </c>
    </row>
    <row r="148" spans="1:6" ht="24.6" thickBot="1">
      <c r="A148" s="1838" t="s">
        <v>1409</v>
      </c>
      <c r="B148" s="1842" t="s">
        <v>2115</v>
      </c>
      <c r="C148" s="1852"/>
      <c r="D148" s="1852"/>
      <c r="E148" s="1852"/>
      <c r="F148" s="1844">
        <v>0.05</v>
      </c>
    </row>
    <row r="149" spans="1:6" ht="24.6" thickBot="1">
      <c r="A149" s="1838" t="s">
        <v>1409</v>
      </c>
      <c r="B149" s="1842" t="s">
        <v>2116</v>
      </c>
      <c r="C149" s="1852"/>
      <c r="D149" s="1852"/>
      <c r="E149" s="1852"/>
      <c r="F149" s="1844">
        <v>0.05</v>
      </c>
    </row>
    <row r="150" spans="1:6" ht="24.6" thickBot="1">
      <c r="A150" s="1838" t="s">
        <v>1409</v>
      </c>
      <c r="B150" s="1842" t="s">
        <v>2117</v>
      </c>
      <c r="C150" s="1852"/>
      <c r="D150" s="1852"/>
      <c r="E150" s="1852"/>
      <c r="F150" s="1844">
        <v>0.05</v>
      </c>
    </row>
    <row r="151" spans="1:6" ht="24.6" thickBot="1">
      <c r="A151" s="1838" t="s">
        <v>1409</v>
      </c>
      <c r="B151" s="1842" t="s">
        <v>2118</v>
      </c>
      <c r="C151" s="1852"/>
      <c r="D151" s="1852"/>
      <c r="E151" s="1852"/>
      <c r="F151" s="1844">
        <v>0.05</v>
      </c>
    </row>
    <row r="152" spans="1:6" ht="24.6" thickBot="1">
      <c r="A152" s="1838" t="s">
        <v>1409</v>
      </c>
      <c r="B152" s="1842" t="s">
        <v>1391</v>
      </c>
      <c r="C152" s="1852"/>
      <c r="D152" s="1852"/>
      <c r="E152" s="1852"/>
      <c r="F152" s="1844">
        <v>0.05</v>
      </c>
    </row>
    <row r="153" spans="1:6" ht="15" thickBot="1">
      <c r="A153" s="1838" t="s">
        <v>1409</v>
      </c>
      <c r="B153" s="1842" t="s">
        <v>2119</v>
      </c>
      <c r="C153" s="1852"/>
      <c r="D153" s="1852"/>
      <c r="E153" s="1852"/>
      <c r="F153" s="1844">
        <v>0.05</v>
      </c>
    </row>
    <row r="154" spans="1:6" ht="15" thickBot="1">
      <c r="A154" s="1838" t="s">
        <v>1409</v>
      </c>
      <c r="B154" s="1842" t="s">
        <v>2120</v>
      </c>
      <c r="C154" s="1852"/>
      <c r="D154" s="1852"/>
      <c r="E154" s="1852"/>
      <c r="F154" s="1844">
        <v>0.05</v>
      </c>
    </row>
    <row r="155" spans="1:6" ht="24.6" thickBot="1">
      <c r="A155" s="1838" t="s">
        <v>1409</v>
      </c>
      <c r="B155" s="1842" t="s">
        <v>2121</v>
      </c>
      <c r="C155" s="1852"/>
      <c r="D155" s="1852"/>
      <c r="E155" s="1852"/>
      <c r="F155" s="1844">
        <v>0.05</v>
      </c>
    </row>
    <row r="156" spans="1:6" ht="24.6" thickBot="1">
      <c r="A156" s="1838" t="s">
        <v>1409</v>
      </c>
      <c r="B156" s="1842" t="s">
        <v>2122</v>
      </c>
      <c r="C156" s="1852"/>
      <c r="D156" s="1852"/>
      <c r="E156" s="1852"/>
      <c r="F156" s="1844">
        <v>0.05</v>
      </c>
    </row>
    <row r="157" spans="1:6" ht="24.6" thickBot="1">
      <c r="A157" s="1846" t="s">
        <v>1409</v>
      </c>
      <c r="B157" s="1853" t="s">
        <v>2123</v>
      </c>
      <c r="C157" s="1849"/>
      <c r="D157" s="1849"/>
      <c r="E157" s="1849"/>
      <c r="F157" s="1854">
        <v>0.05</v>
      </c>
    </row>
    <row r="158" spans="1:6" ht="15" thickBot="1">
      <c r="A158" s="1838" t="s">
        <v>1411</v>
      </c>
      <c r="B158" s="1839" t="s">
        <v>2124</v>
      </c>
      <c r="C158" s="1840">
        <v>0.13</v>
      </c>
      <c r="D158" s="1840">
        <v>0.13</v>
      </c>
      <c r="E158" s="1840">
        <v>0.13</v>
      </c>
      <c r="F158" s="1841">
        <v>0.13</v>
      </c>
    </row>
    <row r="159" spans="1:6" ht="15" thickBot="1">
      <c r="A159" s="1838" t="s">
        <v>1411</v>
      </c>
      <c r="B159" s="1842" t="s">
        <v>1076</v>
      </c>
      <c r="C159" s="1843">
        <v>0.13</v>
      </c>
      <c r="D159" s="1843">
        <v>0.13</v>
      </c>
      <c r="E159" s="1843">
        <v>0.13</v>
      </c>
      <c r="F159" s="1844">
        <v>0.13</v>
      </c>
    </row>
    <row r="160" spans="1:6" ht="15" thickBot="1">
      <c r="A160" s="1838" t="s">
        <v>1411</v>
      </c>
      <c r="B160" s="1842" t="s">
        <v>1090</v>
      </c>
      <c r="C160" s="1843">
        <v>0.13</v>
      </c>
      <c r="D160" s="1843">
        <v>0.13</v>
      </c>
      <c r="E160" s="1843">
        <v>0.129</v>
      </c>
      <c r="F160" s="1844">
        <v>0.13</v>
      </c>
    </row>
    <row r="161" spans="1:6" ht="15" thickBot="1">
      <c r="A161" s="1838" t="s">
        <v>1411</v>
      </c>
      <c r="B161" s="1842" t="s">
        <v>1103</v>
      </c>
      <c r="C161" s="1843">
        <v>0.128</v>
      </c>
      <c r="D161" s="1843">
        <v>0.128</v>
      </c>
      <c r="E161" s="1843">
        <v>0.125</v>
      </c>
      <c r="F161" s="1844">
        <v>0.13</v>
      </c>
    </row>
    <row r="162" spans="1:6" ht="15" thickBot="1">
      <c r="A162" s="1838" t="s">
        <v>1411</v>
      </c>
      <c r="B162" s="1842" t="s">
        <v>1117</v>
      </c>
      <c r="C162" s="1843">
        <v>0.122</v>
      </c>
      <c r="D162" s="1843">
        <v>0.122</v>
      </c>
      <c r="E162" s="1843">
        <v>0.126</v>
      </c>
      <c r="F162" s="1844">
        <v>0.122</v>
      </c>
    </row>
    <row r="163" spans="1:6" ht="15" thickBot="1">
      <c r="A163" s="1838" t="s">
        <v>1411</v>
      </c>
      <c r="B163" s="1842" t="s">
        <v>1128</v>
      </c>
      <c r="C163" s="1843">
        <v>0.13</v>
      </c>
      <c r="D163" s="1843">
        <v>0.13</v>
      </c>
      <c r="E163" s="1843">
        <v>0.125</v>
      </c>
      <c r="F163" s="1844">
        <v>0.13</v>
      </c>
    </row>
    <row r="164" spans="1:6" ht="15" thickBot="1">
      <c r="A164" s="1838" t="s">
        <v>1411</v>
      </c>
      <c r="B164" s="1842" t="s">
        <v>1139</v>
      </c>
      <c r="C164" s="1843">
        <v>0.13</v>
      </c>
      <c r="D164" s="1843">
        <v>0.13</v>
      </c>
      <c r="E164" s="1843">
        <v>0.13</v>
      </c>
      <c r="F164" s="1844">
        <v>0.13</v>
      </c>
    </row>
    <row r="165" spans="1:6" ht="15" thickBot="1">
      <c r="A165" s="1838" t="s">
        <v>1411</v>
      </c>
      <c r="B165" s="1842" t="s">
        <v>1150</v>
      </c>
      <c r="C165" s="1843">
        <v>0.13</v>
      </c>
      <c r="D165" s="1843">
        <v>0.13</v>
      </c>
      <c r="E165" s="1843">
        <v>0.124</v>
      </c>
      <c r="F165" s="1844">
        <v>0.13</v>
      </c>
    </row>
    <row r="166" spans="1:6" ht="15" thickBot="1">
      <c r="A166" s="1838" t="s">
        <v>1411</v>
      </c>
      <c r="B166" s="1842" t="s">
        <v>1162</v>
      </c>
      <c r="C166" s="1843">
        <v>0.13</v>
      </c>
      <c r="D166" s="1843">
        <v>0.13</v>
      </c>
      <c r="E166" s="1843">
        <v>0.13</v>
      </c>
      <c r="F166" s="1844">
        <v>0.13</v>
      </c>
    </row>
    <row r="167" spans="1:6" ht="15" thickBot="1">
      <c r="A167" s="1838" t="s">
        <v>1411</v>
      </c>
      <c r="B167" s="1842" t="s">
        <v>1172</v>
      </c>
      <c r="C167" s="1843">
        <v>0.125</v>
      </c>
      <c r="D167" s="1843">
        <v>0.125</v>
      </c>
      <c r="E167" s="1843">
        <v>0.121</v>
      </c>
      <c r="F167" s="1851"/>
    </row>
    <row r="168" spans="1:6" ht="15" thickBot="1">
      <c r="A168" s="1838" t="s">
        <v>1411</v>
      </c>
      <c r="B168" s="1842" t="s">
        <v>1182</v>
      </c>
      <c r="C168" s="1843">
        <v>0.13</v>
      </c>
      <c r="D168" s="1843">
        <v>0.13</v>
      </c>
      <c r="E168" s="1843">
        <v>0.126</v>
      </c>
      <c r="F168" s="1851"/>
    </row>
    <row r="169" spans="1:6" ht="15" thickBot="1">
      <c r="A169" s="1838" t="s">
        <v>1411</v>
      </c>
      <c r="B169" s="1842" t="s">
        <v>1192</v>
      </c>
      <c r="C169" s="1843">
        <v>0.128</v>
      </c>
      <c r="D169" s="1843">
        <v>0.129</v>
      </c>
      <c r="E169" s="1843">
        <v>0.13</v>
      </c>
      <c r="F169" s="1851"/>
    </row>
    <row r="170" spans="1:6" ht="15" thickBot="1">
      <c r="A170" s="1838" t="s">
        <v>1411</v>
      </c>
      <c r="B170" s="1842" t="s">
        <v>1202</v>
      </c>
      <c r="C170" s="1843">
        <v>0.14099999999999999</v>
      </c>
      <c r="D170" s="1843">
        <v>0.13</v>
      </c>
      <c r="E170" s="1843">
        <v>0.125</v>
      </c>
      <c r="F170" s="1851"/>
    </row>
    <row r="171" spans="1:6" ht="15" thickBot="1">
      <c r="A171" s="1838" t="s">
        <v>1411</v>
      </c>
      <c r="B171" s="1842" t="s">
        <v>2125</v>
      </c>
      <c r="C171" s="1843">
        <v>0.127</v>
      </c>
      <c r="D171" s="1843">
        <v>0.126</v>
      </c>
      <c r="E171" s="1843">
        <v>0.126</v>
      </c>
      <c r="F171" s="1844">
        <v>0.11799999999999999</v>
      </c>
    </row>
    <row r="172" spans="1:6" ht="15" thickBot="1">
      <c r="A172" s="1838" t="s">
        <v>1411</v>
      </c>
      <c r="B172" s="1842" t="s">
        <v>2126</v>
      </c>
      <c r="C172" s="1843">
        <v>0.13</v>
      </c>
      <c r="D172" s="1843">
        <v>0.13</v>
      </c>
      <c r="E172" s="1843">
        <v>0.13</v>
      </c>
      <c r="F172" s="1851"/>
    </row>
    <row r="173" spans="1:6" ht="15" thickBot="1">
      <c r="A173" s="1838" t="s">
        <v>1411</v>
      </c>
      <c r="B173" s="1842" t="s">
        <v>1232</v>
      </c>
      <c r="C173" s="1843">
        <v>0.13</v>
      </c>
      <c r="D173" s="1843">
        <v>0.13</v>
      </c>
      <c r="E173" s="1843">
        <v>0.13</v>
      </c>
      <c r="F173" s="1851"/>
    </row>
    <row r="174" spans="1:6" ht="15" thickBot="1">
      <c r="A174" s="1838" t="s">
        <v>1411</v>
      </c>
      <c r="B174" s="1842" t="s">
        <v>2127</v>
      </c>
      <c r="C174" s="1843">
        <v>0.13</v>
      </c>
      <c r="D174" s="1843">
        <v>0.13</v>
      </c>
      <c r="E174" s="1843">
        <v>0.13</v>
      </c>
      <c r="F174" s="1844">
        <v>0.13</v>
      </c>
    </row>
    <row r="175" spans="1:6" ht="15" thickBot="1">
      <c r="A175" s="1838" t="s">
        <v>1411</v>
      </c>
      <c r="B175" s="1842" t="s">
        <v>2128</v>
      </c>
      <c r="C175" s="1843">
        <v>0.13</v>
      </c>
      <c r="D175" s="1843">
        <v>0.13</v>
      </c>
      <c r="E175" s="1843">
        <v>0.13</v>
      </c>
      <c r="F175" s="1844">
        <v>0.13</v>
      </c>
    </row>
    <row r="176" spans="1:6" ht="15" thickBot="1">
      <c r="A176" s="1838" t="s">
        <v>1411</v>
      </c>
      <c r="B176" s="1842" t="s">
        <v>1262</v>
      </c>
      <c r="C176" s="1843">
        <v>0.13</v>
      </c>
      <c r="D176" s="1843">
        <v>0.13</v>
      </c>
      <c r="E176" s="1843">
        <v>0.13</v>
      </c>
      <c r="F176" s="1844">
        <v>0.13</v>
      </c>
    </row>
    <row r="177" spans="1:6" ht="15" thickBot="1">
      <c r="A177" s="1838" t="s">
        <v>1411</v>
      </c>
      <c r="B177" s="1842" t="s">
        <v>2129</v>
      </c>
      <c r="C177" s="1843">
        <v>0.13</v>
      </c>
      <c r="D177" s="1843">
        <v>0.13</v>
      </c>
      <c r="E177" s="1843">
        <v>0.13</v>
      </c>
      <c r="F177" s="1844">
        <v>0.13</v>
      </c>
    </row>
    <row r="178" spans="1:6" ht="15" thickBot="1">
      <c r="A178" s="1838" t="s">
        <v>1411</v>
      </c>
      <c r="B178" s="1842" t="s">
        <v>1280</v>
      </c>
      <c r="C178" s="1843">
        <v>0.13</v>
      </c>
      <c r="D178" s="1843">
        <v>0.13</v>
      </c>
      <c r="E178" s="1843">
        <v>0.13</v>
      </c>
      <c r="F178" s="1844">
        <v>0.127</v>
      </c>
    </row>
    <row r="179" spans="1:6" ht="15" thickBot="1">
      <c r="A179" s="1838" t="s">
        <v>1411</v>
      </c>
      <c r="B179" s="1842" t="s">
        <v>1288</v>
      </c>
      <c r="C179" s="1843">
        <v>0.13</v>
      </c>
      <c r="D179" s="1843">
        <v>0.13</v>
      </c>
      <c r="E179" s="1843">
        <v>0.13</v>
      </c>
      <c r="F179" s="1851"/>
    </row>
    <row r="180" spans="1:6" ht="15" thickBot="1">
      <c r="A180" s="1838" t="s">
        <v>1411</v>
      </c>
      <c r="B180" s="1842" t="s">
        <v>2130</v>
      </c>
      <c r="C180" s="1843">
        <v>0.13</v>
      </c>
      <c r="D180" s="1843">
        <v>0.13</v>
      </c>
      <c r="E180" s="1843">
        <v>0.125</v>
      </c>
      <c r="F180" s="1844">
        <v>0.13</v>
      </c>
    </row>
    <row r="181" spans="1:6" ht="15" thickBot="1">
      <c r="A181" s="1838" t="s">
        <v>1411</v>
      </c>
      <c r="B181" s="1842" t="s">
        <v>1302</v>
      </c>
      <c r="C181" s="1843">
        <v>0.122</v>
      </c>
      <c r="D181" s="1843">
        <v>0.123</v>
      </c>
      <c r="E181" s="1843">
        <v>0.126</v>
      </c>
      <c r="F181" s="1844">
        <v>0.121</v>
      </c>
    </row>
    <row r="182" spans="1:6" ht="15" thickBot="1">
      <c r="A182" s="1838" t="s">
        <v>1411</v>
      </c>
      <c r="B182" s="1842" t="s">
        <v>1309</v>
      </c>
      <c r="C182" s="1843">
        <v>0.125</v>
      </c>
      <c r="D182" s="1843">
        <v>0.125</v>
      </c>
      <c r="E182" s="1843">
        <v>0.11700000000000001</v>
      </c>
      <c r="F182" s="1844">
        <v>0.13</v>
      </c>
    </row>
    <row r="183" spans="1:6" ht="15" thickBot="1">
      <c r="A183" s="1838" t="s">
        <v>1411</v>
      </c>
      <c r="B183" s="1842" t="s">
        <v>1316</v>
      </c>
      <c r="C183" s="1843">
        <v>0.127</v>
      </c>
      <c r="D183" s="1843">
        <v>0.127</v>
      </c>
      <c r="E183" s="1843">
        <v>0.128</v>
      </c>
      <c r="F183" s="1851"/>
    </row>
    <row r="184" spans="1:6" ht="15" thickBot="1">
      <c r="A184" s="1838" t="s">
        <v>1411</v>
      </c>
      <c r="B184" s="1842" t="s">
        <v>1323</v>
      </c>
      <c r="C184" s="1843">
        <v>0.125</v>
      </c>
      <c r="D184" s="1843">
        <v>0.125</v>
      </c>
      <c r="E184" s="1843">
        <v>0.127</v>
      </c>
      <c r="F184" s="1851"/>
    </row>
    <row r="185" spans="1:6" ht="15" thickBot="1">
      <c r="A185" s="1838" t="s">
        <v>1411</v>
      </c>
      <c r="B185" s="1842" t="s">
        <v>2131</v>
      </c>
      <c r="C185" s="1843">
        <v>0.127</v>
      </c>
      <c r="D185" s="1843">
        <v>0.127</v>
      </c>
      <c r="E185" s="1843">
        <v>0.128</v>
      </c>
      <c r="F185" s="1844">
        <v>0.13</v>
      </c>
    </row>
    <row r="186" spans="1:6" ht="24.6" thickBot="1">
      <c r="A186" s="1838" t="s">
        <v>1411</v>
      </c>
      <c r="B186" s="1842" t="s">
        <v>2132</v>
      </c>
      <c r="C186" s="1852"/>
      <c r="D186" s="1852"/>
      <c r="E186" s="1852"/>
      <c r="F186" s="1844">
        <v>0.05</v>
      </c>
    </row>
    <row r="187" spans="1:6" ht="15" thickBot="1">
      <c r="A187" s="1838" t="s">
        <v>1411</v>
      </c>
      <c r="B187" s="1842" t="s">
        <v>2133</v>
      </c>
      <c r="C187" s="1852"/>
      <c r="D187" s="1852"/>
      <c r="E187" s="1852"/>
      <c r="F187" s="1844">
        <v>0.05</v>
      </c>
    </row>
    <row r="188" spans="1:6" ht="24.6" thickBot="1">
      <c r="A188" s="1838" t="s">
        <v>1411</v>
      </c>
      <c r="B188" s="1842" t="s">
        <v>2134</v>
      </c>
      <c r="C188" s="1852"/>
      <c r="D188" s="1852"/>
      <c r="E188" s="1852"/>
      <c r="F188" s="1844">
        <v>0.05</v>
      </c>
    </row>
    <row r="189" spans="1:6" ht="24.6" thickBot="1">
      <c r="A189" s="1838" t="s">
        <v>1411</v>
      </c>
      <c r="B189" s="1842" t="s">
        <v>2135</v>
      </c>
      <c r="C189" s="1852"/>
      <c r="D189" s="1852"/>
      <c r="E189" s="1852"/>
      <c r="F189" s="1844">
        <v>0.05</v>
      </c>
    </row>
    <row r="190" spans="1:6" ht="24.6" thickBot="1">
      <c r="A190" s="1838" t="s">
        <v>1411</v>
      </c>
      <c r="B190" s="1842" t="s">
        <v>2136</v>
      </c>
      <c r="C190" s="1852"/>
      <c r="D190" s="1852"/>
      <c r="E190" s="1852"/>
      <c r="F190" s="1844">
        <v>0.05</v>
      </c>
    </row>
    <row r="191" spans="1:6" ht="24.6" thickBot="1">
      <c r="A191" s="1838" t="s">
        <v>1411</v>
      </c>
      <c r="B191" s="1842" t="s">
        <v>2137</v>
      </c>
      <c r="C191" s="1852"/>
      <c r="D191" s="1852"/>
      <c r="E191" s="1852"/>
      <c r="F191" s="1844">
        <v>0.05</v>
      </c>
    </row>
    <row r="192" spans="1:6" ht="24.6" thickBot="1">
      <c r="A192" s="1838" t="s">
        <v>1411</v>
      </c>
      <c r="B192" s="1842" t="s">
        <v>2138</v>
      </c>
      <c r="C192" s="1852"/>
      <c r="D192" s="1852"/>
      <c r="E192" s="1852"/>
      <c r="F192" s="1844">
        <v>0.05</v>
      </c>
    </row>
    <row r="193" spans="1:6" ht="24.6" thickBot="1">
      <c r="A193" s="1838" t="s">
        <v>1411</v>
      </c>
      <c r="B193" s="1842" t="s">
        <v>2139</v>
      </c>
      <c r="C193" s="1852"/>
      <c r="D193" s="1852"/>
      <c r="E193" s="1852"/>
      <c r="F193" s="1844">
        <v>0.05</v>
      </c>
    </row>
    <row r="194" spans="1:6" ht="24.6" thickBot="1">
      <c r="A194" s="1838" t="s">
        <v>1411</v>
      </c>
      <c r="B194" s="1842" t="s">
        <v>2140</v>
      </c>
      <c r="C194" s="1852"/>
      <c r="D194" s="1852"/>
      <c r="E194" s="1852"/>
      <c r="F194" s="1844">
        <v>0.05</v>
      </c>
    </row>
    <row r="195" spans="1:6" ht="15" thickBot="1">
      <c r="A195" s="1838" t="s">
        <v>1411</v>
      </c>
      <c r="B195" s="1842" t="s">
        <v>2141</v>
      </c>
      <c r="C195" s="1852"/>
      <c r="D195" s="1852"/>
      <c r="E195" s="1852"/>
      <c r="F195" s="1844">
        <v>0.05</v>
      </c>
    </row>
    <row r="196" spans="1:6" ht="24.6" thickBot="1">
      <c r="A196" s="1838" t="s">
        <v>1411</v>
      </c>
      <c r="B196" s="1842" t="s">
        <v>2142</v>
      </c>
      <c r="C196" s="1852"/>
      <c r="D196" s="1852"/>
      <c r="E196" s="1852"/>
      <c r="F196" s="1844">
        <v>0.05</v>
      </c>
    </row>
    <row r="197" spans="1:6" ht="24.6" thickBot="1">
      <c r="A197" s="1838" t="s">
        <v>1411</v>
      </c>
      <c r="B197" s="1842" t="s">
        <v>2143</v>
      </c>
      <c r="C197" s="1852"/>
      <c r="D197" s="1852"/>
      <c r="E197" s="1852"/>
      <c r="F197" s="1844">
        <v>0.05</v>
      </c>
    </row>
    <row r="198" spans="1:6" ht="24.6" thickBot="1">
      <c r="A198" s="1838" t="s">
        <v>1411</v>
      </c>
      <c r="B198" s="1842" t="s">
        <v>2144</v>
      </c>
      <c r="C198" s="1852"/>
      <c r="D198" s="1852"/>
      <c r="E198" s="1852"/>
      <c r="F198" s="1844">
        <v>0.05</v>
      </c>
    </row>
    <row r="199" spans="1:6" ht="24.6" thickBot="1">
      <c r="A199" s="1838" t="s">
        <v>1411</v>
      </c>
      <c r="B199" s="1842" t="s">
        <v>2145</v>
      </c>
      <c r="C199" s="1852"/>
      <c r="D199" s="1852"/>
      <c r="E199" s="1852"/>
      <c r="F199" s="1844">
        <v>0.05</v>
      </c>
    </row>
    <row r="200" spans="1:6" ht="24.6" thickBot="1">
      <c r="A200" s="1838" t="s">
        <v>1411</v>
      </c>
      <c r="B200" s="1842" t="s">
        <v>2146</v>
      </c>
      <c r="C200" s="1852"/>
      <c r="D200" s="1852"/>
      <c r="E200" s="1852"/>
      <c r="F200" s="1844">
        <v>0.05</v>
      </c>
    </row>
    <row r="201" spans="1:6" ht="24.6" thickBot="1">
      <c r="A201" s="1838" t="s">
        <v>1411</v>
      </c>
      <c r="B201" s="1842" t="s">
        <v>2147</v>
      </c>
      <c r="C201" s="1852"/>
      <c r="D201" s="1852"/>
      <c r="E201" s="1852"/>
      <c r="F201" s="1844">
        <v>0.05</v>
      </c>
    </row>
    <row r="202" spans="1:6" ht="24.6" thickBot="1">
      <c r="A202" s="1838" t="s">
        <v>1411</v>
      </c>
      <c r="B202" s="1842" t="s">
        <v>2148</v>
      </c>
      <c r="C202" s="1852"/>
      <c r="D202" s="1852"/>
      <c r="E202" s="1852"/>
      <c r="F202" s="1844">
        <v>0.05</v>
      </c>
    </row>
    <row r="203" spans="1:6" ht="24.6" thickBot="1">
      <c r="A203" s="1838" t="s">
        <v>1411</v>
      </c>
      <c r="B203" s="1842" t="s">
        <v>2149</v>
      </c>
      <c r="C203" s="1852"/>
      <c r="D203" s="1852"/>
      <c r="E203" s="1852"/>
      <c r="F203" s="1844">
        <v>0.05</v>
      </c>
    </row>
    <row r="204" spans="1:6" ht="15" thickBot="1">
      <c r="A204" s="1838" t="s">
        <v>1411</v>
      </c>
      <c r="B204" s="1842" t="s">
        <v>2150</v>
      </c>
      <c r="C204" s="1852"/>
      <c r="D204" s="1852"/>
      <c r="E204" s="1852"/>
      <c r="F204" s="1844">
        <v>0.05</v>
      </c>
    </row>
    <row r="205" spans="1:6" ht="15" thickBot="1">
      <c r="A205" s="1846" t="s">
        <v>1411</v>
      </c>
      <c r="B205" s="1853" t="s">
        <v>2151</v>
      </c>
      <c r="C205" s="1849"/>
      <c r="D205" s="1849"/>
      <c r="E205" s="1849"/>
      <c r="F205" s="1854">
        <v>0.05</v>
      </c>
    </row>
    <row r="206" spans="1:6" ht="15" thickBot="1">
      <c r="A206" s="1838" t="s">
        <v>1413</v>
      </c>
      <c r="B206" s="1839" t="s">
        <v>2152</v>
      </c>
      <c r="C206" s="1840">
        <v>0.15</v>
      </c>
      <c r="D206" s="1840">
        <v>0.15</v>
      </c>
      <c r="E206" s="1840">
        <v>0.15</v>
      </c>
      <c r="F206" s="1841">
        <v>0.15</v>
      </c>
    </row>
    <row r="207" spans="1:6" ht="15" thickBot="1">
      <c r="A207" s="1838" t="s">
        <v>1413</v>
      </c>
      <c r="B207" s="1842" t="s">
        <v>1077</v>
      </c>
      <c r="C207" s="1843">
        <v>0.15</v>
      </c>
      <c r="D207" s="1843">
        <v>0.15</v>
      </c>
      <c r="E207" s="1843">
        <v>0.15</v>
      </c>
      <c r="F207" s="1844">
        <v>0.14399999999999999</v>
      </c>
    </row>
    <row r="208" spans="1:6" ht="15" thickBot="1">
      <c r="A208" s="1838" t="s">
        <v>1413</v>
      </c>
      <c r="B208" s="1842" t="s">
        <v>1091</v>
      </c>
      <c r="C208" s="1843">
        <v>0.15</v>
      </c>
      <c r="D208" s="1843">
        <v>0.15</v>
      </c>
      <c r="E208" s="1843">
        <v>0.15</v>
      </c>
      <c r="F208" s="1844">
        <v>0.15</v>
      </c>
    </row>
    <row r="209" spans="1:6" ht="15" thickBot="1">
      <c r="A209" s="1838" t="s">
        <v>1413</v>
      </c>
      <c r="B209" s="1842" t="s">
        <v>1104</v>
      </c>
      <c r="C209" s="1843">
        <v>0.13700000000000001</v>
      </c>
      <c r="D209" s="1843">
        <v>0.13700000000000001</v>
      </c>
      <c r="E209" s="1843">
        <v>0.14000000000000001</v>
      </c>
      <c r="F209" s="1844">
        <v>0.11700000000000001</v>
      </c>
    </row>
    <row r="210" spans="1:6" ht="15" thickBot="1">
      <c r="A210" s="1838" t="s">
        <v>1413</v>
      </c>
      <c r="B210" s="1842" t="s">
        <v>2153</v>
      </c>
      <c r="C210" s="1843">
        <v>0.15</v>
      </c>
      <c r="D210" s="1843">
        <v>0.15</v>
      </c>
      <c r="E210" s="1843">
        <v>0.15</v>
      </c>
      <c r="F210" s="1844">
        <v>0.13800000000000001</v>
      </c>
    </row>
    <row r="211" spans="1:6" ht="15" thickBot="1">
      <c r="A211" s="1838" t="s">
        <v>1413</v>
      </c>
      <c r="B211" s="1842" t="s">
        <v>2154</v>
      </c>
      <c r="C211" s="1843">
        <v>0.13700000000000001</v>
      </c>
      <c r="D211" s="1843">
        <v>0.13500000000000001</v>
      </c>
      <c r="E211" s="1843">
        <v>0.13600000000000001</v>
      </c>
      <c r="F211" s="1844">
        <v>0.1</v>
      </c>
    </row>
    <row r="212" spans="1:6" ht="15" thickBot="1">
      <c r="A212" s="1838" t="s">
        <v>1413</v>
      </c>
      <c r="B212" s="1842" t="s">
        <v>2155</v>
      </c>
      <c r="C212" s="1843">
        <v>0.15</v>
      </c>
      <c r="D212" s="1843">
        <v>0.15</v>
      </c>
      <c r="E212" s="1843">
        <v>0.14799999999999999</v>
      </c>
      <c r="F212" s="1844">
        <v>0.13600000000000001</v>
      </c>
    </row>
    <row r="213" spans="1:6" ht="15" thickBot="1">
      <c r="A213" s="1838" t="s">
        <v>1413</v>
      </c>
      <c r="B213" s="1842" t="s">
        <v>1151</v>
      </c>
      <c r="C213" s="1843">
        <v>0.15</v>
      </c>
      <c r="D213" s="1843">
        <v>0.15</v>
      </c>
      <c r="E213" s="1843">
        <v>0.15</v>
      </c>
      <c r="F213" s="1844">
        <v>0.13800000000000001</v>
      </c>
    </row>
    <row r="214" spans="1:6" ht="15" thickBot="1">
      <c r="A214" s="1838" t="s">
        <v>1413</v>
      </c>
      <c r="B214" s="1842" t="s">
        <v>1163</v>
      </c>
      <c r="C214" s="1843">
        <v>9.0999999999999998E-2</v>
      </c>
      <c r="D214" s="1843">
        <v>0.09</v>
      </c>
      <c r="E214" s="1843">
        <v>9.1999999999999998E-2</v>
      </c>
      <c r="F214" s="1851"/>
    </row>
    <row r="215" spans="1:6" ht="15" thickBot="1">
      <c r="A215" s="1838" t="s">
        <v>1413</v>
      </c>
      <c r="B215" s="1842" t="s">
        <v>2156</v>
      </c>
      <c r="C215" s="1843">
        <v>0.15</v>
      </c>
      <c r="D215" s="1843">
        <v>0.15</v>
      </c>
      <c r="E215" s="1843">
        <v>0.15</v>
      </c>
      <c r="F215" s="1844">
        <v>0.15</v>
      </c>
    </row>
    <row r="216" spans="1:6" ht="15" thickBot="1">
      <c r="A216" s="1838" t="s">
        <v>1413</v>
      </c>
      <c r="B216" s="1842" t="s">
        <v>1183</v>
      </c>
      <c r="C216" s="1843">
        <v>0.14699999999999999</v>
      </c>
      <c r="D216" s="1843">
        <v>0.14699999999999999</v>
      </c>
      <c r="E216" s="1843">
        <v>0.15</v>
      </c>
      <c r="F216" s="1844">
        <v>0.14000000000000001</v>
      </c>
    </row>
    <row r="217" spans="1:6" ht="15" thickBot="1">
      <c r="A217" s="1838" t="s">
        <v>1413</v>
      </c>
      <c r="B217" s="1842" t="s">
        <v>1193</v>
      </c>
      <c r="C217" s="1843">
        <v>0.15</v>
      </c>
      <c r="D217" s="1843">
        <v>0.15</v>
      </c>
      <c r="E217" s="1843">
        <v>0.15</v>
      </c>
      <c r="F217" s="1844">
        <v>0.15</v>
      </c>
    </row>
    <row r="218" spans="1:6" ht="15" thickBot="1">
      <c r="A218" s="1838" t="s">
        <v>1413</v>
      </c>
      <c r="B218" s="1842" t="s">
        <v>2157</v>
      </c>
      <c r="C218" s="1843">
        <v>0.15</v>
      </c>
      <c r="D218" s="1843">
        <v>0.15</v>
      </c>
      <c r="E218" s="1843">
        <v>0.15</v>
      </c>
      <c r="F218" s="1844">
        <v>0.15</v>
      </c>
    </row>
    <row r="219" spans="1:6" ht="15" thickBot="1">
      <c r="A219" s="1838" t="s">
        <v>1413</v>
      </c>
      <c r="B219" s="1842" t="s">
        <v>1213</v>
      </c>
      <c r="C219" s="1843">
        <v>0.15</v>
      </c>
      <c r="D219" s="1843">
        <v>0.15</v>
      </c>
      <c r="E219" s="1843">
        <v>0.15</v>
      </c>
      <c r="F219" s="1844">
        <v>0.14799999999999999</v>
      </c>
    </row>
    <row r="220" spans="1:6" ht="15" thickBot="1">
      <c r="A220" s="1838" t="s">
        <v>1413</v>
      </c>
      <c r="B220" s="1842" t="s">
        <v>2158</v>
      </c>
      <c r="C220" s="1843">
        <v>0.15</v>
      </c>
      <c r="D220" s="1843">
        <v>0.15</v>
      </c>
      <c r="E220" s="1843">
        <v>0.15</v>
      </c>
      <c r="F220" s="1844">
        <v>0.15</v>
      </c>
    </row>
    <row r="221" spans="1:6" ht="15" thickBot="1">
      <c r="A221" s="1838" t="s">
        <v>1413</v>
      </c>
      <c r="B221" s="1842" t="s">
        <v>1233</v>
      </c>
      <c r="C221" s="1843"/>
      <c r="D221" s="1852"/>
      <c r="E221" s="1852"/>
      <c r="F221" s="1844">
        <v>0.14799999999999999</v>
      </c>
    </row>
    <row r="222" spans="1:6" ht="15" thickBot="1">
      <c r="A222" s="1838" t="s">
        <v>1413</v>
      </c>
      <c r="B222" s="1842" t="s">
        <v>1243</v>
      </c>
      <c r="C222" s="1843"/>
      <c r="D222" s="1852"/>
      <c r="E222" s="1852"/>
      <c r="F222" s="1844">
        <v>0.1</v>
      </c>
    </row>
    <row r="223" spans="1:6" ht="15" thickBot="1">
      <c r="A223" s="1838" t="s">
        <v>1413</v>
      </c>
      <c r="B223" s="1842" t="s">
        <v>1253</v>
      </c>
      <c r="C223" s="1843"/>
      <c r="D223" s="1852"/>
      <c r="E223" s="1852"/>
      <c r="F223" s="1844">
        <v>0.15</v>
      </c>
    </row>
    <row r="224" spans="1:6" ht="15" thickBot="1">
      <c r="A224" s="1838" t="s">
        <v>1413</v>
      </c>
      <c r="B224" s="1842" t="s">
        <v>1263</v>
      </c>
      <c r="C224" s="1843"/>
      <c r="D224" s="1852"/>
      <c r="E224" s="1852"/>
      <c r="F224" s="1844">
        <v>0.15</v>
      </c>
    </row>
    <row r="225" spans="1:6" ht="15" thickBot="1">
      <c r="A225" s="1838" t="s">
        <v>1413</v>
      </c>
      <c r="B225" s="1842" t="s">
        <v>2159</v>
      </c>
      <c r="C225" s="1843">
        <v>0.15</v>
      </c>
      <c r="D225" s="1843">
        <v>0.15</v>
      </c>
      <c r="E225" s="1843">
        <v>0.15</v>
      </c>
      <c r="F225" s="1844">
        <v>0.15</v>
      </c>
    </row>
    <row r="226" spans="1:6" ht="15" thickBot="1">
      <c r="A226" s="1838" t="s">
        <v>1413</v>
      </c>
      <c r="B226" s="1842" t="s">
        <v>1281</v>
      </c>
      <c r="C226" s="1843">
        <v>0.15</v>
      </c>
      <c r="D226" s="1843">
        <v>0.15</v>
      </c>
      <c r="E226" s="1843">
        <v>0.15</v>
      </c>
      <c r="F226" s="1844">
        <v>0.14799999999999999</v>
      </c>
    </row>
    <row r="227" spans="1:6" ht="15" thickBot="1">
      <c r="A227" s="1838" t="s">
        <v>1413</v>
      </c>
      <c r="B227" s="1842" t="s">
        <v>2160</v>
      </c>
      <c r="C227" s="1843">
        <v>0.15</v>
      </c>
      <c r="D227" s="1843">
        <v>0.15</v>
      </c>
      <c r="E227" s="1843">
        <v>0.15</v>
      </c>
      <c r="F227" s="1844">
        <v>0.15</v>
      </c>
    </row>
    <row r="228" spans="1:6" ht="15" thickBot="1">
      <c r="A228" s="1838" t="s">
        <v>1413</v>
      </c>
      <c r="B228" s="1842" t="s">
        <v>1296</v>
      </c>
      <c r="C228" s="1843">
        <v>0.15</v>
      </c>
      <c r="D228" s="1843">
        <v>0.15</v>
      </c>
      <c r="E228" s="1843">
        <v>0.15</v>
      </c>
      <c r="F228" s="1844">
        <v>0.15</v>
      </c>
    </row>
    <row r="229" spans="1:6" ht="15" thickBot="1">
      <c r="A229" s="1838" t="s">
        <v>1413</v>
      </c>
      <c r="B229" s="1842" t="s">
        <v>1303</v>
      </c>
      <c r="C229" s="1843">
        <v>0.15</v>
      </c>
      <c r="D229" s="1843">
        <v>0.15</v>
      </c>
      <c r="E229" s="1843">
        <v>0.15</v>
      </c>
      <c r="F229" s="1851"/>
    </row>
    <row r="230" spans="1:6" ht="15" thickBot="1">
      <c r="A230" s="1838" t="s">
        <v>1413</v>
      </c>
      <c r="B230" s="1842" t="s">
        <v>1310</v>
      </c>
      <c r="C230" s="1843">
        <v>0.14499999999999999</v>
      </c>
      <c r="D230" s="1843">
        <v>0.14499999999999999</v>
      </c>
      <c r="E230" s="1843">
        <v>0.14399999999999999</v>
      </c>
      <c r="F230" s="1851"/>
    </row>
    <row r="231" spans="1:6" ht="15" thickBot="1">
      <c r="A231" s="1838" t="s">
        <v>1413</v>
      </c>
      <c r="B231" s="1842" t="s">
        <v>2161</v>
      </c>
      <c r="C231" s="1843">
        <v>0.128</v>
      </c>
      <c r="D231" s="1843">
        <v>0.125</v>
      </c>
      <c r="E231" s="1843">
        <v>0.13200000000000001</v>
      </c>
      <c r="F231" s="1851"/>
    </row>
    <row r="232" spans="1:6" ht="15" thickBot="1">
      <c r="A232" s="1838" t="s">
        <v>1413</v>
      </c>
      <c r="B232" s="1842" t="s">
        <v>2162</v>
      </c>
      <c r="C232" s="1843">
        <v>0.14499999999999999</v>
      </c>
      <c r="D232" s="1843">
        <v>0.14399999999999999</v>
      </c>
      <c r="E232" s="1843">
        <v>0.14599999999999999</v>
      </c>
      <c r="F232" s="1844">
        <v>0.13800000000000001</v>
      </c>
    </row>
    <row r="233" spans="1:6" ht="15" thickBot="1">
      <c r="A233" s="1838" t="s">
        <v>1413</v>
      </c>
      <c r="B233" s="1842" t="s">
        <v>2163</v>
      </c>
      <c r="C233" s="1843">
        <v>0.14499999999999999</v>
      </c>
      <c r="D233" s="1843">
        <v>0.14299999999999999</v>
      </c>
      <c r="E233" s="1843">
        <v>0.14199999999999999</v>
      </c>
      <c r="F233" s="1851"/>
    </row>
    <row r="234" spans="1:6" ht="15" thickBot="1">
      <c r="A234" s="1838" t="s">
        <v>1413</v>
      </c>
      <c r="B234" s="1842" t="s">
        <v>2164</v>
      </c>
      <c r="C234" s="1843">
        <v>0.14000000000000001</v>
      </c>
      <c r="D234" s="1843">
        <v>0.14000000000000001</v>
      </c>
      <c r="E234" s="1843">
        <v>0.14399999999999999</v>
      </c>
      <c r="F234" s="1851"/>
    </row>
    <row r="235" spans="1:6" ht="15" thickBot="1">
      <c r="A235" s="1838" t="s">
        <v>1413</v>
      </c>
      <c r="B235" s="1842" t="s">
        <v>2165</v>
      </c>
      <c r="C235" s="1843">
        <v>0.14099999999999999</v>
      </c>
      <c r="D235" s="1843">
        <v>0.14199999999999999</v>
      </c>
      <c r="E235" s="1843">
        <v>0.14499999999999999</v>
      </c>
      <c r="F235" s="1844">
        <v>0.15</v>
      </c>
    </row>
    <row r="236" spans="1:6" ht="15" thickBot="1">
      <c r="A236" s="1838" t="s">
        <v>1413</v>
      </c>
      <c r="B236" s="1842" t="s">
        <v>1345</v>
      </c>
      <c r="C236" s="1852"/>
      <c r="D236" s="1852"/>
      <c r="E236" s="1852"/>
      <c r="F236" s="1844">
        <v>0.14299999999999999</v>
      </c>
    </row>
    <row r="237" spans="1:6" ht="24.6" thickBot="1">
      <c r="A237" s="1838" t="s">
        <v>1413</v>
      </c>
      <c r="B237" s="1842" t="s">
        <v>2166</v>
      </c>
      <c r="C237" s="1852"/>
      <c r="D237" s="1852"/>
      <c r="E237" s="1852"/>
      <c r="F237" s="1844">
        <v>0.05</v>
      </c>
    </row>
    <row r="238" spans="1:6" ht="24.6" thickBot="1">
      <c r="A238" s="1838" t="s">
        <v>1413</v>
      </c>
      <c r="B238" s="1842" t="s">
        <v>2167</v>
      </c>
      <c r="C238" s="1852"/>
      <c r="D238" s="1852"/>
      <c r="E238" s="1852"/>
      <c r="F238" s="1844">
        <v>0.05</v>
      </c>
    </row>
    <row r="239" spans="1:6" ht="24.6" thickBot="1">
      <c r="A239" s="1838" t="s">
        <v>1413</v>
      </c>
      <c r="B239" s="1842" t="s">
        <v>2168</v>
      </c>
      <c r="C239" s="1852"/>
      <c r="D239" s="1852"/>
      <c r="E239" s="1852"/>
      <c r="F239" s="1844">
        <v>0.05</v>
      </c>
    </row>
    <row r="240" spans="1:6" ht="24.6" thickBot="1">
      <c r="A240" s="1838" t="s">
        <v>1413</v>
      </c>
      <c r="B240" s="1842" t="s">
        <v>2169</v>
      </c>
      <c r="C240" s="1852"/>
      <c r="D240" s="1852"/>
      <c r="E240" s="1852"/>
      <c r="F240" s="1844">
        <v>0.05</v>
      </c>
    </row>
    <row r="241" spans="1:6" ht="24.6" thickBot="1">
      <c r="A241" s="1838" t="s">
        <v>1413</v>
      </c>
      <c r="B241" s="1842" t="s">
        <v>2170</v>
      </c>
      <c r="C241" s="1852"/>
      <c r="D241" s="1852"/>
      <c r="E241" s="1852"/>
      <c r="F241" s="1844">
        <v>0.05</v>
      </c>
    </row>
    <row r="242" spans="1:6" ht="24.6" thickBot="1">
      <c r="A242" s="1838" t="s">
        <v>1413</v>
      </c>
      <c r="B242" s="1842" t="s">
        <v>2171</v>
      </c>
      <c r="C242" s="1852"/>
      <c r="D242" s="1852"/>
      <c r="E242" s="1852"/>
      <c r="F242" s="1844">
        <v>0.05</v>
      </c>
    </row>
    <row r="243" spans="1:6" ht="24.6" thickBot="1">
      <c r="A243" s="1838" t="s">
        <v>1413</v>
      </c>
      <c r="B243" s="1842" t="s">
        <v>2172</v>
      </c>
      <c r="C243" s="1852"/>
      <c r="D243" s="1852"/>
      <c r="E243" s="1852"/>
      <c r="F243" s="1844">
        <v>0.05</v>
      </c>
    </row>
    <row r="244" spans="1:6" ht="24.6" thickBot="1">
      <c r="A244" s="1846" t="s">
        <v>1413</v>
      </c>
      <c r="B244" s="1853" t="s">
        <v>2173</v>
      </c>
      <c r="C244" s="1849"/>
      <c r="D244" s="1849"/>
      <c r="E244" s="1849"/>
      <c r="F244" s="1854">
        <v>0.05</v>
      </c>
    </row>
    <row r="245" spans="1:6" ht="15" thickBot="1">
      <c r="A245" s="1838" t="s">
        <v>1415</v>
      </c>
      <c r="B245" s="1839" t="s">
        <v>2174</v>
      </c>
      <c r="C245" s="1840">
        <v>0.15</v>
      </c>
      <c r="D245" s="1840">
        <v>0.15</v>
      </c>
      <c r="E245" s="1840">
        <v>0.15</v>
      </c>
      <c r="F245" s="1841">
        <v>0.14299999999999999</v>
      </c>
    </row>
    <row r="246" spans="1:6" ht="15" thickBot="1">
      <c r="A246" s="1838" t="s">
        <v>1415</v>
      </c>
      <c r="B246" s="1842" t="s">
        <v>1078</v>
      </c>
      <c r="C246" s="1843">
        <v>0.15</v>
      </c>
      <c r="D246" s="1843">
        <v>0.15</v>
      </c>
      <c r="E246" s="1843">
        <v>0.15</v>
      </c>
      <c r="F246" s="1844">
        <v>0.114</v>
      </c>
    </row>
    <row r="247" spans="1:6" ht="15" thickBot="1">
      <c r="A247" s="1838" t="s">
        <v>1415</v>
      </c>
      <c r="B247" s="1842" t="s">
        <v>2175</v>
      </c>
      <c r="C247" s="1843">
        <v>0.15</v>
      </c>
      <c r="D247" s="1843">
        <v>0.15</v>
      </c>
      <c r="E247" s="1843">
        <v>0.15</v>
      </c>
      <c r="F247" s="1844">
        <v>0.15</v>
      </c>
    </row>
    <row r="248" spans="1:6" ht="15" thickBot="1">
      <c r="A248" s="1838" t="s">
        <v>1415</v>
      </c>
      <c r="B248" s="1842" t="s">
        <v>2176</v>
      </c>
      <c r="C248" s="1843">
        <v>0.15</v>
      </c>
      <c r="D248" s="1843">
        <v>0.15</v>
      </c>
      <c r="E248" s="1843">
        <v>0.15</v>
      </c>
      <c r="F248" s="1844">
        <v>0.14000000000000001</v>
      </c>
    </row>
    <row r="249" spans="1:6" ht="15" thickBot="1">
      <c r="A249" s="1838" t="s">
        <v>1415</v>
      </c>
      <c r="B249" s="1842" t="s">
        <v>2177</v>
      </c>
      <c r="C249" s="1843">
        <v>0.15</v>
      </c>
      <c r="D249" s="1843">
        <v>0.14899999999999999</v>
      </c>
      <c r="E249" s="1843">
        <v>0.15</v>
      </c>
      <c r="F249" s="1844">
        <v>0.1</v>
      </c>
    </row>
    <row r="250" spans="1:6" ht="15" thickBot="1">
      <c r="A250" s="1838" t="s">
        <v>1415</v>
      </c>
      <c r="B250" s="1842" t="s">
        <v>2178</v>
      </c>
      <c r="C250" s="1843">
        <v>0.15</v>
      </c>
      <c r="D250" s="1843">
        <v>0.15</v>
      </c>
      <c r="E250" s="1843">
        <v>0.15</v>
      </c>
      <c r="F250" s="1844">
        <v>0.14399999999999999</v>
      </c>
    </row>
    <row r="251" spans="1:6" ht="15" thickBot="1">
      <c r="A251" s="1838" t="s">
        <v>1415</v>
      </c>
      <c r="B251" s="1842" t="s">
        <v>1141</v>
      </c>
      <c r="C251" s="1843">
        <v>0.15</v>
      </c>
      <c r="D251" s="1843">
        <v>0.15</v>
      </c>
      <c r="E251" s="1843">
        <v>0.15</v>
      </c>
      <c r="F251" s="1844">
        <v>0.14299999999999999</v>
      </c>
    </row>
    <row r="252" spans="1:6" ht="15" thickBot="1">
      <c r="A252" s="1838" t="s">
        <v>1415</v>
      </c>
      <c r="B252" s="1842" t="s">
        <v>1152</v>
      </c>
      <c r="C252" s="1843">
        <v>0.15</v>
      </c>
      <c r="D252" s="1843">
        <v>0.15</v>
      </c>
      <c r="E252" s="1843">
        <v>0.15</v>
      </c>
      <c r="F252" s="1844">
        <v>0.1</v>
      </c>
    </row>
    <row r="253" spans="1:6" ht="15" thickBot="1">
      <c r="A253" s="1838" t="s">
        <v>1415</v>
      </c>
      <c r="B253" s="1842" t="s">
        <v>1164</v>
      </c>
      <c r="C253" s="1843">
        <v>0.15</v>
      </c>
      <c r="D253" s="1843">
        <v>0.15</v>
      </c>
      <c r="E253" s="1843">
        <v>0.15</v>
      </c>
      <c r="F253" s="1844">
        <v>0.1</v>
      </c>
    </row>
    <row r="254" spans="1:6" ht="15" thickBot="1">
      <c r="A254" s="1838" t="s">
        <v>1415</v>
      </c>
      <c r="B254" s="1842" t="s">
        <v>1174</v>
      </c>
      <c r="C254" s="1852"/>
      <c r="D254" s="1852"/>
      <c r="E254" s="1852"/>
      <c r="F254" s="1844">
        <v>0.15</v>
      </c>
    </row>
    <row r="255" spans="1:6" ht="15" thickBot="1">
      <c r="A255" s="1838" t="s">
        <v>1415</v>
      </c>
      <c r="B255" s="1842" t="s">
        <v>1184</v>
      </c>
      <c r="C255" s="1852"/>
      <c r="D255" s="1852"/>
      <c r="E255" s="1852"/>
      <c r="F255" s="1844">
        <v>0.14299999999999999</v>
      </c>
    </row>
    <row r="256" spans="1:6" ht="15" thickBot="1">
      <c r="A256" s="1838" t="s">
        <v>1415</v>
      </c>
      <c r="B256" s="1842" t="s">
        <v>2179</v>
      </c>
      <c r="C256" s="1843">
        <v>0.14599999999999999</v>
      </c>
      <c r="D256" s="1843">
        <v>0.14699999999999999</v>
      </c>
      <c r="E256" s="1843">
        <v>0.15</v>
      </c>
      <c r="F256" s="1844">
        <v>0.13200000000000001</v>
      </c>
    </row>
    <row r="257" spans="1:6" ht="15" thickBot="1">
      <c r="A257" s="1838" t="s">
        <v>1415</v>
      </c>
      <c r="B257" s="1842" t="s">
        <v>1204</v>
      </c>
      <c r="C257" s="1843">
        <v>0.15</v>
      </c>
      <c r="D257" s="1843">
        <v>0.15</v>
      </c>
      <c r="E257" s="1843">
        <v>0.15</v>
      </c>
      <c r="F257" s="1844">
        <v>0.13900000000000001</v>
      </c>
    </row>
    <row r="258" spans="1:6" ht="15" thickBot="1">
      <c r="A258" s="1838" t="s">
        <v>1415</v>
      </c>
      <c r="B258" s="1842" t="s">
        <v>1214</v>
      </c>
      <c r="C258" s="1843">
        <v>0.15</v>
      </c>
      <c r="D258" s="1843">
        <v>0.15</v>
      </c>
      <c r="E258" s="1843">
        <v>0.15</v>
      </c>
      <c r="F258" s="1844">
        <v>0.13</v>
      </c>
    </row>
    <row r="259" spans="1:6" ht="15" thickBot="1">
      <c r="A259" s="1838" t="s">
        <v>1415</v>
      </c>
      <c r="B259" s="1842" t="s">
        <v>2180</v>
      </c>
      <c r="C259" s="1843">
        <v>0.14799999999999999</v>
      </c>
      <c r="D259" s="1843">
        <v>0.14899999999999999</v>
      </c>
      <c r="E259" s="1843">
        <v>0.15</v>
      </c>
      <c r="F259" s="1844">
        <v>0.13700000000000001</v>
      </c>
    </row>
    <row r="260" spans="1:6" ht="15" thickBot="1">
      <c r="A260" s="1838" t="s">
        <v>1415</v>
      </c>
      <c r="B260" s="1842" t="s">
        <v>1234</v>
      </c>
      <c r="C260" s="1843">
        <v>0.15</v>
      </c>
      <c r="D260" s="1843">
        <v>0.15</v>
      </c>
      <c r="E260" s="1843">
        <v>0.15</v>
      </c>
      <c r="F260" s="1844">
        <v>0.14199999999999999</v>
      </c>
    </row>
    <row r="261" spans="1:6" ht="15" thickBot="1">
      <c r="A261" s="1838" t="s">
        <v>1415</v>
      </c>
      <c r="B261" s="1842" t="s">
        <v>1244</v>
      </c>
      <c r="C261" s="1843">
        <v>0.15</v>
      </c>
      <c r="D261" s="1843">
        <v>0.15</v>
      </c>
      <c r="E261" s="1843">
        <v>0.14899999999999999</v>
      </c>
      <c r="F261" s="1844">
        <v>0.14799999999999999</v>
      </c>
    </row>
    <row r="262" spans="1:6" ht="15" thickBot="1">
      <c r="A262" s="1838" t="s">
        <v>1415</v>
      </c>
      <c r="B262" s="1842" t="s">
        <v>1254</v>
      </c>
      <c r="C262" s="1843">
        <v>0.15</v>
      </c>
      <c r="D262" s="1843">
        <v>0.15</v>
      </c>
      <c r="E262" s="1843">
        <v>0.15</v>
      </c>
      <c r="F262" s="1851"/>
    </row>
    <row r="263" spans="1:6" ht="15" thickBot="1">
      <c r="A263" s="1838" t="s">
        <v>1415</v>
      </c>
      <c r="B263" s="1842" t="s">
        <v>2181</v>
      </c>
      <c r="C263" s="1843">
        <v>0.14899999999999999</v>
      </c>
      <c r="D263" s="1843">
        <v>0.14899999999999999</v>
      </c>
      <c r="E263" s="1843">
        <v>0.15</v>
      </c>
      <c r="F263" s="1844">
        <v>0.13</v>
      </c>
    </row>
    <row r="264" spans="1:6" ht="15" thickBot="1">
      <c r="A264" s="1838" t="s">
        <v>1415</v>
      </c>
      <c r="B264" s="1842" t="s">
        <v>1273</v>
      </c>
      <c r="C264" s="1843">
        <v>0.14799999999999999</v>
      </c>
      <c r="D264" s="1843">
        <v>0.14699999999999999</v>
      </c>
      <c r="E264" s="1843">
        <v>0.15</v>
      </c>
      <c r="F264" s="1844">
        <v>7.8E-2</v>
      </c>
    </row>
    <row r="265" spans="1:6" ht="15" thickBot="1">
      <c r="A265" s="1838" t="s">
        <v>1415</v>
      </c>
      <c r="B265" s="1842" t="s">
        <v>1282</v>
      </c>
      <c r="C265" s="1843">
        <v>0.15</v>
      </c>
      <c r="D265" s="1843">
        <v>0.15</v>
      </c>
      <c r="E265" s="1843">
        <v>0.15</v>
      </c>
      <c r="F265" s="1844">
        <v>7.3999999999999996E-2</v>
      </c>
    </row>
    <row r="266" spans="1:6" ht="15" thickBot="1">
      <c r="A266" s="1838" t="s">
        <v>1415</v>
      </c>
      <c r="B266" s="1842" t="s">
        <v>1290</v>
      </c>
      <c r="C266" s="1843">
        <v>0.14699999999999999</v>
      </c>
      <c r="D266" s="1843">
        <v>0.14699999999999999</v>
      </c>
      <c r="E266" s="1843">
        <v>0.15</v>
      </c>
      <c r="F266" s="1844">
        <v>0.14299999999999999</v>
      </c>
    </row>
    <row r="267" spans="1:6" ht="15" thickBot="1">
      <c r="A267" s="1838" t="s">
        <v>1415</v>
      </c>
      <c r="B267" s="1842" t="s">
        <v>1297</v>
      </c>
      <c r="C267" s="1843">
        <v>0.14199999999999999</v>
      </c>
      <c r="D267" s="1843">
        <v>0.14299999999999999</v>
      </c>
      <c r="E267" s="1843">
        <v>0.15</v>
      </c>
      <c r="F267" s="1851"/>
    </row>
    <row r="268" spans="1:6" ht="15" thickBot="1">
      <c r="A268" s="1838" t="s">
        <v>1415</v>
      </c>
      <c r="B268" s="1842" t="s">
        <v>2182</v>
      </c>
      <c r="C268" s="1843">
        <v>0.15</v>
      </c>
      <c r="D268" s="1843">
        <v>0.15</v>
      </c>
      <c r="E268" s="1843">
        <v>0.15</v>
      </c>
      <c r="F268" s="1844">
        <v>0.13</v>
      </c>
    </row>
    <row r="269" spans="1:6" ht="15" thickBot="1">
      <c r="A269" s="1838" t="s">
        <v>1415</v>
      </c>
      <c r="B269" s="1842" t="s">
        <v>1311</v>
      </c>
      <c r="C269" s="1843">
        <v>0.15</v>
      </c>
      <c r="D269" s="1843">
        <v>0.15</v>
      </c>
      <c r="E269" s="1843">
        <v>0.15</v>
      </c>
      <c r="F269" s="1844">
        <v>0.14299999999999999</v>
      </c>
    </row>
    <row r="270" spans="1:6" ht="15" thickBot="1">
      <c r="A270" s="1838" t="s">
        <v>1415</v>
      </c>
      <c r="B270" s="1842" t="s">
        <v>1318</v>
      </c>
      <c r="C270" s="1843">
        <v>0.14499999999999999</v>
      </c>
      <c r="D270" s="1843">
        <v>0.14499999999999999</v>
      </c>
      <c r="E270" s="1843">
        <v>0.15</v>
      </c>
      <c r="F270" s="1844">
        <v>0.14699999999999999</v>
      </c>
    </row>
    <row r="271" spans="1:6" ht="15" thickBot="1">
      <c r="A271" s="1838" t="s">
        <v>1415</v>
      </c>
      <c r="B271" s="1842" t="s">
        <v>1325</v>
      </c>
      <c r="C271" s="1843">
        <v>0.15</v>
      </c>
      <c r="D271" s="1843">
        <v>0.15</v>
      </c>
      <c r="E271" s="1843">
        <v>0.15</v>
      </c>
      <c r="F271" s="1844">
        <v>0.13800000000000001</v>
      </c>
    </row>
    <row r="272" spans="1:6" ht="15" thickBot="1">
      <c r="A272" s="1838" t="s">
        <v>1415</v>
      </c>
      <c r="B272" s="1842" t="s">
        <v>1332</v>
      </c>
      <c r="C272" s="1852"/>
      <c r="D272" s="1852"/>
      <c r="E272" s="1852"/>
      <c r="F272" s="1844">
        <v>0.14000000000000001</v>
      </c>
    </row>
    <row r="273" spans="1:6" ht="15" thickBot="1">
      <c r="A273" s="1838" t="s">
        <v>1415</v>
      </c>
      <c r="B273" s="1842" t="s">
        <v>2183</v>
      </c>
      <c r="C273" s="1843">
        <v>0.14199999999999999</v>
      </c>
      <c r="D273" s="1843">
        <v>0.14299999999999999</v>
      </c>
      <c r="E273" s="1843">
        <v>0.15</v>
      </c>
      <c r="F273" s="1844">
        <v>0.1</v>
      </c>
    </row>
    <row r="274" spans="1:6" ht="15" thickBot="1">
      <c r="A274" s="1838" t="s">
        <v>1415</v>
      </c>
      <c r="B274" s="1842" t="s">
        <v>2184</v>
      </c>
      <c r="C274" s="1843">
        <v>0.14799999999999999</v>
      </c>
      <c r="D274" s="1843">
        <v>0.14799999999999999</v>
      </c>
      <c r="E274" s="1843">
        <v>0.15</v>
      </c>
      <c r="F274" s="1844">
        <v>6.7000000000000004E-2</v>
      </c>
    </row>
    <row r="275" spans="1:6" ht="15" thickBot="1">
      <c r="A275" s="1838" t="s">
        <v>1415</v>
      </c>
      <c r="B275" s="1842" t="s">
        <v>2185</v>
      </c>
      <c r="C275" s="1843">
        <v>0.15</v>
      </c>
      <c r="D275" s="1843">
        <v>0.15</v>
      </c>
      <c r="E275" s="1843">
        <v>0.15</v>
      </c>
      <c r="F275" s="1844">
        <v>0.15</v>
      </c>
    </row>
    <row r="276" spans="1:6" ht="15" thickBot="1">
      <c r="A276" s="1838" t="s">
        <v>1415</v>
      </c>
      <c r="B276" s="1842" t="s">
        <v>2186</v>
      </c>
      <c r="C276" s="1843">
        <v>0.14499999999999999</v>
      </c>
      <c r="D276" s="1843">
        <v>0.14299999999999999</v>
      </c>
      <c r="E276" s="1843">
        <v>0.15</v>
      </c>
      <c r="F276" s="1844">
        <v>5.8999999999999997E-2</v>
      </c>
    </row>
    <row r="277" spans="1:6" ht="15" thickBot="1">
      <c r="A277" s="1838" t="s">
        <v>1415</v>
      </c>
      <c r="B277" s="1842" t="s">
        <v>2187</v>
      </c>
      <c r="C277" s="1843">
        <v>0.15</v>
      </c>
      <c r="D277" s="1843">
        <v>0.15</v>
      </c>
      <c r="E277" s="1843">
        <v>0.15</v>
      </c>
      <c r="F277" s="1844">
        <v>0.121</v>
      </c>
    </row>
    <row r="278" spans="1:6" ht="15" thickBot="1">
      <c r="A278" s="1838" t="s">
        <v>1415</v>
      </c>
      <c r="B278" s="1842" t="s">
        <v>2188</v>
      </c>
      <c r="C278" s="1843">
        <v>0.15</v>
      </c>
      <c r="D278" s="1843">
        <v>0.15</v>
      </c>
      <c r="E278" s="1843">
        <v>0.15</v>
      </c>
      <c r="F278" s="1844">
        <v>0.13800000000000001</v>
      </c>
    </row>
    <row r="279" spans="1:6" ht="24.6" thickBot="1">
      <c r="A279" s="1838" t="s">
        <v>1415</v>
      </c>
      <c r="B279" s="1842" t="s">
        <v>2189</v>
      </c>
      <c r="C279" s="1852"/>
      <c r="D279" s="1852"/>
      <c r="E279" s="1852"/>
      <c r="F279" s="1844">
        <v>0.05</v>
      </c>
    </row>
    <row r="280" spans="1:6" ht="24.6" thickBot="1">
      <c r="A280" s="1838" t="s">
        <v>1415</v>
      </c>
      <c r="B280" s="1842" t="s">
        <v>2190</v>
      </c>
      <c r="C280" s="1852"/>
      <c r="D280" s="1852"/>
      <c r="E280" s="1852"/>
      <c r="F280" s="1844">
        <v>0.05</v>
      </c>
    </row>
    <row r="281" spans="1:6" ht="24.6" thickBot="1">
      <c r="A281" s="1838" t="s">
        <v>1415</v>
      </c>
      <c r="B281" s="1842" t="s">
        <v>2191</v>
      </c>
      <c r="C281" s="1852"/>
      <c r="D281" s="1852"/>
      <c r="E281" s="1852"/>
      <c r="F281" s="1844">
        <v>0.05</v>
      </c>
    </row>
    <row r="282" spans="1:6" ht="24.6" thickBot="1">
      <c r="A282" s="1838" t="s">
        <v>1415</v>
      </c>
      <c r="B282" s="1842" t="s">
        <v>2192</v>
      </c>
      <c r="C282" s="1852"/>
      <c r="D282" s="1852"/>
      <c r="E282" s="1852"/>
      <c r="F282" s="1844">
        <v>0.05</v>
      </c>
    </row>
    <row r="283" spans="1:6" ht="24.6" thickBot="1">
      <c r="A283" s="1838" t="s">
        <v>1415</v>
      </c>
      <c r="B283" s="1842" t="s">
        <v>2193</v>
      </c>
      <c r="C283" s="1852"/>
      <c r="D283" s="1852"/>
      <c r="E283" s="1852"/>
      <c r="F283" s="1844">
        <v>0.05</v>
      </c>
    </row>
    <row r="284" spans="1:6" ht="24.6" thickBot="1">
      <c r="A284" s="1838" t="s">
        <v>1415</v>
      </c>
      <c r="B284" s="1842" t="s">
        <v>2194</v>
      </c>
      <c r="C284" s="1852"/>
      <c r="D284" s="1852"/>
      <c r="E284" s="1852"/>
      <c r="F284" s="1844">
        <v>0.05</v>
      </c>
    </row>
    <row r="285" spans="1:6" ht="24.6" thickBot="1">
      <c r="A285" s="1838" t="s">
        <v>1415</v>
      </c>
      <c r="B285" s="1842" t="s">
        <v>2195</v>
      </c>
      <c r="C285" s="1852"/>
      <c r="D285" s="1852"/>
      <c r="E285" s="1852"/>
      <c r="F285" s="1844">
        <v>0.05</v>
      </c>
    </row>
    <row r="286" spans="1:6" ht="24.6" thickBot="1">
      <c r="A286" s="1838" t="s">
        <v>1415</v>
      </c>
      <c r="B286" s="1842" t="s">
        <v>2196</v>
      </c>
      <c r="C286" s="1852"/>
      <c r="D286" s="1852"/>
      <c r="E286" s="1852"/>
      <c r="F286" s="1844">
        <v>0.05</v>
      </c>
    </row>
    <row r="287" spans="1:6" ht="24.6" thickBot="1">
      <c r="A287" s="1838" t="s">
        <v>1415</v>
      </c>
      <c r="B287" s="1842" t="s">
        <v>2197</v>
      </c>
      <c r="C287" s="1852"/>
      <c r="D287" s="1852"/>
      <c r="E287" s="1852"/>
      <c r="F287" s="1844">
        <v>0.05</v>
      </c>
    </row>
    <row r="288" spans="1:6" ht="24.6" thickBot="1">
      <c r="A288" s="1838" t="s">
        <v>1415</v>
      </c>
      <c r="B288" s="1842" t="s">
        <v>2198</v>
      </c>
      <c r="C288" s="1852"/>
      <c r="D288" s="1852"/>
      <c r="E288" s="1852"/>
      <c r="F288" s="1844">
        <v>0.05</v>
      </c>
    </row>
    <row r="289" spans="1:6" ht="24.6" thickBot="1">
      <c r="A289" s="1846" t="s">
        <v>1415</v>
      </c>
      <c r="B289" s="1853" t="s">
        <v>2199</v>
      </c>
      <c r="C289" s="1849"/>
      <c r="D289" s="1849"/>
      <c r="E289" s="1849"/>
      <c r="F289" s="1854">
        <v>0.05</v>
      </c>
    </row>
    <row r="290" spans="1:6" ht="15" thickBot="1">
      <c r="A290" s="1838" t="s">
        <v>1419</v>
      </c>
      <c r="B290" s="1839" t="s">
        <v>2200</v>
      </c>
      <c r="C290" s="1840">
        <v>0.15</v>
      </c>
      <c r="D290" s="1840">
        <v>0.15</v>
      </c>
      <c r="E290" s="1840">
        <v>0.15</v>
      </c>
      <c r="F290" s="1862"/>
    </row>
    <row r="291" spans="1:6" ht="15" thickBot="1">
      <c r="A291" s="1838" t="s">
        <v>1419</v>
      </c>
      <c r="B291" s="1842" t="s">
        <v>1079</v>
      </c>
      <c r="C291" s="1843">
        <v>0.15</v>
      </c>
      <c r="D291" s="1843">
        <v>0.15</v>
      </c>
      <c r="E291" s="1843">
        <v>0.15</v>
      </c>
      <c r="F291" s="1851"/>
    </row>
    <row r="292" spans="1:6" ht="15" thickBot="1">
      <c r="A292" s="1838" t="s">
        <v>1419</v>
      </c>
      <c r="B292" s="1842" t="s">
        <v>2201</v>
      </c>
      <c r="C292" s="1843">
        <v>0.15</v>
      </c>
      <c r="D292" s="1843">
        <v>0.15</v>
      </c>
      <c r="E292" s="1843">
        <v>0.15</v>
      </c>
      <c r="F292" s="1844">
        <v>0.14699999999999999</v>
      </c>
    </row>
    <row r="293" spans="1:6" ht="15" thickBot="1">
      <c r="A293" s="1838" t="s">
        <v>1419</v>
      </c>
      <c r="B293" s="1842" t="s">
        <v>2202</v>
      </c>
      <c r="C293" s="1852"/>
      <c r="D293" s="1852"/>
      <c r="E293" s="1852"/>
      <c r="F293" s="1844">
        <v>0.1</v>
      </c>
    </row>
    <row r="294" spans="1:6" ht="15" thickBot="1">
      <c r="A294" s="1838" t="s">
        <v>1419</v>
      </c>
      <c r="B294" s="1842" t="s">
        <v>2203</v>
      </c>
      <c r="C294" s="1843">
        <v>0.15</v>
      </c>
      <c r="D294" s="1843">
        <v>0.15</v>
      </c>
      <c r="E294" s="1843">
        <v>0.15</v>
      </c>
      <c r="F294" s="1844">
        <v>0.15</v>
      </c>
    </row>
    <row r="295" spans="1:6" ht="15" thickBot="1">
      <c r="A295" s="1838" t="s">
        <v>1419</v>
      </c>
      <c r="B295" s="1842" t="s">
        <v>1120</v>
      </c>
      <c r="C295" s="1843">
        <v>0.15</v>
      </c>
      <c r="D295" s="1843">
        <v>0.15</v>
      </c>
      <c r="E295" s="1843">
        <v>0.15</v>
      </c>
      <c r="F295" s="1844">
        <v>0.15</v>
      </c>
    </row>
    <row r="296" spans="1:6" ht="15" thickBot="1">
      <c r="A296" s="1838" t="s">
        <v>1419</v>
      </c>
      <c r="B296" s="1842" t="s">
        <v>2204</v>
      </c>
      <c r="C296" s="1843">
        <v>0.15</v>
      </c>
      <c r="D296" s="1843">
        <v>0.15</v>
      </c>
      <c r="E296" s="1843">
        <v>0.15</v>
      </c>
      <c r="F296" s="1844">
        <v>0.15</v>
      </c>
    </row>
    <row r="297" spans="1:6" ht="15" thickBot="1">
      <c r="A297" s="1838" t="s">
        <v>1419</v>
      </c>
      <c r="B297" s="1842" t="s">
        <v>2205</v>
      </c>
      <c r="C297" s="1843">
        <v>0.14799999999999999</v>
      </c>
      <c r="D297" s="1843">
        <v>0.14899999999999999</v>
      </c>
      <c r="E297" s="1843">
        <v>0.15</v>
      </c>
      <c r="F297" s="1844">
        <v>0.13700000000000001</v>
      </c>
    </row>
    <row r="298" spans="1:6" ht="15" thickBot="1">
      <c r="A298" s="1838" t="s">
        <v>1419</v>
      </c>
      <c r="B298" s="1842" t="s">
        <v>1153</v>
      </c>
      <c r="C298" s="1843">
        <v>0.13400000000000001</v>
      </c>
      <c r="D298" s="1843">
        <v>0.13400000000000001</v>
      </c>
      <c r="E298" s="1843">
        <v>0.14499999999999999</v>
      </c>
      <c r="F298" s="1844">
        <v>0.14799999999999999</v>
      </c>
    </row>
    <row r="299" spans="1:6" ht="15" thickBot="1">
      <c r="A299" s="1838" t="s">
        <v>1419</v>
      </c>
      <c r="B299" s="1842" t="s">
        <v>1165</v>
      </c>
      <c r="C299" s="1843">
        <v>0.15</v>
      </c>
      <c r="D299" s="1843">
        <v>0.15</v>
      </c>
      <c r="E299" s="1843">
        <v>0.15</v>
      </c>
      <c r="F299" s="1851"/>
    </row>
    <row r="300" spans="1:6" ht="15" thickBot="1">
      <c r="A300" s="1838" t="s">
        <v>1419</v>
      </c>
      <c r="B300" s="1842" t="s">
        <v>2206</v>
      </c>
      <c r="C300" s="1843">
        <v>0.15</v>
      </c>
      <c r="D300" s="1843">
        <v>0.15</v>
      </c>
      <c r="E300" s="1843">
        <v>0.15</v>
      </c>
      <c r="F300" s="1844">
        <v>0.15</v>
      </c>
    </row>
    <row r="301" spans="1:6" ht="15" thickBot="1">
      <c r="A301" s="1838" t="s">
        <v>1419</v>
      </c>
      <c r="B301" s="1842" t="s">
        <v>1185</v>
      </c>
      <c r="C301" s="1843">
        <v>0.15</v>
      </c>
      <c r="D301" s="1843">
        <v>0.15</v>
      </c>
      <c r="E301" s="1843">
        <v>0.15</v>
      </c>
      <c r="F301" s="1851"/>
    </row>
    <row r="302" spans="1:6" ht="15" thickBot="1">
      <c r="A302" s="1838" t="s">
        <v>1419</v>
      </c>
      <c r="B302" s="1842" t="s">
        <v>2207</v>
      </c>
      <c r="C302" s="1843">
        <v>0.15</v>
      </c>
      <c r="D302" s="1843">
        <v>0.15</v>
      </c>
      <c r="E302" s="1843">
        <v>0.15</v>
      </c>
      <c r="F302" s="1844">
        <v>0.15</v>
      </c>
    </row>
    <row r="303" spans="1:6" ht="15" thickBot="1">
      <c r="A303" s="1838" t="s">
        <v>1419</v>
      </c>
      <c r="B303" s="1842" t="s">
        <v>1205</v>
      </c>
      <c r="C303" s="1843">
        <v>0.15</v>
      </c>
      <c r="D303" s="1843">
        <v>0.15</v>
      </c>
      <c r="E303" s="1843">
        <v>0.15</v>
      </c>
      <c r="F303" s="1844">
        <v>0.15</v>
      </c>
    </row>
    <row r="304" spans="1:6" ht="15" thickBot="1">
      <c r="A304" s="1838" t="s">
        <v>1419</v>
      </c>
      <c r="B304" s="1842" t="s">
        <v>1215</v>
      </c>
      <c r="C304" s="1843">
        <v>0.15</v>
      </c>
      <c r="D304" s="1843">
        <v>0.15</v>
      </c>
      <c r="E304" s="1843">
        <v>0.15</v>
      </c>
      <c r="F304" s="1851"/>
    </row>
    <row r="305" spans="1:6" ht="15" thickBot="1">
      <c r="A305" s="1838" t="s">
        <v>1419</v>
      </c>
      <c r="B305" s="1842" t="s">
        <v>2208</v>
      </c>
      <c r="C305" s="1843">
        <v>0.15</v>
      </c>
      <c r="D305" s="1843">
        <v>0.15</v>
      </c>
      <c r="E305" s="1843">
        <v>0.15</v>
      </c>
      <c r="F305" s="1844">
        <v>0.14000000000000001</v>
      </c>
    </row>
    <row r="306" spans="1:6" ht="15" thickBot="1">
      <c r="A306" s="1838" t="s">
        <v>1419</v>
      </c>
      <c r="B306" s="1842" t="s">
        <v>1235</v>
      </c>
      <c r="C306" s="1843">
        <v>0.15</v>
      </c>
      <c r="D306" s="1843">
        <v>0.15</v>
      </c>
      <c r="E306" s="1843">
        <v>0.15</v>
      </c>
      <c r="F306" s="1851"/>
    </row>
    <row r="307" spans="1:6" ht="15" thickBot="1">
      <c r="A307" s="1838" t="s">
        <v>1419</v>
      </c>
      <c r="B307" s="1842" t="s">
        <v>2209</v>
      </c>
      <c r="C307" s="1843">
        <v>0.15</v>
      </c>
      <c r="D307" s="1843">
        <v>0.15</v>
      </c>
      <c r="E307" s="1843">
        <v>0.15</v>
      </c>
      <c r="F307" s="1844">
        <v>0.14299999999999999</v>
      </c>
    </row>
    <row r="308" spans="1:6" ht="15" thickBot="1">
      <c r="A308" s="1838" t="s">
        <v>1419</v>
      </c>
      <c r="B308" s="1842" t="s">
        <v>1255</v>
      </c>
      <c r="C308" s="1843">
        <v>0.15</v>
      </c>
      <c r="D308" s="1843">
        <v>0.15</v>
      </c>
      <c r="E308" s="1843">
        <v>0.15</v>
      </c>
      <c r="F308" s="1844">
        <v>0.15</v>
      </c>
    </row>
    <row r="309" spans="1:6" ht="15" thickBot="1">
      <c r="A309" s="1838" t="s">
        <v>1419</v>
      </c>
      <c r="B309" s="1842" t="s">
        <v>1265</v>
      </c>
      <c r="C309" s="1843">
        <v>0.15</v>
      </c>
      <c r="D309" s="1843">
        <v>0.15</v>
      </c>
      <c r="E309" s="1843">
        <v>0.15</v>
      </c>
      <c r="F309" s="1851"/>
    </row>
    <row r="310" spans="1:6" ht="15" thickBot="1">
      <c r="A310" s="1838" t="s">
        <v>1419</v>
      </c>
      <c r="B310" s="1842" t="s">
        <v>2210</v>
      </c>
      <c r="C310" s="1843">
        <v>0.15</v>
      </c>
      <c r="D310" s="1843">
        <v>0.15</v>
      </c>
      <c r="E310" s="1843">
        <v>0.15</v>
      </c>
      <c r="F310" s="1844">
        <v>0.13700000000000001</v>
      </c>
    </row>
    <row r="311" spans="1:6" ht="15" thickBot="1">
      <c r="A311" s="1838" t="s">
        <v>1419</v>
      </c>
      <c r="B311" s="1842" t="s">
        <v>2211</v>
      </c>
      <c r="C311" s="1843">
        <v>0.15</v>
      </c>
      <c r="D311" s="1843">
        <v>0.15</v>
      </c>
      <c r="E311" s="1843">
        <v>0.15</v>
      </c>
      <c r="F311" s="1844">
        <v>0.15</v>
      </c>
    </row>
    <row r="312" spans="1:6" ht="15" thickBot="1">
      <c r="A312" s="1838" t="s">
        <v>1419</v>
      </c>
      <c r="B312" s="1842" t="s">
        <v>1291</v>
      </c>
      <c r="C312" s="1843">
        <v>0.15</v>
      </c>
      <c r="D312" s="1843">
        <v>0.15</v>
      </c>
      <c r="E312" s="1843">
        <v>0.15</v>
      </c>
      <c r="F312" s="1844">
        <v>0.1</v>
      </c>
    </row>
    <row r="313" spans="1:6" ht="15" thickBot="1">
      <c r="A313" s="1838" t="s">
        <v>1419</v>
      </c>
      <c r="B313" s="1842" t="s">
        <v>2212</v>
      </c>
      <c r="C313" s="1843">
        <v>0.15</v>
      </c>
      <c r="D313" s="1843">
        <v>0.15</v>
      </c>
      <c r="E313" s="1843">
        <v>0.15</v>
      </c>
      <c r="F313" s="1844">
        <v>0.15</v>
      </c>
    </row>
    <row r="314" spans="1:6" ht="24.6" thickBot="1">
      <c r="A314" s="1838" t="s">
        <v>1419</v>
      </c>
      <c r="B314" s="1842" t="s">
        <v>2213</v>
      </c>
      <c r="C314" s="1852"/>
      <c r="D314" s="1852"/>
      <c r="E314" s="1852"/>
      <c r="F314" s="1844">
        <v>0.05</v>
      </c>
    </row>
    <row r="315" spans="1:6" ht="24.6" thickBot="1">
      <c r="A315" s="1838" t="s">
        <v>1419</v>
      </c>
      <c r="B315" s="1842" t="s">
        <v>2214</v>
      </c>
      <c r="C315" s="1852"/>
      <c r="D315" s="1852"/>
      <c r="E315" s="1852"/>
      <c r="F315" s="1844">
        <v>0.05</v>
      </c>
    </row>
    <row r="316" spans="1:6" ht="24.6" thickBot="1">
      <c r="A316" s="1846" t="s">
        <v>1419</v>
      </c>
      <c r="B316" s="1853" t="s">
        <v>2215</v>
      </c>
      <c r="C316" s="1849"/>
      <c r="D316" s="1849"/>
      <c r="E316" s="1849"/>
      <c r="F316" s="1854">
        <v>0.05</v>
      </c>
    </row>
    <row r="317" spans="1:6" ht="15" thickBot="1">
      <c r="A317" s="1838" t="s">
        <v>2216</v>
      </c>
      <c r="B317" s="1839" t="s">
        <v>2217</v>
      </c>
      <c r="C317" s="1840">
        <v>0.15</v>
      </c>
      <c r="D317" s="1840">
        <v>0.15</v>
      </c>
      <c r="E317" s="1840">
        <v>0.15</v>
      </c>
      <c r="F317" s="1841">
        <v>0.15</v>
      </c>
    </row>
    <row r="318" spans="1:6" ht="15" thickBot="1">
      <c r="A318" s="1838" t="s">
        <v>2216</v>
      </c>
      <c r="B318" s="1842" t="s">
        <v>2218</v>
      </c>
      <c r="C318" s="1843">
        <v>0.107</v>
      </c>
      <c r="D318" s="1843">
        <v>0.11</v>
      </c>
      <c r="E318" s="1843">
        <v>0.112</v>
      </c>
      <c r="F318" s="1851"/>
    </row>
    <row r="319" spans="1:6" ht="15" thickBot="1">
      <c r="A319" s="1838" t="s">
        <v>2216</v>
      </c>
      <c r="B319" s="1842" t="s">
        <v>2219</v>
      </c>
      <c r="C319" s="1843">
        <v>0.15</v>
      </c>
      <c r="D319" s="1843">
        <v>0.15</v>
      </c>
      <c r="E319" s="1843">
        <v>0.15</v>
      </c>
      <c r="F319" s="1844">
        <v>0.15</v>
      </c>
    </row>
    <row r="320" spans="1:6" ht="15" thickBot="1">
      <c r="A320" s="1838" t="s">
        <v>2216</v>
      </c>
      <c r="B320" s="1842" t="s">
        <v>1107</v>
      </c>
      <c r="C320" s="1843">
        <v>0.15</v>
      </c>
      <c r="D320" s="1843">
        <v>0.15</v>
      </c>
      <c r="E320" s="1843">
        <v>0.15</v>
      </c>
      <c r="F320" s="1851"/>
    </row>
    <row r="321" spans="1:6" ht="15" thickBot="1">
      <c r="A321" s="1838" t="s">
        <v>2216</v>
      </c>
      <c r="B321" s="1842" t="s">
        <v>2220</v>
      </c>
      <c r="C321" s="1843">
        <v>0.15</v>
      </c>
      <c r="D321" s="1843">
        <v>0.15</v>
      </c>
      <c r="E321" s="1843">
        <v>0.15</v>
      </c>
      <c r="F321" s="1851"/>
    </row>
    <row r="322" spans="1:6" ht="15" thickBot="1">
      <c r="A322" s="1838" t="s">
        <v>2216</v>
      </c>
      <c r="B322" s="1842" t="s">
        <v>2221</v>
      </c>
      <c r="C322" s="1843">
        <v>0.15</v>
      </c>
      <c r="D322" s="1843">
        <v>0.15</v>
      </c>
      <c r="E322" s="1843">
        <v>0.15</v>
      </c>
      <c r="F322" s="1844">
        <v>0.15</v>
      </c>
    </row>
    <row r="323" spans="1:6" ht="15" thickBot="1">
      <c r="A323" s="1838" t="s">
        <v>2216</v>
      </c>
      <c r="B323" s="1842" t="s">
        <v>2222</v>
      </c>
      <c r="C323" s="1843">
        <v>0.15</v>
      </c>
      <c r="D323" s="1843">
        <v>0.15</v>
      </c>
      <c r="E323" s="1843">
        <v>0.15</v>
      </c>
      <c r="F323" s="1851"/>
    </row>
    <row r="324" spans="1:6" ht="15" thickBot="1">
      <c r="A324" s="1838" t="s">
        <v>2216</v>
      </c>
      <c r="B324" s="1842" t="s">
        <v>2223</v>
      </c>
      <c r="C324" s="1843">
        <v>0.15</v>
      </c>
      <c r="D324" s="1843">
        <v>0.15</v>
      </c>
      <c r="E324" s="1843">
        <v>0.15</v>
      </c>
      <c r="F324" s="1851"/>
    </row>
    <row r="325" spans="1:6" ht="15" thickBot="1">
      <c r="A325" s="1838" t="s">
        <v>2216</v>
      </c>
      <c r="B325" s="1842" t="s">
        <v>2224</v>
      </c>
      <c r="C325" s="1843">
        <v>0.15</v>
      </c>
      <c r="D325" s="1843">
        <v>0.15</v>
      </c>
      <c r="E325" s="1843">
        <v>0.15</v>
      </c>
      <c r="F325" s="1844">
        <v>0.14699999999999999</v>
      </c>
    </row>
    <row r="326" spans="1:6" ht="15" thickBot="1">
      <c r="A326" s="1838" t="s">
        <v>2216</v>
      </c>
      <c r="B326" s="1842" t="s">
        <v>1176</v>
      </c>
      <c r="C326" s="1843">
        <v>0.15</v>
      </c>
      <c r="D326" s="1843">
        <v>0.15</v>
      </c>
      <c r="E326" s="1843">
        <v>0.15</v>
      </c>
      <c r="F326" s="1851"/>
    </row>
    <row r="327" spans="1:6" ht="15" thickBot="1">
      <c r="A327" s="1838" t="s">
        <v>2216</v>
      </c>
      <c r="B327" s="1842" t="s">
        <v>2225</v>
      </c>
      <c r="C327" s="1843">
        <v>0.15</v>
      </c>
      <c r="D327" s="1843">
        <v>0.15</v>
      </c>
      <c r="E327" s="1843">
        <v>0.15</v>
      </c>
      <c r="F327" s="1844">
        <v>0.15</v>
      </c>
    </row>
    <row r="328" spans="1:6" ht="15" thickBot="1">
      <c r="A328" s="1838" t="s">
        <v>2216</v>
      </c>
      <c r="B328" s="1842" t="s">
        <v>1196</v>
      </c>
      <c r="C328" s="1843">
        <v>0.15</v>
      </c>
      <c r="D328" s="1843">
        <v>0.15</v>
      </c>
      <c r="E328" s="1843">
        <v>0.15</v>
      </c>
      <c r="F328" s="1844">
        <v>0.14099999999999999</v>
      </c>
    </row>
    <row r="329" spans="1:6" ht="15" thickBot="1">
      <c r="A329" s="1838" t="s">
        <v>2216</v>
      </c>
      <c r="B329" s="1842" t="s">
        <v>1206</v>
      </c>
      <c r="C329" s="1843">
        <v>0.15</v>
      </c>
      <c r="D329" s="1843">
        <v>0.15</v>
      </c>
      <c r="E329" s="1843">
        <v>0.15</v>
      </c>
      <c r="F329" s="1844">
        <v>0.15</v>
      </c>
    </row>
    <row r="330" spans="1:6" ht="15" thickBot="1">
      <c r="A330" s="1838" t="s">
        <v>2216</v>
      </c>
      <c r="B330" s="1842" t="s">
        <v>1216</v>
      </c>
      <c r="C330" s="1843">
        <v>0.15</v>
      </c>
      <c r="D330" s="1843">
        <v>0.15</v>
      </c>
      <c r="E330" s="1843">
        <v>0.15</v>
      </c>
      <c r="F330" s="1851"/>
    </row>
    <row r="331" spans="1:6" ht="15" thickBot="1">
      <c r="A331" s="1838" t="s">
        <v>2216</v>
      </c>
      <c r="B331" s="1842" t="s">
        <v>2226</v>
      </c>
      <c r="C331" s="1843">
        <v>0.15</v>
      </c>
      <c r="D331" s="1843">
        <v>0.15</v>
      </c>
      <c r="E331" s="1843">
        <v>0.15</v>
      </c>
      <c r="F331" s="1844">
        <v>0.15</v>
      </c>
    </row>
    <row r="332" spans="1:6" ht="15" thickBot="1">
      <c r="A332" s="1838" t="s">
        <v>2216</v>
      </c>
      <c r="B332" s="1842" t="s">
        <v>1236</v>
      </c>
      <c r="C332" s="1843">
        <v>0.15</v>
      </c>
      <c r="D332" s="1843">
        <v>0.15</v>
      </c>
      <c r="E332" s="1843">
        <v>0.15</v>
      </c>
      <c r="F332" s="1844">
        <v>0.15</v>
      </c>
    </row>
    <row r="333" spans="1:6" ht="15" thickBot="1">
      <c r="A333" s="1838" t="s">
        <v>2216</v>
      </c>
      <c r="B333" s="1842" t="s">
        <v>2227</v>
      </c>
      <c r="C333" s="1843">
        <v>0.15</v>
      </c>
      <c r="D333" s="1843">
        <v>0.15</v>
      </c>
      <c r="E333" s="1843">
        <v>0.15</v>
      </c>
      <c r="F333" s="1844">
        <v>0.14099999999999999</v>
      </c>
    </row>
    <row r="334" spans="1:6" ht="15" thickBot="1">
      <c r="A334" s="1838" t="s">
        <v>2216</v>
      </c>
      <c r="B334" s="1842" t="s">
        <v>1256</v>
      </c>
      <c r="C334" s="1843">
        <v>0.15</v>
      </c>
      <c r="D334" s="1843">
        <v>0.15</v>
      </c>
      <c r="E334" s="1843">
        <v>0.15</v>
      </c>
      <c r="F334" s="1844">
        <v>0.15</v>
      </c>
    </row>
    <row r="335" spans="1:6" ht="15" thickBot="1">
      <c r="A335" s="1838" t="s">
        <v>2216</v>
      </c>
      <c r="B335" s="1842" t="s">
        <v>1266</v>
      </c>
      <c r="C335" s="1843">
        <v>0.15</v>
      </c>
      <c r="D335" s="1843">
        <v>0.15</v>
      </c>
      <c r="E335" s="1843">
        <v>0.15</v>
      </c>
      <c r="F335" s="1851"/>
    </row>
    <row r="336" spans="1:6" ht="15" thickBot="1">
      <c r="A336" s="1838" t="s">
        <v>2216</v>
      </c>
      <c r="B336" s="1842" t="s">
        <v>2228</v>
      </c>
      <c r="C336" s="1843">
        <v>0.15</v>
      </c>
      <c r="D336" s="1843">
        <v>0.15</v>
      </c>
      <c r="E336" s="1843">
        <v>0.15</v>
      </c>
      <c r="F336" s="1844">
        <v>0.11799999999999999</v>
      </c>
    </row>
    <row r="337" spans="1:6" ht="15" thickBot="1">
      <c r="A337" s="1846" t="s">
        <v>2216</v>
      </c>
      <c r="B337" s="1853" t="s">
        <v>1284</v>
      </c>
      <c r="C337" s="1849"/>
      <c r="D337" s="1849"/>
      <c r="E337" s="1849"/>
      <c r="F337" s="1854">
        <v>0.14299999999999999</v>
      </c>
    </row>
    <row r="338" spans="1:6" ht="15" thickBot="1">
      <c r="A338" s="1838" t="s">
        <v>2229</v>
      </c>
      <c r="B338" s="1839" t="s">
        <v>2230</v>
      </c>
      <c r="C338" s="1840">
        <v>0.15</v>
      </c>
      <c r="D338" s="1840">
        <v>0.15</v>
      </c>
      <c r="E338" s="1840">
        <v>0.15</v>
      </c>
      <c r="F338" s="1862"/>
    </row>
    <row r="339" spans="1:6" ht="15" thickBot="1">
      <c r="A339" s="1838" t="s">
        <v>2229</v>
      </c>
      <c r="B339" s="1842" t="s">
        <v>2231</v>
      </c>
      <c r="C339" s="1843">
        <v>0.15</v>
      </c>
      <c r="D339" s="1843">
        <v>0.15</v>
      </c>
      <c r="E339" s="1843">
        <v>0.15</v>
      </c>
      <c r="F339" s="1851"/>
    </row>
    <row r="340" spans="1:6" ht="15" thickBot="1">
      <c r="A340" s="1838" t="s">
        <v>2229</v>
      </c>
      <c r="B340" s="1842" t="s">
        <v>2232</v>
      </c>
      <c r="C340" s="1843">
        <v>0.15</v>
      </c>
      <c r="D340" s="1843">
        <v>0.15</v>
      </c>
      <c r="E340" s="1843">
        <v>0.15</v>
      </c>
      <c r="F340" s="1851"/>
    </row>
    <row r="341" spans="1:6" ht="15" thickBot="1">
      <c r="A341" s="1838" t="s">
        <v>2233</v>
      </c>
      <c r="B341" s="1842" t="s">
        <v>2234</v>
      </c>
      <c r="C341" s="1843">
        <v>0.15</v>
      </c>
      <c r="D341" s="1843">
        <v>0.15</v>
      </c>
      <c r="E341" s="1843">
        <v>0.15</v>
      </c>
      <c r="F341" s="1844">
        <v>0.15</v>
      </c>
    </row>
    <row r="342" spans="1:6" ht="15" thickBot="1">
      <c r="A342" s="1838" t="s">
        <v>2229</v>
      </c>
      <c r="B342" s="1842" t="s">
        <v>2235</v>
      </c>
      <c r="C342" s="1843">
        <v>0.15</v>
      </c>
      <c r="D342" s="1843">
        <v>0.15</v>
      </c>
      <c r="E342" s="1843">
        <v>0.15</v>
      </c>
      <c r="F342" s="1844">
        <v>0.15</v>
      </c>
    </row>
    <row r="343" spans="1:6" ht="15" thickBot="1">
      <c r="A343" s="1838" t="s">
        <v>2229</v>
      </c>
      <c r="B343" s="1842" t="s">
        <v>2236</v>
      </c>
      <c r="C343" s="1843">
        <v>0.15</v>
      </c>
      <c r="D343" s="1843">
        <v>0.15</v>
      </c>
      <c r="E343" s="1843">
        <v>0.15</v>
      </c>
      <c r="F343" s="1844">
        <v>0.15</v>
      </c>
    </row>
    <row r="344" spans="1:6" ht="15" thickBot="1">
      <c r="A344" s="1846" t="s">
        <v>2229</v>
      </c>
      <c r="B344" s="1853" t="s">
        <v>2237</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55" t="s">
        <v>2575</v>
      </c>
      <c r="C1" s="3455"/>
      <c r="D1" s="3455"/>
      <c r="E1" s="3455"/>
      <c r="F1" s="3455"/>
      <c r="G1" s="3454" t="s">
        <v>2576</v>
      </c>
      <c r="H1" s="3454"/>
      <c r="I1" s="3454"/>
      <c r="J1" s="3454"/>
      <c r="K1" s="3454"/>
      <c r="L1" s="3454"/>
      <c r="N1" s="3454" t="s">
        <v>2577</v>
      </c>
      <c r="O1" s="3454"/>
      <c r="P1" s="3454"/>
      <c r="Q1" s="3454"/>
      <c r="R1" s="2616"/>
      <c r="S1" s="3454" t="s">
        <v>2578</v>
      </c>
      <c r="T1" s="3454"/>
      <c r="U1" s="3454"/>
      <c r="V1" s="3454"/>
      <c r="X1" s="3453" t="s">
        <v>2638</v>
      </c>
      <c r="Y1" s="3454"/>
      <c r="Z1" s="3454"/>
      <c r="AA1" s="3454"/>
      <c r="AB1" s="3454"/>
      <c r="AD1" s="3453" t="s">
        <v>2642</v>
      </c>
      <c r="AE1" s="3454"/>
      <c r="AF1" s="3454"/>
      <c r="AG1" s="3454"/>
      <c r="AH1" s="3454"/>
    </row>
    <row r="2" spans="1:34" s="2717" customFormat="1" ht="15" thickBot="1">
      <c r="B2" s="2725" t="s">
        <v>2579</v>
      </c>
      <c r="C2" s="2725" t="s">
        <v>2640</v>
      </c>
      <c r="D2" s="2718" t="s">
        <v>1644</v>
      </c>
      <c r="E2" s="2718" t="s">
        <v>1949</v>
      </c>
      <c r="F2" s="2725" t="s">
        <v>2641</v>
      </c>
      <c r="G2" s="2721"/>
      <c r="H2" s="2720"/>
      <c r="I2" s="2725" t="s">
        <v>2950</v>
      </c>
      <c r="J2" s="2718" t="s">
        <v>2952</v>
      </c>
      <c r="K2" s="2718" t="s">
        <v>2953</v>
      </c>
      <c r="L2" s="2725" t="s">
        <v>2954</v>
      </c>
      <c r="N2" s="2725" t="s">
        <v>2579</v>
      </c>
      <c r="O2" s="2718" t="s">
        <v>2951</v>
      </c>
      <c r="P2" s="2718" t="s">
        <v>1949</v>
      </c>
      <c r="Q2" s="2725" t="s">
        <v>2641</v>
      </c>
      <c r="R2" s="2719"/>
      <c r="S2" s="2725" t="s">
        <v>2579</v>
      </c>
      <c r="T2" s="2718" t="s">
        <v>2951</v>
      </c>
      <c r="U2" s="2718" t="s">
        <v>1949</v>
      </c>
      <c r="V2" s="2725" t="s">
        <v>2641</v>
      </c>
      <c r="X2" s="2725" t="s">
        <v>2579</v>
      </c>
      <c r="Y2" s="2725" t="s">
        <v>2640</v>
      </c>
      <c r="Z2" s="2718" t="s">
        <v>1644</v>
      </c>
      <c r="AA2" s="2718" t="s">
        <v>1949</v>
      </c>
      <c r="AB2" s="2725" t="s">
        <v>2641</v>
      </c>
      <c r="AD2" s="2725" t="s">
        <v>2579</v>
      </c>
      <c r="AE2" s="2725" t="s">
        <v>2640</v>
      </c>
      <c r="AF2" s="2718" t="s">
        <v>1644</v>
      </c>
      <c r="AG2" s="2718" t="s">
        <v>1949</v>
      </c>
      <c r="AH2" s="2725" t="s">
        <v>2641</v>
      </c>
    </row>
    <row r="3" spans="1:34" s="3079" customFormat="1" ht="14.4">
      <c r="A3" s="3091" t="s">
        <v>2963</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10" customFormat="1" ht="14.4">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ht="13.8" thickBot="1">
      <c r="A5" s="3061" t="s">
        <v>2986</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2">
        <v>2</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2964</v>
      </c>
      <c r="X5" s="3066">
        <f>ROUND(IF(项目基本情况!B8="出让",SUMPRODUCT(PRODUCT(1+N5:N$26)),SUMPRODUCT(PRODUCT(1+N5:N$25))),4)</f>
        <v>1.5189999999999999</v>
      </c>
      <c r="Y5" s="3066">
        <f>ROUND(IF(项目基本情况!B8="出让",SUMPRODUCT(PRODUCT(1+O5:O$26)),SUMPRODUCT(PRODUCT(1+O5:O$25))),4)</f>
        <v>1.3423</v>
      </c>
      <c r="Z5" s="3066">
        <f t="shared" ref="Z5" si="11">Y5</f>
        <v>1.3423</v>
      </c>
      <c r="AA5" s="3066">
        <f>ROUND(IF(项目基本情况!B8="出让",SUMPRODUCT(PRODUCT(1+P5:P$26)),SUMPRODUCT(PRODUCT(1+P5:P$25))),4)</f>
        <v>1.5782</v>
      </c>
      <c r="AB5" s="3066">
        <f>ROUND(IF(项目基本情况!B8="出让",SUMPRODUCT(PRODUCT(1+Q5:Q$26)),SUMPRODUCT(PRODUCT(1+Q5:Q$25))),4)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2" customFormat="1" ht="13.8" thickBot="1">
      <c r="A6" s="2617" t="s">
        <v>2987</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5">
        <v>0.6</v>
      </c>
      <c r="J6" s="3145">
        <v>0.37</v>
      </c>
      <c r="K6" s="3145">
        <v>0.63</v>
      </c>
      <c r="L6" s="3146">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1.5189999999999999</v>
      </c>
      <c r="Y6" s="2715">
        <f>ROUND(IF(项目基本情况!B8="出让",SUMPRODUCT(PRODUCT(1+O6:O$26)),SUMPRODUCT(PRODUCT(1+O6:O$25))),4)</f>
        <v>1.3423</v>
      </c>
      <c r="Z6" s="2715">
        <f t="shared" ref="Z6" si="21">Y6</f>
        <v>1.3423</v>
      </c>
      <c r="AA6" s="2715">
        <f>ROUND(IF(项目基本情况!B8="出让",SUMPRODUCT(PRODUCT(1+P6:P$26)),SUMPRODUCT(PRODUCT(1+P6:P$25))),4)</f>
        <v>1.5782</v>
      </c>
      <c r="AB6" s="2715">
        <f>ROUND(IF(项目基本情况!B8="出让",SUMPRODUCT(PRODUCT(1+Q6:Q$26)),SUMPRODUCT(PRODUCT(1+Q6:Q$25))),4)</f>
        <v>1.3405</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2983</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57">
        <v>2018</v>
      </c>
      <c r="H7" s="2620">
        <v>4</v>
      </c>
      <c r="I7" s="3145">
        <v>0.96</v>
      </c>
      <c r="J7" s="3145">
        <v>1.03</v>
      </c>
      <c r="K7" s="3145">
        <v>0.92</v>
      </c>
      <c r="L7" s="3146">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 customHeight="1">
      <c r="A8" s="2617" t="s">
        <v>2973</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57"/>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 customHeight="1">
      <c r="A9" s="2617" t="s">
        <v>2974</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57"/>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2970</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63"/>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2961</v>
      </c>
      <c r="B11" s="3093">
        <v>439</v>
      </c>
      <c r="C11" s="3093">
        <v>327</v>
      </c>
      <c r="D11" s="3093">
        <f t="shared" si="54"/>
        <v>327</v>
      </c>
      <c r="E11" s="3093">
        <v>627</v>
      </c>
      <c r="F11" s="3094">
        <v>283</v>
      </c>
      <c r="G11" s="3462">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 customHeight="1">
      <c r="A12" s="2617" t="s">
        <v>2965</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57"/>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 customHeight="1">
      <c r="A13" s="2617" t="s">
        <v>2580</v>
      </c>
      <c r="B13" s="2630">
        <f t="shared" si="66"/>
        <v>419.31181600000002</v>
      </c>
      <c r="C13" s="2630">
        <f t="shared" si="66"/>
        <v>313.95436800000004</v>
      </c>
      <c r="D13" s="2630">
        <f t="shared" si="54"/>
        <v>313.95436800000004</v>
      </c>
      <c r="E13" s="2630">
        <f t="shared" si="67"/>
        <v>596.63028431999999</v>
      </c>
      <c r="F13" s="2630">
        <f t="shared" si="67"/>
        <v>274.74220703999998</v>
      </c>
      <c r="G13" s="3457"/>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2581</v>
      </c>
      <c r="B14" s="2630">
        <f t="shared" si="66"/>
        <v>405.524</v>
      </c>
      <c r="C14" s="2630">
        <f t="shared" si="66"/>
        <v>307.79840000000002</v>
      </c>
      <c r="D14" s="2630">
        <f t="shared" si="54"/>
        <v>307.79840000000002</v>
      </c>
      <c r="E14" s="2630">
        <f t="shared" si="67"/>
        <v>574.67759999999998</v>
      </c>
      <c r="F14" s="2630">
        <f t="shared" si="67"/>
        <v>270.20280000000002</v>
      </c>
      <c r="G14" s="3463"/>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970</v>
      </c>
      <c r="B15" s="2622">
        <v>392</v>
      </c>
      <c r="C15" s="2622">
        <v>302</v>
      </c>
      <c r="D15" s="2622">
        <f t="shared" si="54"/>
        <v>302</v>
      </c>
      <c r="E15" s="2622">
        <v>553</v>
      </c>
      <c r="F15" s="2623">
        <v>266</v>
      </c>
      <c r="G15" s="3462">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969</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57"/>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959</v>
      </c>
      <c r="B17" s="2630">
        <f t="shared" si="75"/>
        <v>360.06949782209392</v>
      </c>
      <c r="C17" s="2630">
        <f t="shared" si="75"/>
        <v>289.84672674747821</v>
      </c>
      <c r="D17" s="2630">
        <f t="shared" si="76"/>
        <v>289.84672674747821</v>
      </c>
      <c r="E17" s="2630">
        <f t="shared" si="77"/>
        <v>501.06543001181495</v>
      </c>
      <c r="F17" s="2630">
        <f t="shared" si="77"/>
        <v>256.82882500744967</v>
      </c>
      <c r="G17" s="3457"/>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8" thickBot="1">
      <c r="A18" s="2617" t="s">
        <v>968</v>
      </c>
      <c r="B18" s="2630">
        <f t="shared" si="75"/>
        <v>346.720748986128</v>
      </c>
      <c r="C18" s="2630">
        <f t="shared" si="75"/>
        <v>284.30282172386285</v>
      </c>
      <c r="D18" s="2630">
        <f t="shared" si="76"/>
        <v>284.30282172386285</v>
      </c>
      <c r="E18" s="2630">
        <f t="shared" si="77"/>
        <v>479.58023546306947</v>
      </c>
      <c r="F18" s="2630">
        <f t="shared" si="77"/>
        <v>253.25788877571213</v>
      </c>
      <c r="G18" s="3458"/>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8" thickBot="1">
      <c r="A19" s="2617" t="s">
        <v>967</v>
      </c>
      <c r="B19" s="2622">
        <v>333</v>
      </c>
      <c r="C19" s="2622">
        <v>277</v>
      </c>
      <c r="D19" s="2622">
        <f t="shared" si="76"/>
        <v>277</v>
      </c>
      <c r="E19" s="2622">
        <v>459</v>
      </c>
      <c r="F19" s="2623">
        <v>249</v>
      </c>
      <c r="G19" s="3456">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966</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57"/>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965</v>
      </c>
      <c r="B21" s="2630">
        <f t="shared" si="79"/>
        <v>322.34053690220776</v>
      </c>
      <c r="C21" s="2630">
        <f t="shared" si="79"/>
        <v>271.46160770422546</v>
      </c>
      <c r="D21" s="2630">
        <f t="shared" si="76"/>
        <v>271.46160770422546</v>
      </c>
      <c r="E21" s="2630">
        <f t="shared" si="80"/>
        <v>442.69434542172456</v>
      </c>
      <c r="F21" s="2630">
        <f t="shared" si="80"/>
        <v>241.34030753190925</v>
      </c>
      <c r="G21" s="3457"/>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964</v>
      </c>
      <c r="B22" s="2630">
        <f t="shared" si="79"/>
        <v>319.87748030386797</v>
      </c>
      <c r="C22" s="2630">
        <f t="shared" si="79"/>
        <v>269.60135833173649</v>
      </c>
      <c r="D22" s="2630">
        <f t="shared" si="76"/>
        <v>269.60135833173649</v>
      </c>
      <c r="E22" s="2630">
        <f t="shared" si="80"/>
        <v>439.18089823583784</v>
      </c>
      <c r="F22" s="2630">
        <f t="shared" si="80"/>
        <v>239.23503918706311</v>
      </c>
      <c r="G22" s="3458"/>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8" thickBot="1">
      <c r="A23" s="2617" t="s">
        <v>963</v>
      </c>
      <c r="B23" s="2644">
        <v>318</v>
      </c>
      <c r="C23" s="2644">
        <v>268</v>
      </c>
      <c r="D23" s="2644">
        <f t="shared" si="76"/>
        <v>268</v>
      </c>
      <c r="E23" s="2644">
        <v>437</v>
      </c>
      <c r="F23" s="2645">
        <v>237</v>
      </c>
      <c r="G23" s="3456">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962</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57"/>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8" thickBot="1">
      <c r="A25" s="2617" t="s">
        <v>961</v>
      </c>
      <c r="B25" s="2630">
        <f t="shared" si="81"/>
        <v>314.72141172386546</v>
      </c>
      <c r="C25" s="2630">
        <f t="shared" si="81"/>
        <v>263.03901319069001</v>
      </c>
      <c r="D25" s="2630">
        <f t="shared" si="76"/>
        <v>263.03901319069001</v>
      </c>
      <c r="E25" s="2630">
        <f t="shared" si="82"/>
        <v>433.65745506782821</v>
      </c>
      <c r="F25" s="2630">
        <f t="shared" si="82"/>
        <v>233.23005080045735</v>
      </c>
      <c r="G25" s="3457"/>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8" thickBot="1">
      <c r="A26" s="2648" t="s">
        <v>960</v>
      </c>
      <c r="B26" s="2649">
        <f t="shared" si="81"/>
        <v>307.34512863658733</v>
      </c>
      <c r="C26" s="2649">
        <f t="shared" si="81"/>
        <v>257.80556031626975</v>
      </c>
      <c r="D26" s="2649">
        <f t="shared" si="76"/>
        <v>257.80556031626975</v>
      </c>
      <c r="E26" s="2649">
        <f t="shared" si="82"/>
        <v>422.70928459677179</v>
      </c>
      <c r="F26" s="2649">
        <f t="shared" si="82"/>
        <v>229.73803270336617</v>
      </c>
      <c r="G26" s="3458"/>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2639</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8" thickBot="1">
      <c r="A27" s="2617" t="s">
        <v>2582</v>
      </c>
      <c r="B27" s="2622">
        <v>299</v>
      </c>
      <c r="C27" s="2622">
        <v>252</v>
      </c>
      <c r="D27" s="2622">
        <f t="shared" si="76"/>
        <v>252</v>
      </c>
      <c r="E27" s="2622">
        <v>409</v>
      </c>
      <c r="F27" s="2623">
        <v>227</v>
      </c>
      <c r="G27" s="3459">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2583</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60"/>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2584</v>
      </c>
      <c r="B29" s="2630">
        <f t="shared" si="85"/>
        <v>288.2649053828776</v>
      </c>
      <c r="C29" s="2630">
        <f t="shared" si="85"/>
        <v>243.64564425013293</v>
      </c>
      <c r="D29" s="2630">
        <f t="shared" si="76"/>
        <v>243.64564425013293</v>
      </c>
      <c r="E29" s="2630">
        <f t="shared" si="86"/>
        <v>393.31080825986544</v>
      </c>
      <c r="F29" s="2630">
        <f t="shared" si="86"/>
        <v>223.07903790551154</v>
      </c>
      <c r="G29" s="3460"/>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2585</v>
      </c>
      <c r="B30" s="2630">
        <f t="shared" si="85"/>
        <v>282.50186729015837</v>
      </c>
      <c r="C30" s="2630">
        <f t="shared" si="85"/>
        <v>238.09796174155468</v>
      </c>
      <c r="D30" s="2630">
        <f t="shared" si="76"/>
        <v>238.09796174155468</v>
      </c>
      <c r="E30" s="2630">
        <f t="shared" si="86"/>
        <v>385.33438646014054</v>
      </c>
      <c r="F30" s="2630">
        <f t="shared" si="86"/>
        <v>221.55034055567739</v>
      </c>
      <c r="G30" s="3461"/>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8" thickBot="1">
      <c r="A31" s="2617" t="s">
        <v>2586</v>
      </c>
      <c r="B31" s="2660">
        <v>278</v>
      </c>
      <c r="C31" s="2660">
        <v>234</v>
      </c>
      <c r="D31" s="2660">
        <f t="shared" si="76"/>
        <v>234</v>
      </c>
      <c r="E31" s="2660">
        <v>379</v>
      </c>
      <c r="F31" s="2661">
        <v>220</v>
      </c>
      <c r="G31" s="3456">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2587</v>
      </c>
      <c r="B32" s="2630">
        <f>B31/(1+N31)</f>
        <v>275.49301357645425</v>
      </c>
      <c r="C32" s="2630">
        <f>C31/(1+O31)</f>
        <v>232.41954707985698</v>
      </c>
      <c r="D32" s="2630">
        <f t="shared" si="76"/>
        <v>232.41954707985698</v>
      </c>
      <c r="E32" s="2630">
        <f t="shared" ref="E32:F34" si="87">E31/(1+P31)</f>
        <v>375.32184591008121</v>
      </c>
      <c r="F32" s="2630">
        <f t="shared" si="87"/>
        <v>218.03766105054513</v>
      </c>
      <c r="G32" s="3457"/>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2588</v>
      </c>
      <c r="B33" s="2630">
        <f>B32/(1+N32)</f>
        <v>275.24529281292263</v>
      </c>
      <c r="C33" s="2630">
        <f>C32/(1+O32)</f>
        <v>231.74747938962707</v>
      </c>
      <c r="D33" s="2630">
        <f t="shared" si="76"/>
        <v>231.74747938962707</v>
      </c>
      <c r="E33" s="2630">
        <f t="shared" si="87"/>
        <v>375.35938184826603</v>
      </c>
      <c r="F33" s="2630">
        <f t="shared" si="87"/>
        <v>216.78033510692495</v>
      </c>
      <c r="G33" s="3457"/>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8" thickBot="1">
      <c r="A34" s="2617" t="s">
        <v>2589</v>
      </c>
      <c r="B34" s="2630">
        <f>B33/(1+N33)</f>
        <v>275.19025476197027</v>
      </c>
      <c r="C34" s="2662">
        <v>232</v>
      </c>
      <c r="D34" s="2662">
        <f t="shared" si="76"/>
        <v>232</v>
      </c>
      <c r="E34" s="2630">
        <f t="shared" si="87"/>
        <v>375.65990977608692</v>
      </c>
      <c r="F34" s="2630">
        <f t="shared" si="87"/>
        <v>214.12518283971252</v>
      </c>
      <c r="G34" s="3458"/>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8" thickBot="1">
      <c r="A35" s="2617" t="s">
        <v>2590</v>
      </c>
      <c r="B35" s="2622">
        <v>275</v>
      </c>
      <c r="C35" s="2622">
        <v>232</v>
      </c>
      <c r="D35" s="2622">
        <f t="shared" si="76"/>
        <v>232</v>
      </c>
      <c r="E35" s="2622">
        <v>376</v>
      </c>
      <c r="F35" s="2623">
        <v>213</v>
      </c>
      <c r="G35" s="3456">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2591</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57">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2592</v>
      </c>
      <c r="B37" s="2630">
        <f t="shared" si="88"/>
        <v>275.19335084830601</v>
      </c>
      <c r="C37" s="2630">
        <f t="shared" si="88"/>
        <v>230.18088050139744</v>
      </c>
      <c r="D37" s="2630">
        <f t="shared" si="76"/>
        <v>230.18088050139744</v>
      </c>
      <c r="E37" s="2630">
        <f t="shared" si="89"/>
        <v>377.58482925212331</v>
      </c>
      <c r="F37" s="2630">
        <f t="shared" si="89"/>
        <v>210.90687997847917</v>
      </c>
      <c r="G37" s="3457">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8" thickBot="1">
      <c r="A38" s="2617" t="s">
        <v>2593</v>
      </c>
      <c r="B38" s="2630">
        <f t="shared" si="88"/>
        <v>276.29854502841971</v>
      </c>
      <c r="C38" s="2630">
        <f t="shared" si="88"/>
        <v>229.79023709833027</v>
      </c>
      <c r="D38" s="2630">
        <f t="shared" si="76"/>
        <v>229.79023709833027</v>
      </c>
      <c r="E38" s="2630">
        <f t="shared" si="89"/>
        <v>379.78759731655936</v>
      </c>
      <c r="F38" s="2630">
        <f t="shared" si="89"/>
        <v>211.32953905659235</v>
      </c>
      <c r="G38" s="3458">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8" thickBot="1">
      <c r="A39" s="2617" t="s">
        <v>2594</v>
      </c>
      <c r="B39" s="2622">
        <v>269</v>
      </c>
      <c r="C39" s="2622">
        <v>221</v>
      </c>
      <c r="D39" s="2622">
        <f t="shared" si="76"/>
        <v>221</v>
      </c>
      <c r="E39" s="2622">
        <v>373</v>
      </c>
      <c r="F39" s="2623">
        <v>196</v>
      </c>
      <c r="G39" s="3456">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2595</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57">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2596</v>
      </c>
      <c r="B41" s="2630">
        <f t="shared" si="90"/>
        <v>242.95398227588385</v>
      </c>
      <c r="C41" s="2630">
        <f t="shared" si="90"/>
        <v>199.59137053614126</v>
      </c>
      <c r="D41" s="2630">
        <f t="shared" si="76"/>
        <v>199.59137053614126</v>
      </c>
      <c r="E41" s="2630">
        <f t="shared" si="91"/>
        <v>335.92189522342125</v>
      </c>
      <c r="F41" s="2630">
        <f t="shared" si="91"/>
        <v>183.10139991109489</v>
      </c>
      <c r="G41" s="3457">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8" thickBot="1">
      <c r="A42" s="2617" t="s">
        <v>2597</v>
      </c>
      <c r="B42" s="2630">
        <f t="shared" si="90"/>
        <v>232.06990378821649</v>
      </c>
      <c r="C42" s="2630">
        <f t="shared" si="90"/>
        <v>192.74878854286936</v>
      </c>
      <c r="D42" s="2630">
        <f t="shared" si="76"/>
        <v>192.74878854286936</v>
      </c>
      <c r="E42" s="2630">
        <f t="shared" si="91"/>
        <v>319.71247284992984</v>
      </c>
      <c r="F42" s="2630">
        <f t="shared" si="91"/>
        <v>175.67053622862409</v>
      </c>
      <c r="G42" s="3458">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8" thickBot="1">
      <c r="A43" s="2617" t="s">
        <v>2598</v>
      </c>
      <c r="B43" s="2622">
        <v>220</v>
      </c>
      <c r="C43" s="2622">
        <v>187</v>
      </c>
      <c r="D43" s="2622">
        <f t="shared" si="76"/>
        <v>187</v>
      </c>
      <c r="E43" s="2622">
        <v>301</v>
      </c>
      <c r="F43" s="2623">
        <v>168</v>
      </c>
      <c r="G43" s="3456">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2599</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57">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2600</v>
      </c>
      <c r="B45" s="2630">
        <f t="shared" si="92"/>
        <v>210.630522469011</v>
      </c>
      <c r="C45" s="2630">
        <f t="shared" si="92"/>
        <v>181.69567812247232</v>
      </c>
      <c r="D45" s="2630">
        <f t="shared" si="76"/>
        <v>181.69567812247232</v>
      </c>
      <c r="E45" s="2630">
        <f t="shared" si="93"/>
        <v>286.13517466736738</v>
      </c>
      <c r="F45" s="2630">
        <f t="shared" si="93"/>
        <v>165.47535084591149</v>
      </c>
      <c r="G45" s="3457">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2601</v>
      </c>
      <c r="B46" s="2630">
        <f t="shared" si="92"/>
        <v>208.83454537875372</v>
      </c>
      <c r="C46" s="2630">
        <f t="shared" si="92"/>
        <v>183.77230517090351</v>
      </c>
      <c r="D46" s="2630">
        <f t="shared" si="76"/>
        <v>183.77230517090351</v>
      </c>
      <c r="E46" s="2630">
        <f t="shared" si="93"/>
        <v>281.10342338870947</v>
      </c>
      <c r="F46" s="2630">
        <f t="shared" si="93"/>
        <v>168.97309388942256</v>
      </c>
      <c r="G46" s="3458">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8" thickBot="1">
      <c r="A47" s="2617" t="s">
        <v>2602</v>
      </c>
      <c r="B47" s="2660">
        <v>214</v>
      </c>
      <c r="C47" s="2660">
        <v>188</v>
      </c>
      <c r="D47" s="2660">
        <f t="shared" si="76"/>
        <v>188</v>
      </c>
      <c r="E47" s="2660">
        <v>289</v>
      </c>
      <c r="F47" s="2661">
        <v>166</v>
      </c>
      <c r="G47" s="3456">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2603</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57">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2604</v>
      </c>
      <c r="B49" s="2630">
        <f t="shared" si="94"/>
        <v>206.31694671589116</v>
      </c>
      <c r="C49" s="2630">
        <f t="shared" si="94"/>
        <v>183.61041121036101</v>
      </c>
      <c r="D49" s="2630">
        <f t="shared" si="76"/>
        <v>183.61041121036101</v>
      </c>
      <c r="E49" s="2630">
        <f t="shared" si="95"/>
        <v>276.66850301795557</v>
      </c>
      <c r="F49" s="2630">
        <f t="shared" si="95"/>
        <v>165.1360938278614</v>
      </c>
      <c r="G49" s="3457">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8" thickBot="1">
      <c r="A50" s="2617" t="s">
        <v>2605</v>
      </c>
      <c r="B50" s="2663">
        <f t="shared" si="94"/>
        <v>196.62341248059772</v>
      </c>
      <c r="C50" s="2663">
        <f t="shared" si="94"/>
        <v>170.99125648199012</v>
      </c>
      <c r="D50" s="2663">
        <f t="shared" si="76"/>
        <v>170.99125648199012</v>
      </c>
      <c r="E50" s="2663">
        <f t="shared" si="95"/>
        <v>266.07857570490052</v>
      </c>
      <c r="F50" s="2663">
        <f t="shared" si="95"/>
        <v>154.53499328828505</v>
      </c>
      <c r="G50" s="3458">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8" thickBot="1">
      <c r="A51" s="2617" t="s">
        <v>2606</v>
      </c>
      <c r="B51" s="2622">
        <v>188</v>
      </c>
      <c r="C51" s="2622">
        <v>165</v>
      </c>
      <c r="D51" s="2622">
        <f t="shared" si="76"/>
        <v>165</v>
      </c>
      <c r="E51" s="2622">
        <v>254</v>
      </c>
      <c r="F51" s="2623">
        <v>148</v>
      </c>
      <c r="G51" s="3456">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2607</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57">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2608</v>
      </c>
      <c r="B53" s="2630">
        <f t="shared" si="98"/>
        <v>168.82017748715555</v>
      </c>
      <c r="C53" s="2630">
        <f t="shared" si="98"/>
        <v>148.06267029972753</v>
      </c>
      <c r="D53" s="2630">
        <f t="shared" si="76"/>
        <v>148.06267029972753</v>
      </c>
      <c r="E53" s="2630">
        <f t="shared" si="99"/>
        <v>216.46288379323747</v>
      </c>
      <c r="F53" s="2630">
        <f t="shared" si="99"/>
        <v>134.23529411764704</v>
      </c>
      <c r="G53" s="3457">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2609</v>
      </c>
      <c r="B54" s="2630">
        <f t="shared" si="98"/>
        <v>163.84913591779542</v>
      </c>
      <c r="C54" s="2630">
        <f t="shared" si="98"/>
        <v>145.0283378746594</v>
      </c>
      <c r="D54" s="2630">
        <f t="shared" si="76"/>
        <v>145.0283378746594</v>
      </c>
      <c r="E54" s="2630">
        <f t="shared" si="99"/>
        <v>204.95180722891567</v>
      </c>
      <c r="F54" s="2630">
        <f t="shared" si="99"/>
        <v>125.95920303605313</v>
      </c>
      <c r="G54" s="3458">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8" thickBot="1">
      <c r="A55" s="2617" t="s">
        <v>2610</v>
      </c>
      <c r="B55" s="2644">
        <v>159</v>
      </c>
      <c r="C55" s="2644">
        <v>141</v>
      </c>
      <c r="D55" s="2644">
        <f t="shared" si="76"/>
        <v>141</v>
      </c>
      <c r="E55" s="2644">
        <v>195</v>
      </c>
      <c r="F55" s="2645">
        <v>122</v>
      </c>
      <c r="G55" s="3456">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2611</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57">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2612</v>
      </c>
      <c r="B57" s="2630">
        <f t="shared" si="102"/>
        <v>146.57412060301507</v>
      </c>
      <c r="C57" s="2630">
        <f t="shared" si="102"/>
        <v>136.46831955922866</v>
      </c>
      <c r="D57" s="2630">
        <f t="shared" si="76"/>
        <v>136.46831955922866</v>
      </c>
      <c r="E57" s="2630">
        <f t="shared" si="103"/>
        <v>166.73864894795128</v>
      </c>
      <c r="F57" s="2630">
        <f t="shared" si="103"/>
        <v>115.05882352941177</v>
      </c>
      <c r="G57" s="3457">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2613</v>
      </c>
      <c r="B58" s="2630">
        <f t="shared" si="102"/>
        <v>144.04145728643215</v>
      </c>
      <c r="C58" s="2630">
        <f t="shared" si="102"/>
        <v>136.12396694214877</v>
      </c>
      <c r="D58" s="2630">
        <f t="shared" si="76"/>
        <v>136.12396694214877</v>
      </c>
      <c r="E58" s="2630">
        <f t="shared" si="103"/>
        <v>158.32225913621264</v>
      </c>
      <c r="F58" s="2630">
        <f t="shared" si="103"/>
        <v>114.04278074866311</v>
      </c>
      <c r="G58" s="3458">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8" thickBot="1">
      <c r="A59" s="2617" t="s">
        <v>2614</v>
      </c>
      <c r="B59" s="2644">
        <v>138</v>
      </c>
      <c r="C59" s="2644">
        <v>131</v>
      </c>
      <c r="D59" s="2644">
        <f t="shared" si="76"/>
        <v>131</v>
      </c>
      <c r="E59" s="2644">
        <v>155</v>
      </c>
      <c r="F59" s="2645">
        <v>114</v>
      </c>
      <c r="G59" s="3456">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2615</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57">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2616</v>
      </c>
      <c r="B61" s="2630">
        <f t="shared" si="106"/>
        <v>124.29032258064517</v>
      </c>
      <c r="C61" s="2630">
        <f t="shared" si="106"/>
        <v>123.8968609865471</v>
      </c>
      <c r="D61" s="2630">
        <f t="shared" si="76"/>
        <v>123.8968609865471</v>
      </c>
      <c r="E61" s="2630">
        <f t="shared" si="107"/>
        <v>138.00507614213197</v>
      </c>
      <c r="F61" s="2630">
        <f t="shared" si="107"/>
        <v>107.96106557377048</v>
      </c>
      <c r="G61" s="3457">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2617</v>
      </c>
      <c r="B62" s="2630">
        <f t="shared" si="106"/>
        <v>122.57204301075269</v>
      </c>
      <c r="C62" s="2630">
        <f t="shared" si="106"/>
        <v>123.4932735426009</v>
      </c>
      <c r="D62" s="2630">
        <f t="shared" si="76"/>
        <v>123.4932735426009</v>
      </c>
      <c r="E62" s="2630">
        <f t="shared" si="107"/>
        <v>129.82233502538071</v>
      </c>
      <c r="F62" s="2630">
        <f t="shared" si="107"/>
        <v>107.39446721311475</v>
      </c>
      <c r="G62" s="3458">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8" thickBot="1">
      <c r="A63" s="2617" t="s">
        <v>2618</v>
      </c>
      <c r="B63" s="2660">
        <v>121</v>
      </c>
      <c r="C63" s="2660">
        <v>122</v>
      </c>
      <c r="D63" s="2660">
        <f t="shared" si="76"/>
        <v>122</v>
      </c>
      <c r="E63" s="2660">
        <v>124</v>
      </c>
      <c r="F63" s="2661">
        <v>107</v>
      </c>
      <c r="G63" s="3456">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2619</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57">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2620</v>
      </c>
      <c r="B65" s="2630">
        <f t="shared" si="110"/>
        <v>116.99099099099099</v>
      </c>
      <c r="C65" s="2630">
        <f t="shared" si="110"/>
        <v>118.84848484848486</v>
      </c>
      <c r="D65" s="2630">
        <f t="shared" si="76"/>
        <v>118.84848484848486</v>
      </c>
      <c r="E65" s="2630">
        <f t="shared" si="111"/>
        <v>117.60960960960961</v>
      </c>
      <c r="F65" s="2630">
        <f t="shared" si="111"/>
        <v>104</v>
      </c>
      <c r="G65" s="3457">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8" thickBot="1">
      <c r="A66" s="2617" t="s">
        <v>2621</v>
      </c>
      <c r="B66" s="2663">
        <f t="shared" si="110"/>
        <v>112.48648648648648</v>
      </c>
      <c r="C66" s="2663">
        <f t="shared" si="110"/>
        <v>115.21212121212122</v>
      </c>
      <c r="D66" s="2663">
        <f t="shared" si="76"/>
        <v>115.21212121212122</v>
      </c>
      <c r="E66" s="2663">
        <f t="shared" si="111"/>
        <v>110.4024024024024</v>
      </c>
      <c r="F66" s="2663">
        <f t="shared" si="111"/>
        <v>104</v>
      </c>
      <c r="G66" s="3458">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8" thickBot="1">
      <c r="A67" s="2617" t="s">
        <v>2622</v>
      </c>
      <c r="B67" s="2681">
        <v>111</v>
      </c>
      <c r="C67" s="2681">
        <v>114</v>
      </c>
      <c r="D67" s="2681">
        <f t="shared" si="76"/>
        <v>114</v>
      </c>
      <c r="E67" s="2681">
        <v>108</v>
      </c>
      <c r="F67" s="2682">
        <v>104</v>
      </c>
      <c r="G67" s="3456">
        <v>2003</v>
      </c>
      <c r="H67" s="2671">
        <v>4</v>
      </c>
      <c r="I67" s="2683"/>
      <c r="J67" s="2683"/>
      <c r="K67" s="2683"/>
      <c r="L67" s="2683"/>
      <c r="N67" s="2684"/>
      <c r="O67" s="2683"/>
      <c r="P67" s="2683"/>
      <c r="Q67" s="2683"/>
      <c r="S67" s="2684"/>
      <c r="T67" s="2683"/>
      <c r="U67" s="2683"/>
      <c r="V67" s="2683"/>
      <c r="X67" s="2675"/>
      <c r="Y67" s="2675"/>
      <c r="Z67" s="2675"/>
    </row>
    <row r="68" spans="1:26">
      <c r="A68" s="2617" t="s">
        <v>2623</v>
      </c>
      <c r="B68" s="2685">
        <f t="shared" ref="B68:C70" si="112">B69+(B$67-B$71)/4</f>
        <v>109.75</v>
      </c>
      <c r="C68" s="2685">
        <f t="shared" si="112"/>
        <v>112.25</v>
      </c>
      <c r="D68" s="2685">
        <f t="shared" si="76"/>
        <v>112.25</v>
      </c>
      <c r="E68" s="2685">
        <f t="shared" ref="E68:F70" si="113">E69+(E$67-E$71)/4</f>
        <v>107.25</v>
      </c>
      <c r="F68" s="2685">
        <f t="shared" si="113"/>
        <v>103.5</v>
      </c>
      <c r="G68" s="3457">
        <v>2003</v>
      </c>
      <c r="H68" s="2641">
        <v>3</v>
      </c>
      <c r="I68" s="2683"/>
      <c r="J68" s="2683"/>
      <c r="K68" s="2683"/>
      <c r="L68" s="2683"/>
      <c r="X68" s="2675"/>
      <c r="Y68" s="2675"/>
      <c r="Z68" s="2675"/>
    </row>
    <row r="69" spans="1:26">
      <c r="A69" s="2617" t="s">
        <v>2624</v>
      </c>
      <c r="B69" s="2685">
        <f t="shared" si="112"/>
        <v>108.5</v>
      </c>
      <c r="C69" s="2685">
        <f t="shared" si="112"/>
        <v>110.5</v>
      </c>
      <c r="D69" s="2685">
        <f t="shared" si="76"/>
        <v>110.5</v>
      </c>
      <c r="E69" s="2685">
        <f t="shared" si="113"/>
        <v>106.5</v>
      </c>
      <c r="F69" s="2685">
        <f t="shared" si="113"/>
        <v>103</v>
      </c>
      <c r="G69" s="3457">
        <v>2003</v>
      </c>
      <c r="H69" s="2621">
        <v>2</v>
      </c>
      <c r="I69" s="2683"/>
      <c r="J69" s="2683"/>
      <c r="K69" s="2683"/>
      <c r="L69" s="2683"/>
      <c r="X69" s="2675"/>
      <c r="Y69" s="2675"/>
      <c r="Z69" s="2675"/>
    </row>
    <row r="70" spans="1:26" ht="13.8" thickBot="1">
      <c r="A70" s="2617" t="s">
        <v>2625</v>
      </c>
      <c r="B70" s="2685">
        <f t="shared" si="112"/>
        <v>107.25</v>
      </c>
      <c r="C70" s="2685">
        <f t="shared" si="112"/>
        <v>108.75</v>
      </c>
      <c r="D70" s="2685">
        <f t="shared" si="76"/>
        <v>108.75</v>
      </c>
      <c r="E70" s="2685">
        <f t="shared" si="113"/>
        <v>105.75</v>
      </c>
      <c r="F70" s="2685">
        <f t="shared" si="113"/>
        <v>102.5</v>
      </c>
      <c r="G70" s="3458">
        <v>2003</v>
      </c>
      <c r="H70" s="2686">
        <v>1</v>
      </c>
      <c r="I70" s="2683"/>
      <c r="J70" s="2683"/>
      <c r="K70" s="2683"/>
      <c r="L70" s="2683"/>
      <c r="S70" s="2625"/>
      <c r="T70" s="2626"/>
      <c r="U70" s="2626"/>
      <c r="X70" s="2675"/>
      <c r="Y70" s="2675"/>
      <c r="Z70" s="2675"/>
    </row>
    <row r="71" spans="1:26" ht="13.8" thickBot="1">
      <c r="A71" s="2617" t="s">
        <v>2626</v>
      </c>
      <c r="B71" s="2687">
        <v>106</v>
      </c>
      <c r="C71" s="2687">
        <v>107</v>
      </c>
      <c r="D71" s="2687">
        <f t="shared" si="76"/>
        <v>107</v>
      </c>
      <c r="E71" s="2687">
        <v>105</v>
      </c>
      <c r="F71" s="2688">
        <v>102</v>
      </c>
      <c r="G71" s="3456">
        <v>2002</v>
      </c>
      <c r="H71" s="2636">
        <v>4</v>
      </c>
      <c r="I71" s="2683"/>
      <c r="J71" s="2683"/>
      <c r="K71" s="2683"/>
      <c r="L71" s="2683"/>
      <c r="N71" s="2684"/>
      <c r="O71" s="2683"/>
      <c r="P71" s="2683"/>
      <c r="Q71" s="2683"/>
      <c r="S71" s="2684"/>
      <c r="T71" s="2683"/>
      <c r="U71" s="2683"/>
      <c r="V71" s="2683"/>
      <c r="X71" s="2675"/>
      <c r="Y71" s="2675"/>
      <c r="Z71" s="2675"/>
    </row>
    <row r="72" spans="1:26">
      <c r="A72" s="2617" t="s">
        <v>2627</v>
      </c>
      <c r="B72" s="2685">
        <f t="shared" ref="B72:C74" si="114">B73+(B$71-B$75)/4</f>
        <v>105</v>
      </c>
      <c r="C72" s="2685">
        <f t="shared" si="114"/>
        <v>106</v>
      </c>
      <c r="D72" s="2685">
        <f t="shared" si="76"/>
        <v>106</v>
      </c>
      <c r="E72" s="2685">
        <f t="shared" ref="E72:F74" si="115">E73+(E$71-E$75)/4</f>
        <v>104.5</v>
      </c>
      <c r="F72" s="2685">
        <f t="shared" si="115"/>
        <v>101.5</v>
      </c>
      <c r="G72" s="3457">
        <v>2002</v>
      </c>
      <c r="H72" s="2641">
        <v>3</v>
      </c>
      <c r="I72" s="2683"/>
      <c r="J72" s="2683"/>
      <c r="K72" s="2683"/>
      <c r="L72" s="2683"/>
      <c r="X72" s="2675"/>
      <c r="Y72" s="2675"/>
      <c r="Z72" s="2675"/>
    </row>
    <row r="73" spans="1:26">
      <c r="A73" s="2617" t="s">
        <v>2628</v>
      </c>
      <c r="B73" s="2685">
        <f t="shared" si="114"/>
        <v>104</v>
      </c>
      <c r="C73" s="2685">
        <f t="shared" si="114"/>
        <v>105</v>
      </c>
      <c r="D73" s="2685">
        <f t="shared" si="76"/>
        <v>105</v>
      </c>
      <c r="E73" s="2685">
        <f t="shared" si="115"/>
        <v>104</v>
      </c>
      <c r="F73" s="2685">
        <f t="shared" si="115"/>
        <v>101</v>
      </c>
      <c r="G73" s="3457">
        <v>2002</v>
      </c>
      <c r="H73" s="2621">
        <v>2</v>
      </c>
      <c r="I73" s="2683"/>
      <c r="J73" s="2683"/>
      <c r="K73" s="2683"/>
      <c r="L73" s="2683"/>
      <c r="X73" s="2675"/>
      <c r="Y73" s="2675"/>
      <c r="Z73" s="2675"/>
    </row>
    <row r="74" spans="1:26" s="2652" customFormat="1" ht="13.8" thickBot="1">
      <c r="A74" s="2648" t="s">
        <v>2629</v>
      </c>
      <c r="B74" s="2689">
        <f t="shared" si="114"/>
        <v>103</v>
      </c>
      <c r="C74" s="2689">
        <f t="shared" si="114"/>
        <v>104</v>
      </c>
      <c r="D74" s="2689">
        <f t="shared" si="76"/>
        <v>104</v>
      </c>
      <c r="E74" s="2689">
        <f t="shared" si="115"/>
        <v>103.5</v>
      </c>
      <c r="F74" s="2689">
        <f t="shared" si="115"/>
        <v>100.5</v>
      </c>
      <c r="G74" s="3458">
        <v>2002</v>
      </c>
      <c r="H74" s="2690">
        <v>1</v>
      </c>
      <c r="I74" s="2691"/>
      <c r="J74" s="2691"/>
      <c r="K74" s="2691"/>
      <c r="L74" s="2691"/>
      <c r="N74" s="2692"/>
      <c r="S74" s="2692"/>
      <c r="X74" s="2693"/>
      <c r="Y74" s="2693"/>
      <c r="Z74" s="2693"/>
    </row>
    <row r="75" spans="1:26" ht="13.8"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2630</v>
      </c>
      <c r="G77" s="2699"/>
      <c r="N77" s="2699"/>
      <c r="S77" s="2699"/>
    </row>
    <row r="78" spans="1:26" s="2698" customFormat="1">
      <c r="A78" s="2698" t="s">
        <v>2631</v>
      </c>
      <c r="G78" s="2699"/>
      <c r="N78" s="2699"/>
      <c r="S78" s="2699"/>
    </row>
    <row r="79" spans="1:26" s="2698" customFormat="1">
      <c r="A79" s="2698" t="s">
        <v>2632</v>
      </c>
      <c r="G79" s="2699"/>
      <c r="I79" s="2700"/>
      <c r="J79" s="2700"/>
      <c r="K79" s="2700"/>
      <c r="L79" s="2700"/>
      <c r="N79" s="2701"/>
      <c r="O79" s="2700"/>
      <c r="P79" s="2700"/>
      <c r="Q79" s="2700"/>
      <c r="S79" s="2701"/>
      <c r="T79" s="2700"/>
      <c r="U79" s="2700"/>
      <c r="V79" s="2700"/>
    </row>
    <row r="80" spans="1:26" s="2698" customFormat="1">
      <c r="A80" s="2698" t="s">
        <v>2633</v>
      </c>
      <c r="G80" s="2699"/>
      <c r="N80" s="2699"/>
      <c r="S80" s="2699"/>
    </row>
    <row r="87" spans="7:22" ht="13.8" thickBot="1"/>
    <row r="88" spans="7:22">
      <c r="G88" s="2624"/>
      <c r="S88" s="2702" t="s">
        <v>2634</v>
      </c>
      <c r="T88" s="2703" t="s">
        <v>2635</v>
      </c>
      <c r="U88" s="2703" t="s">
        <v>2636</v>
      </c>
      <c r="V88" s="2703" t="s">
        <v>2637</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8"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2943</v>
      </c>
      <c r="B1" s="3053"/>
      <c r="C1" s="3053"/>
      <c r="D1" s="3053"/>
      <c r="E1" s="3053"/>
      <c r="F1" s="3053"/>
    </row>
    <row r="2" spans="1:6" ht="15.6">
      <c r="A2" s="3054" t="s">
        <v>2938</v>
      </c>
      <c r="B2" s="3055" t="e">
        <f ca="1">SUMIF(B7:B14,"&lt;&gt;#ref!",B7:B14)</f>
        <v>#DIV/0!</v>
      </c>
      <c r="C2" s="3054" t="s">
        <v>2939</v>
      </c>
      <c r="D2" s="3053"/>
      <c r="E2" s="3053"/>
      <c r="F2" s="3053"/>
    </row>
    <row r="3" spans="1:6" ht="15.6">
      <c r="A3" s="3054" t="s">
        <v>2971</v>
      </c>
      <c r="B3" s="3055" t="e">
        <f ca="1">ROUND(B2*10000/E3,0)</f>
        <v>#DIV/0!</v>
      </c>
      <c r="C3" s="3054" t="s">
        <v>2078</v>
      </c>
      <c r="D3" s="3054" t="s">
        <v>2940</v>
      </c>
      <c r="E3" s="3055">
        <f ca="1">SUMIF(E7:E14,"&lt;&gt;#ref!",E7:E14)</f>
        <v>0</v>
      </c>
      <c r="F3" s="3053"/>
    </row>
    <row r="4" spans="1:6" ht="15.6">
      <c r="A4" s="3054" t="s">
        <v>2947</v>
      </c>
      <c r="B4" s="3055" t="e">
        <f ca="1">ROUND(B2*10000/E4,0)</f>
        <v>#DIV/0!</v>
      </c>
      <c r="C4" s="3054" t="s">
        <v>2078</v>
      </c>
      <c r="D4" s="3054" t="s">
        <v>2948</v>
      </c>
      <c r="E4" s="3055">
        <f ca="1">SUMIF(F7:F14,"&lt;&gt;#ref!",F7:F14)</f>
        <v>0</v>
      </c>
      <c r="F4" s="3053"/>
    </row>
    <row r="5" spans="1:6" ht="15.6">
      <c r="A5" s="3056"/>
      <c r="B5" s="1864"/>
      <c r="C5" s="1864"/>
      <c r="D5" s="1864"/>
      <c r="E5" s="1864"/>
      <c r="F5" s="3053"/>
    </row>
    <row r="6" spans="1:6" ht="31.2">
      <c r="A6" s="3057" t="s">
        <v>2944</v>
      </c>
      <c r="B6" s="3054" t="s">
        <v>2941</v>
      </c>
      <c r="C6" s="3055"/>
      <c r="D6" s="1864"/>
      <c r="E6" s="3054" t="s">
        <v>2942</v>
      </c>
      <c r="F6" s="3054" t="s">
        <v>2946</v>
      </c>
    </row>
    <row r="7" spans="1:6" ht="15.6">
      <c r="A7" s="259" t="s">
        <v>2945</v>
      </c>
      <c r="B7" s="3058" t="e">
        <f ca="1">SUMIF(INDIRECT("'"&amp;A7&amp;"'"&amp;"!A:A"),"总价",INDIRECT("'"&amp;A7&amp;"'"&amp;"!B:B"))</f>
        <v>#DIV/0!</v>
      </c>
      <c r="C7" s="3054" t="s">
        <v>2939</v>
      </c>
      <c r="D7" s="1864"/>
      <c r="E7" s="3059">
        <f ca="1">SUMIF(INDIRECT("'"&amp;A7&amp;"'"&amp;"!C:C"),"建筑面积",INDIRECT("'"&amp;A7&amp;"'"&amp;"!D:D"))</f>
        <v>0</v>
      </c>
      <c r="F7" s="3059">
        <f ca="1">SUMIF(INDIRECT("'"&amp;A7&amp;"'"&amp;"!E:E"),"土地面积",INDIRECT("'"&amp;A7&amp;"'"&amp;"!F:F"))</f>
        <v>0</v>
      </c>
    </row>
    <row r="8" spans="1:6" ht="15.6">
      <c r="A8" s="259"/>
      <c r="B8" s="3058" t="e">
        <f t="shared" ref="B8:B14" ca="1" si="0">SUMIF(INDIRECT("'"&amp;A8&amp;"'"&amp;"!A:A"),"总价",INDIRECT("'"&amp;A8&amp;"'"&amp;"!B:B"))</f>
        <v>#REF!</v>
      </c>
      <c r="C8" s="3054" t="s">
        <v>2939</v>
      </c>
      <c r="D8" s="1864"/>
      <c r="E8" s="3059" t="e">
        <f t="shared" ref="E8:E14" ca="1" si="1">SUMIF(INDIRECT("'"&amp;A8&amp;"'"&amp;"!C:C"),"建筑面积",INDIRECT("'"&amp;A8&amp;"'"&amp;"!D:D"))</f>
        <v>#REF!</v>
      </c>
      <c r="F8" s="3059" t="e">
        <f t="shared" ref="F8:F14" ca="1" si="2">SUMIF(INDIRECT("'"&amp;A8&amp;"'"&amp;"!E:E"),"土地面积",INDIRECT("'"&amp;A8&amp;"'"&amp;"!F:F"))</f>
        <v>#REF!</v>
      </c>
    </row>
    <row r="9" spans="1:6" ht="15.6">
      <c r="A9" s="259"/>
      <c r="B9" s="3058" t="e">
        <f t="shared" ca="1" si="0"/>
        <v>#REF!</v>
      </c>
      <c r="C9" s="3054" t="s">
        <v>2939</v>
      </c>
      <c r="D9" s="1864"/>
      <c r="E9" s="3059" t="e">
        <f t="shared" ca="1" si="1"/>
        <v>#REF!</v>
      </c>
      <c r="F9" s="3059" t="e">
        <f t="shared" ca="1" si="2"/>
        <v>#REF!</v>
      </c>
    </row>
    <row r="10" spans="1:6" ht="15.6">
      <c r="A10" s="259"/>
      <c r="B10" s="3058" t="e">
        <f t="shared" ca="1" si="0"/>
        <v>#REF!</v>
      </c>
      <c r="C10" s="3054" t="s">
        <v>2939</v>
      </c>
      <c r="D10" s="1864"/>
      <c r="E10" s="3059" t="e">
        <f t="shared" ca="1" si="1"/>
        <v>#REF!</v>
      </c>
      <c r="F10" s="3059" t="e">
        <f t="shared" ca="1" si="2"/>
        <v>#REF!</v>
      </c>
    </row>
    <row r="11" spans="1:6" ht="15.6">
      <c r="A11" s="259"/>
      <c r="B11" s="3058" t="e">
        <f t="shared" ca="1" si="0"/>
        <v>#REF!</v>
      </c>
      <c r="C11" s="3054" t="s">
        <v>2939</v>
      </c>
      <c r="D11" s="1864"/>
      <c r="E11" s="3059" t="e">
        <f t="shared" ca="1" si="1"/>
        <v>#REF!</v>
      </c>
      <c r="F11" s="3059" t="e">
        <f t="shared" ca="1" si="2"/>
        <v>#REF!</v>
      </c>
    </row>
    <row r="12" spans="1:6" ht="15.6">
      <c r="A12" s="259"/>
      <c r="B12" s="3058" t="e">
        <f t="shared" ca="1" si="0"/>
        <v>#REF!</v>
      </c>
      <c r="C12" s="3054" t="s">
        <v>2939</v>
      </c>
      <c r="D12" s="1864"/>
      <c r="E12" s="3059" t="e">
        <f t="shared" ca="1" si="1"/>
        <v>#REF!</v>
      </c>
      <c r="F12" s="3059" t="e">
        <f t="shared" ca="1" si="2"/>
        <v>#REF!</v>
      </c>
    </row>
    <row r="13" spans="1:6" ht="15.6">
      <c r="A13" s="259"/>
      <c r="B13" s="3058" t="e">
        <f t="shared" ca="1" si="0"/>
        <v>#REF!</v>
      </c>
      <c r="C13" s="3054" t="s">
        <v>2939</v>
      </c>
      <c r="D13" s="1864"/>
      <c r="E13" s="3059" t="e">
        <f t="shared" ca="1" si="1"/>
        <v>#REF!</v>
      </c>
      <c r="F13" s="3059" t="e">
        <f t="shared" ca="1" si="2"/>
        <v>#REF!</v>
      </c>
    </row>
    <row r="14" spans="1:6" ht="15.6">
      <c r="A14" s="3052"/>
      <c r="B14" s="3058" t="e">
        <f t="shared" ca="1" si="0"/>
        <v>#REF!</v>
      </c>
      <c r="C14" s="3054" t="s">
        <v>2939</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1" t="s">
        <v>628</v>
      </c>
      <c r="B1" s="737"/>
      <c r="C1" s="772"/>
      <c r="D1" s="2033"/>
      <c r="E1" s="2349" t="s">
        <v>2373</v>
      </c>
      <c r="F1" s="2350">
        <f ca="1">J54</f>
        <v>-2</v>
      </c>
      <c r="G1" s="773">
        <f>MATCH(C1,'数据-取费表'!A6:A16,0)+5</f>
        <v>9</v>
      </c>
      <c r="H1" s="1344"/>
      <c r="I1" s="2034"/>
      <c r="J1" s="2034"/>
      <c r="K1" s="2035"/>
      <c r="L1" s="2034"/>
      <c r="M1" s="2034"/>
      <c r="N1" s="2036"/>
      <c r="O1" s="2036"/>
      <c r="P1" s="2036"/>
      <c r="Q1" s="2036"/>
      <c r="R1" s="2036"/>
      <c r="S1" s="2036"/>
      <c r="T1" s="2036"/>
      <c r="U1" s="2036"/>
      <c r="V1" s="2036"/>
      <c r="W1" s="2036"/>
      <c r="X1" s="2036"/>
      <c r="Y1" s="2036"/>
    </row>
    <row r="2" spans="1:25" ht="18" customHeight="1">
      <c r="A2" s="1628" t="s">
        <v>629</v>
      </c>
      <c r="B2" s="774">
        <f ca="1">IF(ISERROR(C45+J31),0,C45+J31)</f>
        <v>0</v>
      </c>
      <c r="C2" s="1345"/>
      <c r="D2" s="2038"/>
      <c r="E2" s="2039"/>
      <c r="F2" s="2039"/>
      <c r="G2" s="1575"/>
      <c r="H2" s="1357"/>
      <c r="I2" s="2040"/>
      <c r="J2" s="2040"/>
      <c r="K2" s="2041"/>
      <c r="L2" s="2040"/>
      <c r="M2" s="2040"/>
    </row>
    <row r="3" spans="1:25" ht="18" customHeight="1">
      <c r="A3" s="1629" t="s">
        <v>1686</v>
      </c>
      <c r="B3" s="1386">
        <f ca="1">ROUND(B2*10000/'数据-汇总表'!E3,0)</f>
        <v>0</v>
      </c>
      <c r="C3" s="1345"/>
      <c r="D3" s="2038"/>
      <c r="E3" s="2039"/>
      <c r="F3" s="2039"/>
      <c r="G3" s="1575"/>
      <c r="H3" s="775" t="s">
        <v>695</v>
      </c>
      <c r="I3" s="2040"/>
      <c r="J3" s="2040"/>
      <c r="K3" s="2041"/>
      <c r="L3" s="2040"/>
      <c r="M3" s="2040"/>
    </row>
    <row r="4" spans="1:25" ht="18" customHeight="1">
      <c r="A4" s="1630" t="s">
        <v>696</v>
      </c>
      <c r="B4" s="1346">
        <f ca="1">ROUND(B2*10000/'数据-汇总表'!D3,0)</f>
        <v>0</v>
      </c>
      <c r="C4" s="427"/>
      <c r="D4" s="2038"/>
      <c r="E4" s="2039"/>
      <c r="F4" s="2039"/>
      <c r="G4" s="1575"/>
      <c r="H4" s="775"/>
      <c r="I4" s="2040"/>
      <c r="J4" s="2040"/>
      <c r="K4" s="2041"/>
      <c r="L4" s="2040"/>
      <c r="M4" s="2040"/>
    </row>
    <row r="5" spans="1:25" ht="18" customHeight="1" thickBot="1">
      <c r="A5" s="1631"/>
      <c r="B5" s="429">
        <f ca="1">ROUND(B2/('数据-汇总表'!D3/666.67),0)</f>
        <v>0</v>
      </c>
      <c r="C5" s="430" t="s">
        <v>697</v>
      </c>
      <c r="D5" s="2038"/>
      <c r="E5" s="2039"/>
      <c r="F5" s="2039"/>
      <c r="G5" s="1575"/>
      <c r="H5" s="775"/>
      <c r="I5" s="2040"/>
      <c r="J5" s="2040"/>
      <c r="K5" s="2041"/>
      <c r="L5" s="2040"/>
      <c r="M5" s="2040"/>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2457</v>
      </c>
      <c r="C7" s="53">
        <f ca="1">C8+C12+C14</f>
        <v>0</v>
      </c>
      <c r="D7" s="2458" t="s">
        <v>2460</v>
      </c>
      <c r="E7" s="2452"/>
      <c r="F7" s="2453"/>
      <c r="G7" s="1577"/>
      <c r="H7" s="780">
        <v>1</v>
      </c>
      <c r="I7" s="781" t="s">
        <v>2457</v>
      </c>
      <c r="J7" s="53">
        <f ca="1">J8+J12+J14</f>
        <v>0</v>
      </c>
      <c r="K7" s="2458" t="s">
        <v>2460</v>
      </c>
      <c r="L7" s="2452"/>
      <c r="M7" s="2453"/>
    </row>
    <row r="8" spans="1:25" ht="18" customHeight="1">
      <c r="A8" s="1813" t="s">
        <v>1824</v>
      </c>
      <c r="B8" s="3465" t="s">
        <v>2462</v>
      </c>
      <c r="C8" s="1808">
        <f ca="1">ROUND(F8*F10*F9*(1-F11)/10000,0)</f>
        <v>0</v>
      </c>
      <c r="D8" s="1805" t="s">
        <v>2533</v>
      </c>
      <c r="E8" s="61" t="s">
        <v>637</v>
      </c>
      <c r="F8" s="784">
        <f ca="1">INDIRECT("'数据-取费表'!u"&amp;$G$1)</f>
        <v>0</v>
      </c>
      <c r="G8" s="1577"/>
      <c r="H8" s="2466" t="s">
        <v>1824</v>
      </c>
      <c r="I8" s="3465" t="s">
        <v>2462</v>
      </c>
      <c r="J8" s="782">
        <f ca="1">ROUND(M8*M10*M9*(1-M11)/10000,0)</f>
        <v>0</v>
      </c>
      <c r="K8" s="340" t="s">
        <v>2533</v>
      </c>
      <c r="L8" s="783" t="s">
        <v>1738</v>
      </c>
      <c r="M8" s="784">
        <f ca="1">INDIRECT("'数据-取费表'!z"&amp;$G$1)</f>
        <v>0</v>
      </c>
    </row>
    <row r="9" spans="1:25" ht="18" customHeight="1">
      <c r="A9" s="2462"/>
      <c r="B9" s="3466"/>
      <c r="C9" s="1809"/>
      <c r="D9" s="1806"/>
      <c r="E9" s="61" t="s">
        <v>638</v>
      </c>
      <c r="F9" s="784">
        <f ca="1">IF(INDIRECT("'数据-取费表'!ah"&amp;$G$1)="",INDIRECT("'数据-取费表'!k"&amp;$G$1),INDIRECT("'数据-取费表'!ah"&amp;$G$1))</f>
        <v>0</v>
      </c>
      <c r="G9" s="1577"/>
      <c r="H9" s="2451"/>
      <c r="I9" s="3466"/>
      <c r="J9" s="787"/>
      <c r="K9" s="788"/>
      <c r="L9" s="783" t="s">
        <v>1739</v>
      </c>
      <c r="M9" s="784">
        <f ca="1">F9</f>
        <v>0</v>
      </c>
    </row>
    <row r="10" spans="1:25" ht="18" customHeight="1">
      <c r="A10" s="2455"/>
      <c r="B10" s="3467"/>
      <c r="C10" s="1809"/>
      <c r="D10" s="1806"/>
      <c r="E10" s="61" t="s">
        <v>639</v>
      </c>
      <c r="F10" s="784">
        <f ca="1">INDIRECT("'数据-取费表'!ai"&amp;$G$1)</f>
        <v>0</v>
      </c>
      <c r="G10" s="1577"/>
      <c r="H10" s="2451"/>
      <c r="I10" s="3467"/>
      <c r="J10" s="787"/>
      <c r="K10" s="788"/>
      <c r="L10" s="783" t="s">
        <v>1740</v>
      </c>
      <c r="M10" s="784">
        <f ca="1">INDIRECT("'数据-取费表'!ai"&amp;$G$1)</f>
        <v>0</v>
      </c>
    </row>
    <row r="11" spans="1:25" ht="18" customHeight="1">
      <c r="A11" s="785"/>
      <c r="B11" s="3468"/>
      <c r="C11" s="1809"/>
      <c r="D11" s="1806"/>
      <c r="E11" s="61" t="s">
        <v>640</v>
      </c>
      <c r="F11" s="793">
        <f ca="1">INDIRECT("'数据-取费表'!w"&amp;$G$1)</f>
        <v>0</v>
      </c>
      <c r="G11" s="1577"/>
      <c r="H11" s="2467"/>
      <c r="I11" s="3467"/>
      <c r="J11" s="787"/>
      <c r="K11" s="788"/>
      <c r="L11" s="794" t="s">
        <v>1741</v>
      </c>
      <c r="M11" s="795">
        <f ca="1">INDIRECT("'数据-取费表'!ab"&amp;$G$1)</f>
        <v>0</v>
      </c>
    </row>
    <row r="12" spans="1:25" ht="18" customHeight="1">
      <c r="A12" s="1813" t="s">
        <v>1825</v>
      </c>
      <c r="B12" s="2456" t="s">
        <v>2458</v>
      </c>
      <c r="C12" s="798">
        <f ca="1">ROUND(IF(F12="押一",C8/12*F13,IF(F12="押二",C8/12*2*F13,IF(F12="押三",C8/12*3*F13,C13*F13))),0)</f>
        <v>0</v>
      </c>
      <c r="D12" s="2463" t="s">
        <v>2968</v>
      </c>
      <c r="E12" s="2460" t="s">
        <v>2463</v>
      </c>
      <c r="F12" s="2583"/>
      <c r="G12" s="1577"/>
      <c r="H12" s="2523" t="s">
        <v>1825</v>
      </c>
      <c r="I12" s="2528" t="s">
        <v>2458</v>
      </c>
      <c r="J12" s="782">
        <f ca="1">ROUND(IF(M12="押一",J8/12*M13,IF(M12="押二",J8/12*2*M13,IF(M12="押三",J8/12*3*M13,J13*M13))),0)</f>
        <v>0</v>
      </c>
      <c r="K12" s="2463" t="s">
        <v>2968</v>
      </c>
      <c r="L12" s="2460" t="s">
        <v>2463</v>
      </c>
      <c r="M12" s="2583"/>
    </row>
    <row r="13" spans="1:25" ht="18" customHeight="1">
      <c r="A13" s="789"/>
      <c r="B13" s="2457" t="s">
        <v>2572</v>
      </c>
      <c r="C13" s="2461"/>
      <c r="D13" s="788"/>
      <c r="E13" s="2460" t="s">
        <v>2455</v>
      </c>
      <c r="F13" s="795">
        <f ca="1">'数据-取费表'!B39</f>
        <v>1.4999999999999999E-2</v>
      </c>
      <c r="G13" s="1577"/>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7"/>
      <c r="H14" s="2513" t="s">
        <v>2466</v>
      </c>
      <c r="I14" s="2526" t="s">
        <v>2459</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7"/>
      <c r="H16" s="802" t="s">
        <v>2069</v>
      </c>
      <c r="I16" s="2214" t="s">
        <v>2824</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0.05</v>
      </c>
      <c r="G17" s="1578"/>
      <c r="H17" s="802" t="s">
        <v>2070</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220</v>
      </c>
      <c r="G19" s="1578"/>
      <c r="H19" s="802" t="s">
        <v>2069</v>
      </c>
      <c r="I19" s="783" t="s">
        <v>656</v>
      </c>
      <c r="J19" s="53">
        <f ca="1">ROUND(IF(项目基本情况!B11="自然人",J7*M19,J20+J21+J22),0)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7"/>
      <c r="H21" s="1813" t="s">
        <v>1849</v>
      </c>
      <c r="I21" s="783" t="s">
        <v>664</v>
      </c>
      <c r="J21" s="53">
        <f ca="1">IF(K21="按租金收入计税",ROUND(J7*M21,1),ROUND(C31*F35*0.7,1))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8"/>
      <c r="H22" s="1815" t="s">
        <v>1850</v>
      </c>
      <c r="I22" s="1805" t="s">
        <v>668</v>
      </c>
      <c r="J22" s="54">
        <f ca="1">ROUND(M22*M23/10000,0)</f>
        <v>0</v>
      </c>
      <c r="K22" s="813" t="s">
        <v>669</v>
      </c>
      <c r="L22" s="783" t="s">
        <v>670</v>
      </c>
      <c r="M22" s="639">
        <f>'数据-取费表'!B52</f>
        <v>18</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8"/>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7"/>
      <c r="H24" s="1814" t="s">
        <v>2070</v>
      </c>
      <c r="I24" s="783" t="s">
        <v>676</v>
      </c>
      <c r="J24" s="53">
        <f ca="1">ROUND(J16*M24,0)</f>
        <v>0</v>
      </c>
      <c r="K24" s="1960" t="s">
        <v>677</v>
      </c>
      <c r="L24" s="783" t="s">
        <v>649</v>
      </c>
      <c r="M24" s="816">
        <f ca="1">INDIRECT("'数据-取费表'!Ak"&amp;$G$1)</f>
        <v>0</v>
      </c>
    </row>
    <row r="25" spans="1:25" s="2047" customFormat="1" ht="18" customHeight="1">
      <c r="A25" s="802" t="s">
        <v>1875</v>
      </c>
      <c r="B25" s="783" t="s">
        <v>2436</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1E-3</v>
      </c>
      <c r="D26" s="2533"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7"/>
      <c r="H27" s="796" t="s">
        <v>1828</v>
      </c>
      <c r="I27" s="2961" t="s">
        <v>2821</v>
      </c>
      <c r="J27" s="798">
        <f ca="1">J7-J18</f>
        <v>0</v>
      </c>
      <c r="K27" s="1962" t="s">
        <v>700</v>
      </c>
      <c r="L27" s="1964"/>
      <c r="M27" s="819"/>
    </row>
    <row r="28" spans="1:25" ht="18" customHeight="1">
      <c r="A28" s="802" t="s">
        <v>1875</v>
      </c>
      <c r="B28" s="783" t="s">
        <v>2437</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2822</v>
      </c>
      <c r="C31" s="2506">
        <f ca="1">ROUND((C21+C22+C25+C28)/(1-F23-C26-C29-C30),0)</f>
        <v>0</v>
      </c>
      <c r="D31" s="2507"/>
      <c r="E31" s="2508"/>
      <c r="F31" s="2509"/>
      <c r="G31" s="1578"/>
      <c r="H31" s="822" t="s">
        <v>1872</v>
      </c>
      <c r="I31" s="2962" t="s">
        <v>2823</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ROUND(IF(项目基本情况!B11="自然人",C7*F33,C34+C35+C36),1)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ROUND(C7*F34/1.05,1)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18</v>
      </c>
      <c r="G36" s="2045"/>
      <c r="H36" s="2048"/>
      <c r="I36" s="3464"/>
      <c r="J36" s="2062"/>
      <c r="K36" s="2063"/>
      <c r="L36" s="2062"/>
      <c r="M36" s="2062"/>
    </row>
    <row r="37" spans="1:18" ht="18" customHeight="1">
      <c r="A37" s="814"/>
      <c r="B37" s="792"/>
      <c r="C37" s="69"/>
      <c r="D37" s="815"/>
      <c r="E37" s="783" t="s">
        <v>674</v>
      </c>
      <c r="F37" s="784">
        <f ca="1">INDIRECT("'数据-取费表'!r"&amp;$G$1)</f>
        <v>0</v>
      </c>
      <c r="G37" s="2045"/>
      <c r="H37" s="2048"/>
      <c r="I37" s="3464"/>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0" t="s">
        <v>712</v>
      </c>
      <c r="E43" s="3070" t="s">
        <v>2956</v>
      </c>
      <c r="F43" s="3071">
        <f ca="1">INDIRECT("'数据-取费表'!j"&amp;$G$1)</f>
        <v>0</v>
      </c>
      <c r="G43" s="2045"/>
      <c r="H43" s="2045"/>
      <c r="I43" s="2045"/>
      <c r="J43" s="2045"/>
      <c r="K43" s="2066"/>
      <c r="L43" s="2045"/>
      <c r="M43" s="2045"/>
    </row>
    <row r="44" spans="1:18" ht="18" customHeight="1">
      <c r="A44" s="802" t="s">
        <v>1878</v>
      </c>
      <c r="B44" s="834" t="s">
        <v>713</v>
      </c>
      <c r="C44" s="1351">
        <f ca="1">C42-C43</f>
        <v>0</v>
      </c>
      <c r="D44" s="462" t="s">
        <v>714</v>
      </c>
      <c r="E44" s="463"/>
      <c r="F44" s="464"/>
      <c r="G44" s="2045"/>
      <c r="H44" s="2045"/>
      <c r="I44" s="2045"/>
      <c r="J44" s="2045"/>
      <c r="K44" s="2066"/>
      <c r="L44" s="2045"/>
      <c r="M44" s="2045"/>
    </row>
    <row r="45" spans="1:18" ht="18" customHeight="1">
      <c r="A45" s="802" t="s">
        <v>1879</v>
      </c>
      <c r="B45" s="1350" t="s">
        <v>715</v>
      </c>
      <c r="C45" s="2988">
        <f ca="1">ROUND(-PV(F45,F46,C44,0),0)</f>
        <v>0</v>
      </c>
      <c r="D45" s="1352" t="s">
        <v>716</v>
      </c>
      <c r="E45" s="805" t="s">
        <v>717</v>
      </c>
      <c r="F45" s="829">
        <f ca="1">INDIRECT("'数据-取费表'!h"&amp;$G$1)</f>
        <v>0</v>
      </c>
      <c r="G45" s="2045"/>
      <c r="H45" s="2045"/>
      <c r="I45" s="2045"/>
      <c r="J45" s="2045"/>
      <c r="K45" s="2066"/>
      <c r="L45" s="2045"/>
      <c r="M45" s="2045"/>
    </row>
    <row r="46" spans="1:18" ht="18" customHeight="1" thickBot="1">
      <c r="A46" s="830"/>
      <c r="B46" s="1353"/>
      <c r="C46" s="1354"/>
      <c r="D46" s="1355"/>
      <c r="E46" s="3072" t="s">
        <v>2959</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3105" t="str">
        <f ca="1">IF(M48="住宅",0,IF(L49&gt;J52,L61,J61))</f>
        <v>0</v>
      </c>
      <c r="O47" s="2356" t="s">
        <v>2409</v>
      </c>
      <c r="P47" s="1577"/>
      <c r="Q47" s="1588"/>
      <c r="R47" s="1577"/>
    </row>
    <row r="48" spans="1:18" s="2042" customFormat="1" ht="18" customHeight="1" thickBot="1">
      <c r="A48" s="2067"/>
      <c r="C48" s="2070"/>
      <c r="D48" s="2071"/>
      <c r="E48" s="2071"/>
      <c r="F48" s="2072"/>
      <c r="G48" s="2073"/>
      <c r="I48" s="3095" t="s">
        <v>2343</v>
      </c>
      <c r="J48" s="2343"/>
      <c r="K48" s="3102" t="s">
        <v>2348</v>
      </c>
      <c r="L48" s="3106">
        <f ca="1">INDIRECT("'数据-取费表'!d"&amp;$G$1)</f>
        <v>0</v>
      </c>
      <c r="M48" s="3069"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3074" t="s">
        <v>2344</v>
      </c>
      <c r="J49" s="2344"/>
      <c r="K49" s="3103"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3074" t="s">
        <v>2345</v>
      </c>
      <c r="J50" s="2345"/>
      <c r="K50" s="3104" t="s">
        <v>2351</v>
      </c>
      <c r="L50" s="2346"/>
      <c r="O50" s="2360" t="s">
        <v>2380</v>
      </c>
      <c r="P50" s="2361" t="s">
        <v>2405</v>
      </c>
      <c r="Q50" s="2362" t="str">
        <f ca="1">J61</f>
        <v>0</v>
      </c>
      <c r="R50" s="2361" t="s">
        <v>2381</v>
      </c>
    </row>
    <row r="51" spans="1:18" s="2042" customFormat="1" ht="18" customHeight="1" thickBot="1">
      <c r="A51" s="2079"/>
      <c r="D51" s="2077"/>
      <c r="E51" s="2077"/>
      <c r="F51" s="2068"/>
      <c r="H51" s="2076"/>
      <c r="I51" s="3074" t="s">
        <v>2346</v>
      </c>
      <c r="J51" s="3099">
        <f>SUMPRODUCT((I64:I66=J48)*(J63:L63=J49)*(J64:L66))</f>
        <v>0</v>
      </c>
      <c r="K51" s="3104" t="s">
        <v>2352</v>
      </c>
      <c r="L51" s="2346"/>
      <c r="O51" s="2363" t="s">
        <v>2382</v>
      </c>
      <c r="P51" s="2361" t="s">
        <v>2406</v>
      </c>
      <c r="Q51" s="2362">
        <f ca="1">C31</f>
        <v>0</v>
      </c>
      <c r="R51" s="2361" t="s">
        <v>2379</v>
      </c>
    </row>
    <row r="52" spans="1:18" s="2042" customFormat="1" ht="18" customHeight="1" thickBot="1">
      <c r="A52" s="2079"/>
      <c r="F52" s="2068"/>
      <c r="I52" s="3096" t="s">
        <v>2347</v>
      </c>
      <c r="J52" s="3100">
        <f>IF(J50="",J51,J50+J51-YEAR('数据-取费表'!B3))</f>
        <v>0</v>
      </c>
      <c r="K52" s="3074" t="s">
        <v>2353</v>
      </c>
      <c r="L52" s="3107">
        <f ca="1">ROUND(-PV(INDIRECT("'数据-取费表'!h"&amp;$G$1),L49,(C40-C14*J36),0),0)</f>
        <v>0</v>
      </c>
      <c r="O52" s="2363" t="s">
        <v>2383</v>
      </c>
      <c r="P52" s="2361" t="s">
        <v>2384</v>
      </c>
      <c r="Q52" s="2364" t="e">
        <f ca="1">J59</f>
        <v>#VALUE!</v>
      </c>
      <c r="R52" s="2365"/>
    </row>
    <row r="53" spans="1:18" s="2042" customFormat="1" ht="18" customHeight="1" thickBot="1">
      <c r="A53" s="2079"/>
      <c r="F53" s="2068"/>
      <c r="I53" s="3097" t="s">
        <v>2420</v>
      </c>
      <c r="J53" s="2347"/>
      <c r="K53" s="3097" t="s">
        <v>2419</v>
      </c>
      <c r="L53" s="2347"/>
      <c r="O53" s="2363" t="s">
        <v>2385</v>
      </c>
      <c r="P53" s="2361" t="s">
        <v>2386</v>
      </c>
      <c r="Q53" s="2364">
        <f>J53</f>
        <v>0</v>
      </c>
      <c r="R53" s="2365"/>
    </row>
    <row r="54" spans="1:18" s="2042" customFormat="1" ht="31.8" thickBot="1">
      <c r="A54" s="2079"/>
      <c r="I54" s="3098" t="s">
        <v>2972</v>
      </c>
      <c r="J54" s="3101">
        <f ca="1">IF(M48="住宅",MAX(J52,L49-'数据-取费表'!B20),MIN(J52,L49-'数据-取费表'!B20))</f>
        <v>-2</v>
      </c>
      <c r="K54" s="3469"/>
      <c r="L54" s="3470"/>
      <c r="O54" s="2363" t="s">
        <v>2387</v>
      </c>
      <c r="P54" s="2361" t="s">
        <v>2388</v>
      </c>
      <c r="Q54" s="2362">
        <f ca="1">J54</f>
        <v>-2</v>
      </c>
      <c r="R54" s="2361" t="s">
        <v>2389</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2390</v>
      </c>
      <c r="P55" s="2361" t="s">
        <v>2407</v>
      </c>
      <c r="Q55" s="2362">
        <f ca="1">Q49+Q50</f>
        <v>0</v>
      </c>
      <c r="R55" s="2365" t="s">
        <v>2391</v>
      </c>
    </row>
    <row r="56" spans="1:18" s="2042" customFormat="1" ht="16.2" thickBot="1">
      <c r="A56" s="2079"/>
      <c r="B56" s="2080"/>
      <c r="C56" s="2080"/>
      <c r="I56" s="3110" t="s">
        <v>2354</v>
      </c>
      <c r="J56" s="3049" t="e">
        <f ca="1">ROUND(IF(J48="钢混",J58/J51,1-(1-2%)*(J51-J58)/J51),3)</f>
        <v>#VALUE!</v>
      </c>
      <c r="K56" s="3111" t="s">
        <v>2355</v>
      </c>
      <c r="L56" s="2348"/>
      <c r="O56" s="2366" t="s">
        <v>2410</v>
      </c>
      <c r="P56" s="1577"/>
      <c r="Q56" s="1588"/>
      <c r="R56" s="1577"/>
    </row>
    <row r="57" spans="1:18" s="2042" customFormat="1" ht="47.4" thickBot="1">
      <c r="A57" s="2079"/>
      <c r="B57" s="2080"/>
      <c r="C57" s="2080"/>
      <c r="I57" s="3112" t="s">
        <v>2356</v>
      </c>
      <c r="J57" s="3122" t="s">
        <v>1678</v>
      </c>
      <c r="K57" s="3074" t="s">
        <v>2361</v>
      </c>
      <c r="L57" s="1891">
        <f ca="1">IF(L49&lt;J52,"——",L49-J52)</f>
        <v>0</v>
      </c>
      <c r="O57" s="2357" t="s">
        <v>2374</v>
      </c>
      <c r="P57" s="2358" t="s">
        <v>2375</v>
      </c>
      <c r="Q57" s="2359" t="s">
        <v>2376</v>
      </c>
      <c r="R57" s="2358" t="s">
        <v>2377</v>
      </c>
    </row>
    <row r="58" spans="1:18" s="2042" customFormat="1" ht="31.8" thickBot="1">
      <c r="A58" s="2079"/>
      <c r="B58" s="2080"/>
      <c r="C58" s="2080"/>
      <c r="I58" s="3113" t="s">
        <v>2357</v>
      </c>
      <c r="J58" s="3114" t="str">
        <f ca="1">IF(OR(M48="住宅",J52&lt;L49,J57="是"),"——",J52-L49)</f>
        <v>——</v>
      </c>
      <c r="K58" s="3074" t="s">
        <v>2362</v>
      </c>
      <c r="L58" s="1891">
        <f ca="1">IF(L49&lt;J52,"——",IF(L56="比较法",L50,IF(L56="基准地价",L51,L52)))</f>
        <v>0</v>
      </c>
      <c r="O58" s="2360" t="s">
        <v>2378</v>
      </c>
      <c r="P58" s="2361" t="s">
        <v>2404</v>
      </c>
      <c r="Q58" s="2362">
        <f ca="1">C41+J31</f>
        <v>0</v>
      </c>
      <c r="R58" s="2361" t="s">
        <v>2379</v>
      </c>
    </row>
    <row r="59" spans="1:18" s="2042" customFormat="1" ht="31.8" thickBot="1">
      <c r="A59" s="2079"/>
      <c r="B59" s="2080"/>
      <c r="C59" s="2080"/>
      <c r="I59" s="3113" t="s">
        <v>2358</v>
      </c>
      <c r="J59" s="3050" t="e">
        <f ca="1">IF(J56&lt;0.4,0.4,J56)</f>
        <v>#VALUE!</v>
      </c>
      <c r="K59" s="3074"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31.8" thickBot="1">
      <c r="A60" s="2079"/>
      <c r="B60" s="2080"/>
      <c r="C60" s="2080"/>
      <c r="I60" s="3113" t="s">
        <v>2359</v>
      </c>
      <c r="J60" s="3114" t="str">
        <f ca="1">IF(OR(M48="住宅",J52&lt;L49,J57="是"),"——",ROUND(C30*J59,0))</f>
        <v>——</v>
      </c>
      <c r="K60" s="3074"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6.2" thickBot="1">
      <c r="A61" s="2079"/>
      <c r="B61" s="2080"/>
      <c r="C61" s="2080"/>
      <c r="I61" s="3115" t="s">
        <v>2360</v>
      </c>
      <c r="J61" s="3116" t="str">
        <f ca="1">IF(OR(M48="住宅",J52&lt;L49,J57="是"),"0",ROUND(J60/(1+J53)^J54,0))</f>
        <v>0</v>
      </c>
      <c r="K61" s="3117" t="s">
        <v>2365</v>
      </c>
      <c r="L61" s="3116" t="e">
        <f ca="1">IF(OR(M48="住宅",L49&lt;J52),0,ROUND(L58*(L59/L60-1),0))</f>
        <v>#DIV/0!</v>
      </c>
      <c r="O61" s="2363" t="s">
        <v>2383</v>
      </c>
      <c r="P61" s="2361" t="s">
        <v>2392</v>
      </c>
      <c r="Q61" s="2364">
        <f>L53</f>
        <v>0</v>
      </c>
      <c r="R61" s="2365"/>
    </row>
    <row r="62" spans="1:18" s="2042" customFormat="1" ht="19.2" thickBot="1">
      <c r="A62" s="2079"/>
      <c r="B62" s="2080"/>
      <c r="C62" s="2080"/>
      <c r="K62" s="2069"/>
      <c r="O62" s="2363" t="s">
        <v>2385</v>
      </c>
      <c r="P62" s="2361" t="s">
        <v>2393</v>
      </c>
      <c r="Q62" s="2362">
        <f ca="1">L59</f>
        <v>0</v>
      </c>
      <c r="R62" s="2365" t="s">
        <v>2394</v>
      </c>
    </row>
    <row r="63" spans="1:18" s="2042" customFormat="1" ht="19.2" thickBot="1">
      <c r="A63" s="2079"/>
      <c r="B63" s="2080"/>
      <c r="C63" s="2080"/>
      <c r="I63" s="3118" t="s">
        <v>2366</v>
      </c>
      <c r="J63" s="3119" t="s">
        <v>2367</v>
      </c>
      <c r="K63" s="3119" t="s">
        <v>2368</v>
      </c>
      <c r="L63" s="3119" t="s">
        <v>2349</v>
      </c>
      <c r="M63" s="3120" t="s">
        <v>2937</v>
      </c>
      <c r="O63" s="2363" t="s">
        <v>2387</v>
      </c>
      <c r="P63" s="2361" t="s">
        <v>2395</v>
      </c>
      <c r="Q63" s="2362">
        <f ca="1">L60</f>
        <v>0</v>
      </c>
      <c r="R63" s="2365" t="s">
        <v>2396</v>
      </c>
    </row>
    <row r="64" spans="1:18" s="2042" customFormat="1" ht="16.2" thickBot="1">
      <c r="A64" s="2079"/>
      <c r="B64" s="2080"/>
      <c r="C64" s="2080"/>
      <c r="I64" s="3118" t="s">
        <v>2369</v>
      </c>
      <c r="J64" s="3119">
        <v>70</v>
      </c>
      <c r="K64" s="3119">
        <v>50</v>
      </c>
      <c r="L64" s="3119">
        <v>80</v>
      </c>
      <c r="M64" s="3121">
        <v>0.02</v>
      </c>
      <c r="O64" s="2360" t="s">
        <v>2390</v>
      </c>
      <c r="P64" s="2361" t="s">
        <v>2407</v>
      </c>
      <c r="Q64" s="2362" t="e">
        <f ca="1">Q58+Q59</f>
        <v>#DIV/0!</v>
      </c>
      <c r="R64" s="2365" t="s">
        <v>2391</v>
      </c>
    </row>
    <row r="65" spans="1:18" s="2042" customFormat="1" ht="16.2" thickBot="1">
      <c r="A65" s="2079"/>
      <c r="B65" s="2080"/>
      <c r="C65" s="2080"/>
      <c r="I65" s="3118" t="s">
        <v>2370</v>
      </c>
      <c r="J65" s="3119">
        <v>50</v>
      </c>
      <c r="K65" s="3119">
        <v>35</v>
      </c>
      <c r="L65" s="3119">
        <v>60</v>
      </c>
      <c r="M65" s="845">
        <v>0</v>
      </c>
      <c r="O65" s="2366" t="s">
        <v>2414</v>
      </c>
      <c r="P65" s="1577"/>
      <c r="Q65" s="1588"/>
      <c r="R65" s="1577"/>
    </row>
    <row r="66" spans="1:18" s="2042" customFormat="1" ht="16.2" thickBot="1">
      <c r="A66" s="2079"/>
      <c r="B66" s="2080"/>
      <c r="C66" s="2080"/>
      <c r="I66" s="3118" t="s">
        <v>2371</v>
      </c>
      <c r="J66" s="3119">
        <v>40</v>
      </c>
      <c r="K66" s="3119">
        <v>30</v>
      </c>
      <c r="L66" s="3119">
        <v>50</v>
      </c>
      <c r="M66" s="3121">
        <v>0.02</v>
      </c>
      <c r="O66" s="2357" t="s">
        <v>2374</v>
      </c>
      <c r="P66" s="2358" t="s">
        <v>2375</v>
      </c>
      <c r="Q66" s="2359" t="s">
        <v>2376</v>
      </c>
      <c r="R66" s="2358" t="s">
        <v>2377</v>
      </c>
    </row>
    <row r="67" spans="1:18" s="2042" customFormat="1" ht="16.2" thickBot="1">
      <c r="A67" s="2079"/>
      <c r="B67" s="2080"/>
      <c r="C67" s="2080"/>
      <c r="K67" s="2069"/>
      <c r="O67" s="2360" t="s">
        <v>2378</v>
      </c>
      <c r="P67" s="2361" t="s">
        <v>2404</v>
      </c>
      <c r="Q67" s="2362">
        <f ca="1">C41+J31</f>
        <v>0</v>
      </c>
      <c r="R67" s="2361" t="s">
        <v>2379</v>
      </c>
    </row>
    <row r="68" spans="1:18" s="2042" customFormat="1" ht="19.2" thickBot="1">
      <c r="A68" s="2079"/>
      <c r="B68" s="2080"/>
      <c r="C68" s="2080"/>
      <c r="K68" s="2069"/>
      <c r="O68" s="2360" t="s">
        <v>2380</v>
      </c>
      <c r="P68" s="2361" t="s">
        <v>2411</v>
      </c>
      <c r="Q68" s="2362" t="e">
        <f ca="1">L61</f>
        <v>#DIV/0!</v>
      </c>
      <c r="R68" s="2365" t="s">
        <v>2413</v>
      </c>
    </row>
    <row r="69" spans="1:18" s="2042" customFormat="1" ht="20.399999999999999" thickBot="1">
      <c r="A69" s="2079"/>
      <c r="B69" s="2080"/>
      <c r="C69" s="2080"/>
      <c r="K69" s="2069"/>
      <c r="O69" s="2363" t="s">
        <v>2382</v>
      </c>
      <c r="P69" s="2361" t="s">
        <v>2412</v>
      </c>
      <c r="Q69" s="2367">
        <f ca="1">L52</f>
        <v>0</v>
      </c>
      <c r="R69" s="2368" t="s">
        <v>2415</v>
      </c>
    </row>
    <row r="70" spans="1:18" s="2042" customFormat="1" ht="19.2" thickBot="1">
      <c r="A70" s="2079"/>
      <c r="B70" s="2080"/>
      <c r="C70" s="2080"/>
      <c r="K70" s="2069"/>
      <c r="O70" s="2363" t="s">
        <v>2383</v>
      </c>
      <c r="P70" s="2369" t="s">
        <v>2397</v>
      </c>
      <c r="Q70" s="2362">
        <f ca="1">ROUND(Q71-Q72*Q73,0)</f>
        <v>0</v>
      </c>
      <c r="R70" s="2365"/>
    </row>
    <row r="71" spans="1:18" s="2042" customFormat="1" ht="16.2" thickBot="1">
      <c r="A71" s="2079"/>
      <c r="B71" s="2080"/>
      <c r="C71" s="2080"/>
      <c r="K71" s="2069"/>
      <c r="O71" s="2363" t="s">
        <v>2398</v>
      </c>
      <c r="P71" s="2369" t="s">
        <v>2399</v>
      </c>
      <c r="Q71" s="2362">
        <f ca="1">C42</f>
        <v>0</v>
      </c>
      <c r="R71" s="2361" t="s">
        <v>2379</v>
      </c>
    </row>
    <row r="72" spans="1:18" s="2042" customFormat="1" ht="16.2" thickBot="1">
      <c r="A72" s="2079"/>
      <c r="B72" s="2080"/>
      <c r="C72" s="2080"/>
      <c r="K72" s="2069"/>
      <c r="O72" s="2363" t="s">
        <v>2400</v>
      </c>
      <c r="P72" s="2369" t="s">
        <v>2401</v>
      </c>
      <c r="Q72" s="2362">
        <f ca="1">C15</f>
        <v>0</v>
      </c>
      <c r="R72" s="2361" t="s">
        <v>2379</v>
      </c>
    </row>
    <row r="73" spans="1:18" s="2042" customFormat="1" ht="16.2" thickBot="1">
      <c r="A73" s="2079"/>
      <c r="B73" s="2080"/>
      <c r="C73" s="2080"/>
      <c r="K73" s="2069"/>
      <c r="O73" s="2363" t="s">
        <v>2402</v>
      </c>
      <c r="P73" s="2369" t="s">
        <v>2403</v>
      </c>
      <c r="Q73" s="2364">
        <f ca="1">F43</f>
        <v>0</v>
      </c>
      <c r="R73" s="2365"/>
    </row>
    <row r="74" spans="1:18" s="2042" customFormat="1" ht="16.2" thickBot="1">
      <c r="A74" s="2079"/>
      <c r="B74" s="2080"/>
      <c r="C74" s="2080"/>
      <c r="K74" s="2069"/>
      <c r="O74" s="2363" t="s">
        <v>2385</v>
      </c>
      <c r="P74" s="2361" t="s">
        <v>2392</v>
      </c>
      <c r="Q74" s="2364">
        <f>L53</f>
        <v>0</v>
      </c>
      <c r="R74" s="2365"/>
    </row>
    <row r="75" spans="1:18" s="2042" customFormat="1" ht="19.2" thickBot="1">
      <c r="A75" s="2079"/>
      <c r="B75" s="2080"/>
      <c r="C75" s="2080"/>
      <c r="K75" s="2069"/>
      <c r="O75" s="2363" t="s">
        <v>2387</v>
      </c>
      <c r="P75" s="2361" t="s">
        <v>2393</v>
      </c>
      <c r="Q75" s="2362">
        <f ca="1">L59</f>
        <v>0</v>
      </c>
      <c r="R75" s="2365" t="s">
        <v>2394</v>
      </c>
    </row>
    <row r="76" spans="1:18" s="2042" customFormat="1" ht="19.2" thickBot="1">
      <c r="A76" s="2079"/>
      <c r="B76" s="2080"/>
      <c r="C76" s="2080"/>
      <c r="K76" s="2069"/>
      <c r="O76" s="2363" t="s">
        <v>2416</v>
      </c>
      <c r="P76" s="2361" t="s">
        <v>2395</v>
      </c>
      <c r="Q76" s="2362">
        <f ca="1">L60</f>
        <v>0</v>
      </c>
      <c r="R76" s="2365" t="s">
        <v>2396</v>
      </c>
    </row>
    <row r="77" spans="1:18" s="2042" customFormat="1" ht="16.2"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河南常绿卓屹置业有限公司：</v>
      </c>
    </row>
    <row r="4" spans="1:4" ht="34.799999999999997">
      <c r="A4" s="1774" t="str">
        <f>"受贵公司委托，我公司对"&amp;项目基本情况!K2&amp;项目基本情况!B9&amp;"进行了预评估。"</f>
        <v>受贵公司委托，我公司对河南省郑州市金水区金水区经一路东、明鸿路南出让国有建设用地使用权抵押价格进行了预评估。</v>
      </c>
    </row>
    <row r="5" spans="1:4" ht="17.399999999999999">
      <c r="A5" s="1777" t="s">
        <v>1905</v>
      </c>
    </row>
    <row r="6" spans="1:4" ht="87">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常绿卓屹置业有限公司使用的、位于河南省郑州市金水区金水区经一路东、明鸿路南出让国有建设用地使用权。根据《国有土地使用证》[]，估价对象（分摊）出让国有建设用地使用权面积为15094.79平方米。根据《建设工程规划许可证》[]、《出让合同》[]，估价对象规划建筑面积为69312.71平方米。</v>
      </c>
    </row>
    <row r="7" spans="1:4" ht="52.2">
      <c r="A7" s="1778" t="s">
        <v>2746</v>
      </c>
    </row>
    <row r="8" spans="1:4" ht="17.399999999999999">
      <c r="A8" s="1777" t="s">
        <v>1906</v>
      </c>
    </row>
    <row r="9" spans="1:4" ht="69.599999999999994">
      <c r="A9" s="1779" t="str">
        <f>IF(项目基本情况!B8="抵押",IF(项目基本情况!B5=项目基本情况!B6,定义!C51,定义!B51),定义!D51)</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2026</v>
      </c>
    </row>
    <row r="11" spans="1:4" ht="17.399999999999999">
      <c r="A11" s="1763" t="str">
        <f>TEXT(项目基本情况!D3,"yyyy年m月d日;;")&amp;IF(项目基本情况!B3=项目基本情况!D3,"（评估专业人员勘察现场之日）","")</f>
        <v>2020年1月10日</v>
      </c>
    </row>
    <row r="12" spans="1:4" ht="17.399999999999999">
      <c r="A12" s="1780" t="s">
        <v>2025</v>
      </c>
    </row>
    <row r="13" spans="1:4" ht="17.399999999999999">
      <c r="A13" s="1774" t="s">
        <v>2936</v>
      </c>
    </row>
    <row r="14" spans="1:4" ht="34.799999999999997">
      <c r="A14" s="1774" t="str">
        <f>"根据"&amp;项目基本情况!F12&amp;"，本次评估估价对象证载（地类）用途为"&amp;项目基本情况!B12&amp;"。"</f>
        <v>根据《国有土地使用证》[]，本次评估估价对象证载（地类）用途为城镇住宅用地。</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2072</v>
      </c>
    </row>
    <row r="17" spans="1:1" ht="69.599999999999994">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未平整，有待拆除建筑物。</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2073</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根据《国有土地使用证》[]，估价对象（分摊）出让国有建设用地使用权面积为15094.79平方米。根据《建设工程规划许可证》[]、《出让合同》[]，估价对象规划建筑面积为69312.71平方米。</v>
      </c>
    </row>
    <row r="21" spans="1:1" ht="17.399999999999999">
      <c r="A21" s="1774" t="s">
        <v>2074</v>
      </c>
    </row>
    <row r="22" spans="1:1" ht="52.2">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本次估价对象为出让国有建设用地使用权，《国有土地使用证》[]证载土地终止日期为住宅2090年1月2日、商业2060年1月2日车库2070年1月2日。截至估价期日，出让国有建设用地使用权剩余土地使用年限为。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2075</v>
      </c>
    </row>
    <row r="25" spans="1:1" ht="87">
      <c r="A25" s="1774" t="str">
        <f>定义!C53</f>
        <v>本次估价的“出让国有建设用地使用权价格”是指在估价对象土地所有权为国家所有，使用权性质为出让，在公开市场条件下、于估价期日2020年1月10日，在规划利用条件下、设定土地开发程度为红线外“七通”、宗地内场地平整，设定用途为，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IF(项目基本情况!B9="市场价格","——",IF(项目基本情况!E9="——","",定义!C57))</f>
        <v/>
      </c>
    </row>
    <row r="29" spans="1:1" ht="17.399999999999999">
      <c r="A29" s="1780" t="s">
        <v>2027</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H38" sqref="H38"/>
    </sheetView>
  </sheetViews>
  <sheetFormatPr defaultColWidth="9" defaultRowHeight="13.8"/>
  <cols>
    <col min="1" max="1" width="10.44140625" style="1331" customWidth="1"/>
    <col min="2" max="2" width="15.77734375" style="1331" customWidth="1"/>
    <col min="3" max="3" width="19" style="1331" customWidth="1"/>
    <col min="4" max="4" width="12.21875" style="1331" customWidth="1"/>
    <col min="5" max="5" width="18" style="1331" customWidth="1"/>
    <col min="6" max="6" width="12.21875" style="1331" customWidth="1"/>
    <col min="7" max="7" width="18.33203125" style="1331" customWidth="1"/>
    <col min="8" max="8" width="12.21875" style="1331" customWidth="1"/>
    <col min="9" max="9" width="18.10937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2585" t="s">
        <v>719</v>
      </c>
      <c r="C1" s="2586" t="s">
        <v>720</v>
      </c>
      <c r="D1" s="2587" t="s">
        <v>923</v>
      </c>
      <c r="E1" s="2588"/>
      <c r="F1" s="2760" t="s">
        <v>3328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467</v>
      </c>
      <c r="B2" s="2584">
        <f>ROUND(B3*D3/10000,0)</f>
        <v>101169</v>
      </c>
      <c r="C2" s="2110"/>
      <c r="D2" s="2110"/>
      <c r="E2" s="2110"/>
      <c r="F2" s="2184"/>
      <c r="G2" s="2110"/>
      <c r="H2" s="2110"/>
      <c r="I2" s="2110"/>
      <c r="J2" s="2110"/>
      <c r="K2" s="2185"/>
      <c r="L2" s="2186"/>
      <c r="M2" s="2187"/>
      <c r="N2" s="2187"/>
      <c r="O2" s="2187"/>
      <c r="P2" s="1586"/>
      <c r="Q2" s="1586"/>
      <c r="R2" s="1586"/>
      <c r="S2" s="1586"/>
      <c r="T2" s="1586"/>
      <c r="U2" s="1586"/>
      <c r="V2" s="1586"/>
      <c r="W2" s="1586"/>
      <c r="X2" s="1586"/>
      <c r="Y2" s="1586"/>
      <c r="Z2" s="1586"/>
      <c r="AA2" s="1586"/>
      <c r="AB2" s="1586"/>
      <c r="AC2" s="1587"/>
    </row>
    <row r="3" spans="1:29" s="1356" customFormat="1" ht="28.5" customHeight="1" thickBot="1">
      <c r="A3" s="508" t="s">
        <v>519</v>
      </c>
      <c r="B3" s="850">
        <f>C49</f>
        <v>21560</v>
      </c>
      <c r="C3" s="851" t="s">
        <v>722</v>
      </c>
      <c r="D3" s="850">
        <f>SUMIF('数据-汇总表'!$C19:$C33,D1,'数据-汇总表'!$E19:$E33)</f>
        <v>46924.41</v>
      </c>
      <c r="E3" s="2110"/>
      <c r="F3" s="2184"/>
      <c r="G3" s="2110"/>
      <c r="H3" s="2110"/>
      <c r="I3" s="2110"/>
      <c r="J3" s="2110"/>
      <c r="K3" s="2185"/>
      <c r="L3" s="2186"/>
      <c r="M3" s="2187"/>
      <c r="N3" s="2187"/>
      <c r="O3" s="2187"/>
      <c r="P3" s="1586"/>
      <c r="Q3" s="1586"/>
      <c r="R3" s="1586"/>
      <c r="S3" s="1586"/>
      <c r="T3" s="1586"/>
      <c r="U3" s="1586"/>
      <c r="V3" s="1586"/>
      <c r="W3" s="1586"/>
      <c r="X3" s="1586"/>
      <c r="Y3" s="1586"/>
      <c r="Z3" s="1586"/>
      <c r="AA3" s="1586"/>
      <c r="AB3" s="1586"/>
      <c r="AC3" s="1588"/>
    </row>
    <row r="4" spans="1:29" ht="14.4">
      <c r="A4" s="511" t="s">
        <v>521</v>
      </c>
      <c r="B4" s="512"/>
      <c r="C4" s="3395" t="s">
        <v>522</v>
      </c>
      <c r="D4" s="3396"/>
      <c r="E4" s="3420" t="s">
        <v>523</v>
      </c>
      <c r="F4" s="3421"/>
      <c r="G4" s="3395" t="s">
        <v>524</v>
      </c>
      <c r="H4" s="3396"/>
      <c r="I4" s="3395" t="s">
        <v>525</v>
      </c>
      <c r="J4" s="3396"/>
      <c r="K4" s="852" t="s">
        <v>526</v>
      </c>
      <c r="L4" s="2116"/>
      <c r="M4" s="2117"/>
      <c r="N4" s="2117"/>
      <c r="O4" s="2117"/>
      <c r="P4" s="3397" t="s">
        <v>527</v>
      </c>
      <c r="Q4" s="3398"/>
      <c r="R4" s="3383" t="s">
        <v>523</v>
      </c>
      <c r="S4" s="3384"/>
      <c r="T4" s="3383" t="s">
        <v>524</v>
      </c>
      <c r="U4" s="3384"/>
      <c r="V4" s="3403" t="s">
        <v>525</v>
      </c>
      <c r="W4" s="3403"/>
      <c r="X4" s="1552"/>
      <c r="Y4" s="3383" t="s">
        <v>527</v>
      </c>
      <c r="Z4" s="3384"/>
      <c r="AA4" s="3378" t="s">
        <v>523</v>
      </c>
      <c r="AB4" s="3378" t="s">
        <v>524</v>
      </c>
      <c r="AC4" s="3378" t="s">
        <v>525</v>
      </c>
    </row>
    <row r="5" spans="1:29" ht="14.4">
      <c r="A5" s="514"/>
      <c r="B5" s="515"/>
      <c r="C5" s="3495"/>
      <c r="D5" s="3407"/>
      <c r="E5" s="3494" t="s">
        <v>4025</v>
      </c>
      <c r="F5" s="3423"/>
      <c r="G5" s="3495" t="s">
        <v>4026</v>
      </c>
      <c r="H5" s="3407"/>
      <c r="I5" s="3495" t="s">
        <v>4027</v>
      </c>
      <c r="J5" s="3407"/>
      <c r="K5" s="853"/>
      <c r="L5" s="2116"/>
      <c r="M5" s="2117"/>
      <c r="N5" s="2117"/>
      <c r="O5" s="2117"/>
      <c r="P5" s="3399"/>
      <c r="Q5" s="3400"/>
      <c r="R5" s="3385"/>
      <c r="S5" s="3386"/>
      <c r="T5" s="3385"/>
      <c r="U5" s="3386"/>
      <c r="V5" s="3403"/>
      <c r="W5" s="3403"/>
      <c r="X5" s="1552"/>
      <c r="Y5" s="3385"/>
      <c r="Z5" s="3386"/>
      <c r="AA5" s="3379"/>
      <c r="AB5" s="3379"/>
      <c r="AC5" s="3379"/>
    </row>
    <row r="6" spans="1:29" ht="15" thickBot="1">
      <c r="A6" s="516"/>
      <c r="B6" s="517"/>
      <c r="C6" s="3404" t="s">
        <v>3329</v>
      </c>
      <c r="D6" s="3405"/>
      <c r="E6" s="3496" t="s">
        <v>3329</v>
      </c>
      <c r="F6" s="3426"/>
      <c r="G6" s="3496" t="s">
        <v>3329</v>
      </c>
      <c r="H6" s="3426"/>
      <c r="I6" s="3496" t="s">
        <v>3329</v>
      </c>
      <c r="J6" s="3426"/>
      <c r="K6" s="853" t="s">
        <v>528</v>
      </c>
      <c r="L6" s="2116"/>
      <c r="M6" s="2117"/>
      <c r="N6" s="2117"/>
      <c r="O6" s="2117"/>
      <c r="P6" s="3401"/>
      <c r="Q6" s="3402"/>
      <c r="R6" s="3385"/>
      <c r="S6" s="3386"/>
      <c r="T6" s="3387"/>
      <c r="U6" s="3388"/>
      <c r="V6" s="3403"/>
      <c r="W6" s="3403"/>
      <c r="X6" s="1552"/>
      <c r="Y6" s="3387"/>
      <c r="Z6" s="3388"/>
      <c r="AA6" s="3380"/>
      <c r="AB6" s="3380"/>
      <c r="AC6" s="3380"/>
    </row>
    <row r="7" spans="1:29" s="1214" customFormat="1" ht="15" thickBot="1">
      <c r="A7" s="2865"/>
      <c r="B7" s="2872" t="s">
        <v>529</v>
      </c>
      <c r="C7" s="518">
        <f>'数据-取费表'!B2</f>
        <v>43840</v>
      </c>
      <c r="D7" s="519">
        <v>100</v>
      </c>
      <c r="E7" s="520">
        <v>43831</v>
      </c>
      <c r="F7" s="521">
        <f>SUMIF(58:58,YEAR(E7)&amp;"-"&amp;MONTH(E7),59:59)</f>
        <v>100</v>
      </c>
      <c r="G7" s="522">
        <v>43831</v>
      </c>
      <c r="H7" s="519">
        <f>SUMIF(58:58,YEAR(G7)&amp;"-"&amp;MONTH(G7),59:59)</f>
        <v>100</v>
      </c>
      <c r="I7" s="522">
        <v>43831</v>
      </c>
      <c r="J7" s="519">
        <f>SUMIF(58:58,YEAR(I7)&amp;"-"&amp;MONTH(I7),59:59)</f>
        <v>100</v>
      </c>
      <c r="K7" s="854"/>
      <c r="L7" s="2118"/>
      <c r="M7" s="2119"/>
      <c r="N7" s="2119"/>
      <c r="O7" s="2119"/>
      <c r="P7" s="3381" t="s">
        <v>530</v>
      </c>
      <c r="Q7" s="3390"/>
      <c r="R7" s="1553" t="s">
        <v>13</v>
      </c>
      <c r="S7" s="1554">
        <f t="shared" ref="S7:S15" si="0">F7</f>
        <v>100</v>
      </c>
      <c r="T7" s="1553" t="s">
        <v>13</v>
      </c>
      <c r="U7" s="1554">
        <f t="shared" ref="U7:U15" si="1">H7</f>
        <v>100</v>
      </c>
      <c r="V7" s="1553" t="s">
        <v>13</v>
      </c>
      <c r="W7" s="1554">
        <f t="shared" ref="W7:W15" si="2">J7</f>
        <v>100</v>
      </c>
      <c r="X7" s="1555"/>
      <c r="Y7" s="3381" t="s">
        <v>530</v>
      </c>
      <c r="Z7" s="3382"/>
      <c r="AA7" s="1556">
        <f>D7/F7</f>
        <v>1</v>
      </c>
      <c r="AB7" s="1556">
        <f>D7/H7</f>
        <v>1</v>
      </c>
      <c r="AC7" s="1556">
        <f>D7/J7</f>
        <v>1</v>
      </c>
    </row>
    <row r="8" spans="1:29" s="1214" customFormat="1" ht="15" thickBot="1">
      <c r="A8" s="2866"/>
      <c r="B8" s="2873" t="s">
        <v>531</v>
      </c>
      <c r="C8" s="524" t="s">
        <v>576</v>
      </c>
      <c r="D8" s="519">
        <v>100</v>
      </c>
      <c r="E8" s="855" t="s">
        <v>3330</v>
      </c>
      <c r="F8" s="521">
        <f>SUMIF(61:61,E8,62:62)-SUMIF(61:61,C8,62:62)+100</f>
        <v>100</v>
      </c>
      <c r="G8" s="855" t="s">
        <v>3330</v>
      </c>
      <c r="H8" s="519">
        <f>SUMIF(61:61,G8,62:62)-SUMIF(61:61,C8,62:62)+100</f>
        <v>100</v>
      </c>
      <c r="I8" s="855" t="s">
        <v>3330</v>
      </c>
      <c r="J8" s="519">
        <f>SUMIF(61:61,I8,62:62)-SUMIF(61:61,C8,62:62)+100</f>
        <v>100</v>
      </c>
      <c r="K8" s="854"/>
      <c r="L8" s="2118"/>
      <c r="M8" s="2119"/>
      <c r="N8" s="2119"/>
      <c r="O8" s="2119"/>
      <c r="P8" s="3381" t="s">
        <v>533</v>
      </c>
      <c r="Q8" s="3382"/>
      <c r="R8" s="1553" t="s">
        <v>13</v>
      </c>
      <c r="S8" s="1554">
        <f t="shared" si="0"/>
        <v>100</v>
      </c>
      <c r="T8" s="1553" t="s">
        <v>13</v>
      </c>
      <c r="U8" s="1554">
        <f t="shared" si="1"/>
        <v>100</v>
      </c>
      <c r="V8" s="1553" t="s">
        <v>13</v>
      </c>
      <c r="W8" s="1554">
        <f t="shared" si="2"/>
        <v>100</v>
      </c>
      <c r="X8" s="1555"/>
      <c r="Y8" s="3381" t="s">
        <v>533</v>
      </c>
      <c r="Z8" s="3382"/>
      <c r="AA8" s="1556">
        <f t="shared" ref="AA8:AA46" si="3">D8/F8</f>
        <v>1</v>
      </c>
      <c r="AB8" s="1556">
        <f t="shared" ref="AB8:AB46" si="4">D8/H8</f>
        <v>1</v>
      </c>
      <c r="AC8" s="1556">
        <f t="shared" ref="AC8:AC46" si="5">D8/J8</f>
        <v>1</v>
      </c>
    </row>
    <row r="9" spans="1:29" s="1214" customFormat="1" ht="14.4">
      <c r="A9" s="2867"/>
      <c r="B9" s="2874" t="s">
        <v>2755</v>
      </c>
      <c r="C9" s="3190" t="s">
        <v>3331</v>
      </c>
      <c r="D9" s="253">
        <v>100</v>
      </c>
      <c r="E9" s="857" t="s">
        <v>923</v>
      </c>
      <c r="F9" s="858">
        <f>SUMIF(63:63,E9,64:64)-SUMIF(63:63,C9,64:64)+100</f>
        <v>100</v>
      </c>
      <c r="G9" s="857" t="s">
        <v>923</v>
      </c>
      <c r="H9" s="253">
        <f>SUMIF(63:63,G9,64:64)-SUMIF(63:63,C9,64:64)+100</f>
        <v>100</v>
      </c>
      <c r="I9" s="857" t="s">
        <v>923</v>
      </c>
      <c r="J9" s="253">
        <f>SUMIF(63:63,I9,64:64)-SUMIF(63:63,C9,64:64)+100</f>
        <v>100</v>
      </c>
      <c r="K9" s="854"/>
      <c r="L9" s="2118"/>
      <c r="M9" s="2119"/>
      <c r="N9" s="2119"/>
      <c r="O9" s="2120"/>
      <c r="P9" s="3389" t="s">
        <v>535</v>
      </c>
      <c r="Q9" s="1145" t="str">
        <f t="shared" ref="Q9:Q15" si="6">B9</f>
        <v>用途</v>
      </c>
      <c r="R9" s="1553" t="s">
        <v>8</v>
      </c>
      <c r="S9" s="1554">
        <f t="shared" si="0"/>
        <v>100</v>
      </c>
      <c r="T9" s="1553" t="s">
        <v>8</v>
      </c>
      <c r="U9" s="1554">
        <f t="shared" si="1"/>
        <v>100</v>
      </c>
      <c r="V9" s="1553" t="s">
        <v>8</v>
      </c>
      <c r="W9" s="1554">
        <f t="shared" si="2"/>
        <v>100</v>
      </c>
      <c r="X9" s="1555"/>
      <c r="Y9" s="3346" t="s">
        <v>536</v>
      </c>
      <c r="Z9" s="1144" t="str">
        <f t="shared" ref="Z9:Z15" si="7">Q9</f>
        <v>用途</v>
      </c>
      <c r="AA9" s="1556">
        <f t="shared" si="3"/>
        <v>1</v>
      </c>
      <c r="AB9" s="1556">
        <f t="shared" si="4"/>
        <v>1</v>
      </c>
      <c r="AC9" s="1556">
        <f t="shared" si="5"/>
        <v>1</v>
      </c>
    </row>
    <row r="10" spans="1:29" s="1332" customFormat="1" ht="28.8">
      <c r="A10" s="2868"/>
      <c r="B10" s="2873" t="s">
        <v>2756</v>
      </c>
      <c r="C10" s="860" t="s">
        <v>3338</v>
      </c>
      <c r="D10" s="254">
        <v>100</v>
      </c>
      <c r="E10" s="861" t="s">
        <v>3338</v>
      </c>
      <c r="F10" s="862">
        <f>SUMIF(65:65,E10,66:66)-SUMIF(65:65,C10,66:66)+100</f>
        <v>100</v>
      </c>
      <c r="G10" s="860" t="s">
        <v>3338</v>
      </c>
      <c r="H10" s="254">
        <f>SUMIF(65:65,G10,66:66)-SUMIF(65:65,C10,66:66)+100</f>
        <v>100</v>
      </c>
      <c r="I10" s="860" t="s">
        <v>3338</v>
      </c>
      <c r="J10" s="254">
        <f>SUMIF(65:65,I10,66:66)-SUMIF(65:65,C10,66:66)+100</f>
        <v>100</v>
      </c>
      <c r="K10" s="863">
        <v>1</v>
      </c>
      <c r="L10" s="2121"/>
      <c r="M10" s="2161"/>
      <c r="N10" s="2161"/>
      <c r="O10" s="2122"/>
      <c r="P10" s="3389"/>
      <c r="Q10" s="1145" t="str">
        <f t="shared" si="6"/>
        <v>土地使用年限（年）</v>
      </c>
      <c r="R10" s="1553" t="s">
        <v>8</v>
      </c>
      <c r="S10" s="1554">
        <f t="shared" si="0"/>
        <v>100</v>
      </c>
      <c r="T10" s="1553" t="s">
        <v>8</v>
      </c>
      <c r="U10" s="1554">
        <f t="shared" si="1"/>
        <v>100</v>
      </c>
      <c r="V10" s="1553" t="s">
        <v>8</v>
      </c>
      <c r="W10" s="1554">
        <f t="shared" si="2"/>
        <v>100</v>
      </c>
      <c r="X10" s="1555"/>
      <c r="Y10" s="3346"/>
      <c r="Z10" s="1144" t="str">
        <f t="shared" si="7"/>
        <v>土地使用年限（年）</v>
      </c>
      <c r="AA10" s="1556">
        <f t="shared" si="3"/>
        <v>1</v>
      </c>
      <c r="AB10" s="1556">
        <f t="shared" si="4"/>
        <v>1</v>
      </c>
      <c r="AC10" s="1556">
        <f t="shared" si="5"/>
        <v>1</v>
      </c>
    </row>
    <row r="11" spans="1:29" ht="15.6" thickBot="1">
      <c r="A11" s="2869"/>
      <c r="B11" s="2873" t="s">
        <v>2757</v>
      </c>
      <c r="C11" s="532">
        <f>'数据-汇总表'!I6</f>
        <v>3.29</v>
      </c>
      <c r="D11" s="254">
        <v>100</v>
      </c>
      <c r="E11" s="533">
        <v>7.94</v>
      </c>
      <c r="F11" s="862">
        <f>LOOKUP(E11,68:68,69:69)-LOOKUP(C11,68:68,69:69)+100</f>
        <v>96</v>
      </c>
      <c r="G11" s="532">
        <v>4.99</v>
      </c>
      <c r="H11" s="254">
        <f>LOOKUP(G11,68:68,69:69)-LOOKUP(C11,68:68,69:69)+100</f>
        <v>99</v>
      </c>
      <c r="I11" s="532">
        <v>2.4</v>
      </c>
      <c r="J11" s="254">
        <f>LOOKUP(I11,68:68,69:69)-LOOKUP(C11,68:68,69:69)+100</f>
        <v>101</v>
      </c>
      <c r="K11" s="863">
        <v>1</v>
      </c>
      <c r="L11" s="2123"/>
      <c r="M11" s="2117"/>
      <c r="N11" s="2117"/>
      <c r="O11" s="2124"/>
      <c r="P11" s="3389"/>
      <c r="Q11" s="1145" t="str">
        <f t="shared" si="6"/>
        <v>容积率</v>
      </c>
      <c r="R11" s="1553" t="s">
        <v>11</v>
      </c>
      <c r="S11" s="1554">
        <f t="shared" si="0"/>
        <v>96</v>
      </c>
      <c r="T11" s="1553" t="s">
        <v>11</v>
      </c>
      <c r="U11" s="1554">
        <f t="shared" si="1"/>
        <v>99</v>
      </c>
      <c r="V11" s="1553" t="s">
        <v>11</v>
      </c>
      <c r="W11" s="1554">
        <f t="shared" si="2"/>
        <v>101</v>
      </c>
      <c r="X11" s="1555"/>
      <c r="Y11" s="3346"/>
      <c r="Z11" s="1144" t="str">
        <f t="shared" si="7"/>
        <v>容积率</v>
      </c>
      <c r="AA11" s="1556">
        <f t="shared" si="3"/>
        <v>1.0416666666666667</v>
      </c>
      <c r="AB11" s="1556">
        <f t="shared" si="4"/>
        <v>1.0101010101010102</v>
      </c>
      <c r="AC11" s="1556">
        <f t="shared" si="5"/>
        <v>0.99009900990099009</v>
      </c>
    </row>
    <row r="12" spans="1:29" s="1214" customFormat="1" ht="15" hidden="1">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389"/>
      <c r="Q12" s="1145">
        <f t="shared" si="6"/>
        <v>111</v>
      </c>
      <c r="R12" s="1553" t="s">
        <v>11</v>
      </c>
      <c r="S12" s="1554">
        <f t="shared" si="0"/>
        <v>100</v>
      </c>
      <c r="T12" s="1553" t="s">
        <v>11</v>
      </c>
      <c r="U12" s="1554">
        <f t="shared" si="1"/>
        <v>100</v>
      </c>
      <c r="V12" s="1553" t="s">
        <v>11</v>
      </c>
      <c r="W12" s="1554">
        <f t="shared" si="2"/>
        <v>100</v>
      </c>
      <c r="X12" s="1555"/>
      <c r="Y12" s="3346"/>
      <c r="Z12" s="1144">
        <f t="shared" si="7"/>
        <v>111</v>
      </c>
      <c r="AA12" s="1556">
        <f>D12/F12</f>
        <v>1</v>
      </c>
      <c r="AB12" s="1556">
        <f>D12/H12</f>
        <v>1</v>
      </c>
      <c r="AC12" s="1556">
        <f>D12/J12</f>
        <v>1</v>
      </c>
    </row>
    <row r="13" spans="1:29" ht="15" hidden="1">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389"/>
      <c r="Q13" s="1145">
        <f t="shared" si="6"/>
        <v>111</v>
      </c>
      <c r="R13" s="1553" t="s">
        <v>11</v>
      </c>
      <c r="S13" s="1554">
        <f t="shared" si="0"/>
        <v>100</v>
      </c>
      <c r="T13" s="1553" t="s">
        <v>11</v>
      </c>
      <c r="U13" s="1554">
        <f t="shared" si="1"/>
        <v>100</v>
      </c>
      <c r="V13" s="1553" t="s">
        <v>11</v>
      </c>
      <c r="W13" s="1554">
        <f t="shared" si="2"/>
        <v>100</v>
      </c>
      <c r="X13" s="1555"/>
      <c r="Y13" s="3346"/>
      <c r="Z13" s="1144">
        <f t="shared" si="7"/>
        <v>111</v>
      </c>
      <c r="AA13" s="1556">
        <f t="shared" si="3"/>
        <v>1</v>
      </c>
      <c r="AB13" s="1556">
        <f t="shared" si="4"/>
        <v>1</v>
      </c>
      <c r="AC13" s="1556">
        <f t="shared" si="5"/>
        <v>1</v>
      </c>
    </row>
    <row r="14" spans="1:29" ht="15.6" hidden="1"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389"/>
      <c r="Q14" s="1145">
        <f t="shared" si="6"/>
        <v>111</v>
      </c>
      <c r="R14" s="1553" t="s">
        <v>11</v>
      </c>
      <c r="S14" s="1554">
        <f t="shared" si="0"/>
        <v>100</v>
      </c>
      <c r="T14" s="1553" t="s">
        <v>11</v>
      </c>
      <c r="U14" s="1554">
        <f t="shared" si="1"/>
        <v>100</v>
      </c>
      <c r="V14" s="1553" t="s">
        <v>11</v>
      </c>
      <c r="W14" s="1554">
        <f t="shared" si="2"/>
        <v>100</v>
      </c>
      <c r="X14" s="1555"/>
      <c r="Y14" s="3346"/>
      <c r="Z14" s="1144">
        <f t="shared" si="7"/>
        <v>111</v>
      </c>
      <c r="AA14" s="1556">
        <f t="shared" si="3"/>
        <v>1</v>
      </c>
      <c r="AB14" s="1556">
        <f t="shared" si="4"/>
        <v>1</v>
      </c>
      <c r="AC14" s="1556">
        <f t="shared" si="5"/>
        <v>1</v>
      </c>
    </row>
    <row r="15" spans="1:29" ht="28.8">
      <c r="A15" s="2863" t="s">
        <v>2753</v>
      </c>
      <c r="B15" s="166" t="s">
        <v>295</v>
      </c>
      <c r="C15" s="866" t="str">
        <f>估价对象房地状况!C3</f>
        <v>较好</v>
      </c>
      <c r="D15" s="548">
        <v>100</v>
      </c>
      <c r="E15" s="3193" t="s">
        <v>3339</v>
      </c>
      <c r="F15" s="550">
        <f>SUMIF(76:76,E16,77:77)-SUMIF(76:76,C16,77:77)+100</f>
        <v>100</v>
      </c>
      <c r="G15" s="551"/>
      <c r="H15" s="548">
        <f>SUMIF(76:76,G16,77:77)-SUMIF(76:76,C16,77:77)+100</f>
        <v>100</v>
      </c>
      <c r="I15" s="549"/>
      <c r="J15" s="548">
        <f>SUMIF(76:76,I16,77:77)-SUMIF(76:76,C16,77:77)+100</f>
        <v>100</v>
      </c>
      <c r="K15" s="867">
        <v>5</v>
      </c>
      <c r="L15" s="2125"/>
      <c r="M15" s="2117"/>
      <c r="N15" s="2117"/>
      <c r="O15" s="2124"/>
      <c r="P15" s="3391" t="s">
        <v>540</v>
      </c>
      <c r="Q15" s="1557" t="str">
        <f t="shared" si="6"/>
        <v>居住社区成熟度</v>
      </c>
      <c r="R15" s="1558" t="s">
        <v>11</v>
      </c>
      <c r="S15" s="1559">
        <f t="shared" si="0"/>
        <v>100</v>
      </c>
      <c r="T15" s="1558" t="s">
        <v>11</v>
      </c>
      <c r="U15" s="1559">
        <f t="shared" si="1"/>
        <v>100</v>
      </c>
      <c r="V15" s="1558" t="s">
        <v>11</v>
      </c>
      <c r="W15" s="1559">
        <f t="shared" si="2"/>
        <v>100</v>
      </c>
      <c r="X15" s="1552"/>
      <c r="Y15" s="3391" t="s">
        <v>540</v>
      </c>
      <c r="Z15" s="1560" t="str">
        <f t="shared" si="7"/>
        <v>居住社区成熟度</v>
      </c>
      <c r="AA15" s="1561">
        <f t="shared" si="3"/>
        <v>1</v>
      </c>
      <c r="AB15" s="1561">
        <f t="shared" si="4"/>
        <v>1</v>
      </c>
      <c r="AC15" s="1561">
        <f t="shared" si="5"/>
        <v>1</v>
      </c>
    </row>
    <row r="16" spans="1:29" ht="15">
      <c r="A16" s="531"/>
      <c r="B16" s="868"/>
      <c r="C16" s="575" t="s">
        <v>3065</v>
      </c>
      <c r="D16" s="554"/>
      <c r="E16" s="575" t="s">
        <v>3065</v>
      </c>
      <c r="F16" s="556"/>
      <c r="G16" s="575" t="s">
        <v>3065</v>
      </c>
      <c r="H16" s="558"/>
      <c r="I16" s="575" t="s">
        <v>3065</v>
      </c>
      <c r="J16" s="554"/>
      <c r="K16" s="869"/>
      <c r="L16" s="2125"/>
      <c r="M16" s="2117"/>
      <c r="N16" s="2117"/>
      <c r="O16" s="2124"/>
      <c r="P16" s="3392"/>
      <c r="Q16" s="1557"/>
      <c r="R16" s="1558"/>
      <c r="S16" s="1559"/>
      <c r="T16" s="1558"/>
      <c r="U16" s="1559"/>
      <c r="V16" s="1558"/>
      <c r="W16" s="1559"/>
      <c r="X16" s="1552"/>
      <c r="Y16" s="3392"/>
      <c r="Z16" s="1560"/>
      <c r="AA16" s="1561">
        <v>1</v>
      </c>
      <c r="AB16" s="1561">
        <v>1</v>
      </c>
      <c r="AC16" s="1561">
        <v>1</v>
      </c>
    </row>
    <row r="17" spans="1:29" ht="15">
      <c r="A17" s="531"/>
      <c r="B17" s="870" t="s">
        <v>296</v>
      </c>
      <c r="C17" s="871" t="str">
        <f>估价对象房地状况!C6</f>
        <v>一般</v>
      </c>
      <c r="D17" s="558">
        <v>100</v>
      </c>
      <c r="E17" s="561" t="s">
        <v>3342</v>
      </c>
      <c r="F17" s="562">
        <f>SUMIF(78:78,E18,79:79)-SUMIF(78:78,C18,79:79)+100</f>
        <v>105</v>
      </c>
      <c r="G17" s="563" t="s">
        <v>3343</v>
      </c>
      <c r="H17" s="564">
        <f>SUMIF(78:78,G18,79:79)-SUMIF(78:78,C18,79:79)+100</f>
        <v>105</v>
      </c>
      <c r="I17" s="563" t="s">
        <v>3343</v>
      </c>
      <c r="J17" s="564">
        <f>SUMIF(78:78,I18,79:79)-SUMIF(78:78,C18,79:79)+100</f>
        <v>105</v>
      </c>
      <c r="K17" s="867">
        <v>5</v>
      </c>
      <c r="L17" s="2125"/>
      <c r="M17" s="2117"/>
      <c r="N17" s="2117"/>
      <c r="O17" s="2124"/>
      <c r="P17" s="3392"/>
      <c r="Q17" s="1557" t="str">
        <f>B17</f>
        <v>交通便捷度</v>
      </c>
      <c r="R17" s="1558" t="s">
        <v>11</v>
      </c>
      <c r="S17" s="1559">
        <f>F17</f>
        <v>105</v>
      </c>
      <c r="T17" s="1558" t="s">
        <v>11</v>
      </c>
      <c r="U17" s="1559">
        <f>H17</f>
        <v>105</v>
      </c>
      <c r="V17" s="1558" t="s">
        <v>11</v>
      </c>
      <c r="W17" s="1559">
        <f>J17</f>
        <v>105</v>
      </c>
      <c r="X17" s="1552"/>
      <c r="Y17" s="3392"/>
      <c r="Z17" s="1560" t="str">
        <f>Q17</f>
        <v>交通便捷度</v>
      </c>
      <c r="AA17" s="1561">
        <f t="shared" si="3"/>
        <v>0.95238095238095233</v>
      </c>
      <c r="AB17" s="1561">
        <f t="shared" si="4"/>
        <v>0.95238095238095233</v>
      </c>
      <c r="AC17" s="1561">
        <f t="shared" si="5"/>
        <v>0.95238095238095233</v>
      </c>
    </row>
    <row r="18" spans="1:29" ht="15">
      <c r="A18" s="531"/>
      <c r="B18" s="594"/>
      <c r="C18" s="872" t="s">
        <v>3008</v>
      </c>
      <c r="D18" s="558"/>
      <c r="E18" s="567" t="s">
        <v>3065</v>
      </c>
      <c r="F18" s="562"/>
      <c r="G18" s="567" t="s">
        <v>3065</v>
      </c>
      <c r="H18" s="554"/>
      <c r="I18" s="567" t="s">
        <v>3065</v>
      </c>
      <c r="J18" s="554"/>
      <c r="K18" s="869"/>
      <c r="L18" s="2125"/>
      <c r="M18" s="2117"/>
      <c r="N18" s="2117"/>
      <c r="O18" s="2124"/>
      <c r="P18" s="3392"/>
      <c r="Q18" s="1557"/>
      <c r="R18" s="1558"/>
      <c r="S18" s="1559"/>
      <c r="T18" s="1558"/>
      <c r="U18" s="1559"/>
      <c r="V18" s="1558"/>
      <c r="W18" s="1559"/>
      <c r="X18" s="1552"/>
      <c r="Y18" s="3392"/>
      <c r="Z18" s="1560"/>
      <c r="AA18" s="1561">
        <v>1</v>
      </c>
      <c r="AB18" s="1561">
        <v>1</v>
      </c>
      <c r="AC18" s="1561">
        <v>1</v>
      </c>
    </row>
    <row r="19" spans="1:29" ht="15">
      <c r="A19" s="531"/>
      <c r="B19" s="2562" t="s">
        <v>2545</v>
      </c>
      <c r="C19" s="871" t="str">
        <f>估价对象房地状况!C7</f>
        <v>较好</v>
      </c>
      <c r="D19" s="564">
        <v>100</v>
      </c>
      <c r="E19" s="3195" t="s">
        <v>3341</v>
      </c>
      <c r="F19" s="570">
        <f>SUMIF(80:80,E20,81:81)-SUMIF(80:80,C20,81:81)+100</f>
        <v>100</v>
      </c>
      <c r="G19" s="571"/>
      <c r="H19" s="558">
        <f>SUMIF(80:80,G20,81:81)-SUMIF(80:80,C20,81:81)+100</f>
        <v>100</v>
      </c>
      <c r="I19" s="569"/>
      <c r="J19" s="558">
        <f>SUMIF(80:80,I20,81:81)-SUMIF(80:80,C20,81:81)+100</f>
        <v>100</v>
      </c>
      <c r="K19" s="867">
        <v>2</v>
      </c>
      <c r="L19" s="2125"/>
      <c r="M19" s="2117"/>
      <c r="N19" s="2117"/>
      <c r="O19" s="2124"/>
      <c r="P19" s="3392"/>
      <c r="Q19" s="1557" t="str">
        <f>B19</f>
        <v>公共配套设施</v>
      </c>
      <c r="R19" s="1558" t="s">
        <v>11</v>
      </c>
      <c r="S19" s="1559">
        <f>F19</f>
        <v>100</v>
      </c>
      <c r="T19" s="1558" t="s">
        <v>11</v>
      </c>
      <c r="U19" s="1559">
        <f>H19</f>
        <v>100</v>
      </c>
      <c r="V19" s="1558" t="s">
        <v>11</v>
      </c>
      <c r="W19" s="1559">
        <f>J19</f>
        <v>100</v>
      </c>
      <c r="X19" s="1552"/>
      <c r="Y19" s="3392"/>
      <c r="Z19" s="1560" t="str">
        <f>Q19</f>
        <v>公共配套设施</v>
      </c>
      <c r="AA19" s="1561">
        <f t="shared" si="3"/>
        <v>1</v>
      </c>
      <c r="AB19" s="1561">
        <f t="shared" si="4"/>
        <v>1</v>
      </c>
      <c r="AC19" s="1561">
        <f t="shared" si="5"/>
        <v>1</v>
      </c>
    </row>
    <row r="20" spans="1:29" ht="15">
      <c r="A20" s="531"/>
      <c r="B20" s="594"/>
      <c r="C20" s="555" t="s">
        <v>3065</v>
      </c>
      <c r="D20" s="554"/>
      <c r="E20" s="555" t="s">
        <v>3065</v>
      </c>
      <c r="F20" s="556"/>
      <c r="G20" s="555" t="s">
        <v>3065</v>
      </c>
      <c r="H20" s="554"/>
      <c r="I20" s="555" t="s">
        <v>3065</v>
      </c>
      <c r="J20" s="554"/>
      <c r="K20" s="869"/>
      <c r="L20" s="2125"/>
      <c r="M20" s="2117"/>
      <c r="N20" s="2117"/>
      <c r="O20" s="2124"/>
      <c r="P20" s="3392"/>
      <c r="Q20" s="1557"/>
      <c r="R20" s="1558"/>
      <c r="S20" s="1559"/>
      <c r="T20" s="1558"/>
      <c r="U20" s="1559"/>
      <c r="V20" s="1558"/>
      <c r="W20" s="1559"/>
      <c r="X20" s="1552"/>
      <c r="Y20" s="3392"/>
      <c r="Z20" s="1560"/>
      <c r="AA20" s="1561">
        <v>1</v>
      </c>
      <c r="AB20" s="1561">
        <v>1</v>
      </c>
      <c r="AC20" s="1561">
        <v>1</v>
      </c>
    </row>
    <row r="21" spans="1:29" ht="15">
      <c r="A21" s="531"/>
      <c r="B21" s="2555" t="s">
        <v>2557</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v>1</v>
      </c>
      <c r="L21" s="2125"/>
      <c r="M21" s="2117"/>
      <c r="N21" s="2117"/>
      <c r="O21" s="2124"/>
      <c r="P21" s="3392"/>
      <c r="Q21" s="2541" t="str">
        <f>B21</f>
        <v>基础设施水平</v>
      </c>
      <c r="R21" s="1558" t="s">
        <v>11</v>
      </c>
      <c r="S21" s="1559">
        <f>F21</f>
        <v>100</v>
      </c>
      <c r="T21" s="1558" t="s">
        <v>11</v>
      </c>
      <c r="U21" s="1559">
        <f>H21</f>
        <v>100</v>
      </c>
      <c r="V21" s="1558" t="s">
        <v>11</v>
      </c>
      <c r="W21" s="1559">
        <f>J21</f>
        <v>100</v>
      </c>
      <c r="X21" s="2543"/>
      <c r="Y21" s="3392"/>
      <c r="Z21" s="2542" t="str">
        <f>Q21</f>
        <v>基础设施水平</v>
      </c>
      <c r="AA21" s="1561">
        <f t="shared" ref="AA21" si="8">D21/F21</f>
        <v>1</v>
      </c>
      <c r="AB21" s="1561">
        <f t="shared" ref="AB21" si="9">D21/H21</f>
        <v>1</v>
      </c>
      <c r="AC21" s="1561">
        <f t="shared" ref="AC21" si="10">D21/J21</f>
        <v>1</v>
      </c>
    </row>
    <row r="22" spans="1:29" ht="15">
      <c r="A22" s="531"/>
      <c r="B22" s="920"/>
      <c r="C22" s="872" t="s">
        <v>3010</v>
      </c>
      <c r="D22" s="554"/>
      <c r="E22" s="872" t="s">
        <v>3010</v>
      </c>
      <c r="F22" s="556"/>
      <c r="G22" s="872" t="s">
        <v>3010</v>
      </c>
      <c r="H22" s="554"/>
      <c r="I22" s="872" t="s">
        <v>3010</v>
      </c>
      <c r="J22" s="554"/>
      <c r="K22" s="2561"/>
      <c r="L22" s="2125"/>
      <c r="M22" s="2117"/>
      <c r="N22" s="2117"/>
      <c r="O22" s="2124"/>
      <c r="P22" s="3392"/>
      <c r="Q22" s="2541"/>
      <c r="R22" s="1558"/>
      <c r="S22" s="1559"/>
      <c r="T22" s="1558"/>
      <c r="U22" s="1559"/>
      <c r="V22" s="1558"/>
      <c r="W22" s="1559"/>
      <c r="X22" s="2543"/>
      <c r="Y22" s="3392"/>
      <c r="Z22" s="2542"/>
      <c r="AA22" s="1561">
        <v>1</v>
      </c>
      <c r="AB22" s="1561">
        <v>1</v>
      </c>
      <c r="AC22" s="1561">
        <v>1</v>
      </c>
    </row>
    <row r="23" spans="1:29" ht="28.8">
      <c r="A23" s="531"/>
      <c r="B23" s="870" t="s">
        <v>297</v>
      </c>
      <c r="C23" s="871" t="str">
        <f>估价对象房地状况!C9</f>
        <v>较好</v>
      </c>
      <c r="D23" s="558">
        <v>100</v>
      </c>
      <c r="E23" s="3194" t="s">
        <v>3340</v>
      </c>
      <c r="F23" s="562">
        <f>SUMIF(84:84,E24,85:85)-SUMIF(84:84,C24,85:85)+100</f>
        <v>100</v>
      </c>
      <c r="G23" s="563"/>
      <c r="H23" s="558">
        <f>SUMIF(84:84,G24,85:85)-SUMIF(84:84,C24,85:85)+100</f>
        <v>100</v>
      </c>
      <c r="I23" s="561"/>
      <c r="J23" s="558">
        <f>SUMIF(84:84,I24,85:85)-SUMIF(84:84,C24,85:85)+100</f>
        <v>100</v>
      </c>
      <c r="K23" s="867">
        <v>2</v>
      </c>
      <c r="L23" s="2125"/>
      <c r="M23" s="2117"/>
      <c r="N23" s="2117"/>
      <c r="O23" s="2124"/>
      <c r="P23" s="3392"/>
      <c r="Q23" s="1557" t="str">
        <f>B23</f>
        <v>自然及人文环境</v>
      </c>
      <c r="R23" s="1558" t="s">
        <v>11</v>
      </c>
      <c r="S23" s="1559">
        <f>F23</f>
        <v>100</v>
      </c>
      <c r="T23" s="1558" t="s">
        <v>11</v>
      </c>
      <c r="U23" s="1559">
        <f>H23</f>
        <v>100</v>
      </c>
      <c r="V23" s="1558" t="s">
        <v>11</v>
      </c>
      <c r="W23" s="1559">
        <f>J23</f>
        <v>100</v>
      </c>
      <c r="X23" s="1552"/>
      <c r="Y23" s="3392"/>
      <c r="Z23" s="1560" t="str">
        <f>Q23</f>
        <v>自然及人文环境</v>
      </c>
      <c r="AA23" s="1561">
        <f t="shared" si="3"/>
        <v>1</v>
      </c>
      <c r="AB23" s="1561">
        <f t="shared" si="4"/>
        <v>1</v>
      </c>
      <c r="AC23" s="1561">
        <f t="shared" si="5"/>
        <v>1</v>
      </c>
    </row>
    <row r="24" spans="1:29" ht="15.6" thickBot="1">
      <c r="A24" s="531"/>
      <c r="B24" s="594"/>
      <c r="C24" s="555" t="s">
        <v>3065</v>
      </c>
      <c r="D24" s="554"/>
      <c r="E24" s="555" t="s">
        <v>3065</v>
      </c>
      <c r="F24" s="556"/>
      <c r="G24" s="555" t="s">
        <v>3065</v>
      </c>
      <c r="H24" s="554"/>
      <c r="I24" s="555" t="s">
        <v>3065</v>
      </c>
      <c r="J24" s="554"/>
      <c r="K24" s="869"/>
      <c r="L24" s="2125"/>
      <c r="M24" s="2117"/>
      <c r="N24" s="2117"/>
      <c r="O24" s="2124"/>
      <c r="P24" s="3392"/>
      <c r="Q24" s="1557"/>
      <c r="R24" s="1558"/>
      <c r="S24" s="1559"/>
      <c r="T24" s="1558"/>
      <c r="U24" s="1559"/>
      <c r="V24" s="1558"/>
      <c r="W24" s="1559"/>
      <c r="X24" s="1552"/>
      <c r="Y24" s="3392"/>
      <c r="Z24" s="1560"/>
      <c r="AA24" s="1561">
        <v>1</v>
      </c>
      <c r="AB24" s="1561">
        <v>1</v>
      </c>
      <c r="AC24" s="1561">
        <v>1</v>
      </c>
    </row>
    <row r="25" spans="1:29" ht="15" hidden="1">
      <c r="A25" s="531"/>
      <c r="B25" s="1878" t="s">
        <v>2256</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392"/>
      <c r="Q25" s="1557" t="str">
        <f t="shared" ref="Q25:Q46" si="11">B25</f>
        <v>楼层-1</v>
      </c>
      <c r="R25" s="1558" t="s">
        <v>11</v>
      </c>
      <c r="S25" s="1559">
        <f>F25</f>
        <v>100</v>
      </c>
      <c r="T25" s="1558" t="s">
        <v>11</v>
      </c>
      <c r="U25" s="1559">
        <f>H25</f>
        <v>100</v>
      </c>
      <c r="V25" s="1558" t="s">
        <v>11</v>
      </c>
      <c r="W25" s="1559">
        <f>J25</f>
        <v>100</v>
      </c>
      <c r="X25" s="1552"/>
      <c r="Y25" s="3392"/>
      <c r="Z25" s="1560" t="str">
        <f>Q25</f>
        <v>楼层-1</v>
      </c>
      <c r="AA25" s="1561">
        <f t="shared" si="3"/>
        <v>1</v>
      </c>
      <c r="AB25" s="1561">
        <f t="shared" si="4"/>
        <v>1</v>
      </c>
      <c r="AC25" s="1561">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392"/>
      <c r="Q26" s="1557" t="str">
        <f t="shared" si="11"/>
        <v>朝向</v>
      </c>
      <c r="R26" s="1558" t="s">
        <v>11</v>
      </c>
      <c r="S26" s="1559">
        <f>F26</f>
        <v>100</v>
      </c>
      <c r="T26" s="1558" t="s">
        <v>11</v>
      </c>
      <c r="U26" s="1559">
        <f>H26</f>
        <v>100</v>
      </c>
      <c r="V26" s="1558" t="s">
        <v>11</v>
      </c>
      <c r="W26" s="1559">
        <f>J26</f>
        <v>100</v>
      </c>
      <c r="X26" s="1552"/>
      <c r="Y26" s="3392"/>
      <c r="Z26" s="1560" t="str">
        <f>Q26</f>
        <v>朝向</v>
      </c>
      <c r="AA26" s="1561">
        <f t="shared" si="3"/>
        <v>1</v>
      </c>
      <c r="AB26" s="1561">
        <f t="shared" si="4"/>
        <v>1</v>
      </c>
      <c r="AC26" s="1561">
        <f t="shared" si="5"/>
        <v>1</v>
      </c>
    </row>
    <row r="27" spans="1:29" s="1214" customFormat="1" ht="15.6"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392"/>
      <c r="Q27" s="1145" t="str">
        <f t="shared" si="11"/>
        <v>道路级别</v>
      </c>
      <c r="R27" s="1553" t="s">
        <v>11</v>
      </c>
      <c r="S27" s="1554">
        <f>F27</f>
        <v>100</v>
      </c>
      <c r="T27" s="1553" t="s">
        <v>11</v>
      </c>
      <c r="U27" s="1554">
        <f>H27</f>
        <v>100</v>
      </c>
      <c r="V27" s="1553" t="s">
        <v>11</v>
      </c>
      <c r="W27" s="1554">
        <f>J27</f>
        <v>100</v>
      </c>
      <c r="X27" s="1555"/>
      <c r="Y27" s="3392"/>
      <c r="Z27" s="1144" t="str">
        <f>Q27</f>
        <v>道路级别</v>
      </c>
      <c r="AA27" s="1561">
        <f>D27/F27</f>
        <v>1</v>
      </c>
      <c r="AB27" s="1561">
        <f>D27/H27</f>
        <v>1</v>
      </c>
      <c r="AC27" s="1561">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392"/>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2"/>
      <c r="Z28" s="1560">
        <f t="shared" ref="Z28:Z46" si="15">Q28</f>
        <v>111</v>
      </c>
      <c r="AA28" s="1561">
        <f t="shared" si="3"/>
        <v>1</v>
      </c>
      <c r="AB28" s="1561">
        <f t="shared" si="4"/>
        <v>1</v>
      </c>
      <c r="AC28" s="1561">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392"/>
      <c r="Q29" s="1557">
        <f t="shared" si="11"/>
        <v>111</v>
      </c>
      <c r="R29" s="1558" t="s">
        <v>11</v>
      </c>
      <c r="S29" s="1559">
        <f t="shared" si="12"/>
        <v>100</v>
      </c>
      <c r="T29" s="1558" t="s">
        <v>11</v>
      </c>
      <c r="U29" s="1559">
        <f t="shared" si="13"/>
        <v>100</v>
      </c>
      <c r="V29" s="1558" t="s">
        <v>11</v>
      </c>
      <c r="W29" s="1559">
        <f t="shared" si="14"/>
        <v>100</v>
      </c>
      <c r="X29" s="1552"/>
      <c r="Y29" s="3392"/>
      <c r="Z29" s="1560">
        <f t="shared" si="15"/>
        <v>111</v>
      </c>
      <c r="AA29" s="1561">
        <f t="shared" si="3"/>
        <v>1</v>
      </c>
      <c r="AB29" s="1561">
        <f t="shared" si="4"/>
        <v>1</v>
      </c>
      <c r="AC29" s="1561">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392"/>
      <c r="Q30" s="1557">
        <f t="shared" si="11"/>
        <v>111</v>
      </c>
      <c r="R30" s="1558" t="s">
        <v>11</v>
      </c>
      <c r="S30" s="1559">
        <f t="shared" si="12"/>
        <v>100</v>
      </c>
      <c r="T30" s="1558" t="s">
        <v>11</v>
      </c>
      <c r="U30" s="1559">
        <f t="shared" si="13"/>
        <v>100</v>
      </c>
      <c r="V30" s="1558" t="s">
        <v>11</v>
      </c>
      <c r="W30" s="1559">
        <f t="shared" si="14"/>
        <v>100</v>
      </c>
      <c r="X30" s="1552"/>
      <c r="Y30" s="3392"/>
      <c r="Z30" s="1560">
        <f t="shared" si="15"/>
        <v>111</v>
      </c>
      <c r="AA30" s="1561">
        <f t="shared" si="3"/>
        <v>1</v>
      </c>
      <c r="AB30" s="1561">
        <f t="shared" si="4"/>
        <v>1</v>
      </c>
      <c r="AC30" s="1561">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392"/>
      <c r="Q31" s="1557">
        <f t="shared" si="11"/>
        <v>111</v>
      </c>
      <c r="R31" s="1558" t="s">
        <v>11</v>
      </c>
      <c r="S31" s="1559">
        <f t="shared" si="12"/>
        <v>100</v>
      </c>
      <c r="T31" s="1558" t="s">
        <v>11</v>
      </c>
      <c r="U31" s="1559">
        <f t="shared" si="13"/>
        <v>100</v>
      </c>
      <c r="V31" s="1558" t="s">
        <v>11</v>
      </c>
      <c r="W31" s="1559">
        <f t="shared" si="14"/>
        <v>100</v>
      </c>
      <c r="X31" s="1552"/>
      <c r="Y31" s="3392"/>
      <c r="Z31" s="1560">
        <f t="shared" si="15"/>
        <v>111</v>
      </c>
      <c r="AA31" s="1561">
        <f t="shared" si="3"/>
        <v>1</v>
      </c>
      <c r="AB31" s="1561">
        <f t="shared" si="4"/>
        <v>1</v>
      </c>
      <c r="AC31" s="1561">
        <f t="shared" si="5"/>
        <v>1</v>
      </c>
    </row>
    <row r="32" spans="1:29" ht="15">
      <c r="A32" s="2860" t="s">
        <v>2754</v>
      </c>
      <c r="B32" s="172" t="s">
        <v>725</v>
      </c>
      <c r="C32" s="877" t="s">
        <v>3346</v>
      </c>
      <c r="D32" s="596">
        <v>100</v>
      </c>
      <c r="E32" s="877" t="s">
        <v>3346</v>
      </c>
      <c r="F32" s="574">
        <f>SUMIF(100:100,E32,101:101)-SUMIF(100:100,C32,101:101)+100</f>
        <v>100</v>
      </c>
      <c r="G32" s="877" t="s">
        <v>3346</v>
      </c>
      <c r="H32" s="596">
        <f>SUMIF(100:100,G32,101:101)-SUMIF(100:100,C32,101:101)+100</f>
        <v>100</v>
      </c>
      <c r="I32" s="877" t="s">
        <v>3346</v>
      </c>
      <c r="J32" s="539">
        <f>SUMIF(100:100,I32,101:101)-SUMIF(100:100,C32,101:101)+100</f>
        <v>100</v>
      </c>
      <c r="K32" s="863">
        <v>2</v>
      </c>
      <c r="L32" s="2125"/>
      <c r="M32" s="2117"/>
      <c r="N32" s="2117"/>
      <c r="O32" s="2124"/>
      <c r="P32" s="3393" t="s">
        <v>550</v>
      </c>
      <c r="Q32" s="1557" t="str">
        <f t="shared" si="11"/>
        <v>建筑类型</v>
      </c>
      <c r="R32" s="1558" t="s">
        <v>11</v>
      </c>
      <c r="S32" s="1559">
        <f t="shared" si="12"/>
        <v>100</v>
      </c>
      <c r="T32" s="1558" t="s">
        <v>11</v>
      </c>
      <c r="U32" s="1559">
        <f t="shared" si="13"/>
        <v>100</v>
      </c>
      <c r="V32" s="1558" t="s">
        <v>11</v>
      </c>
      <c r="W32" s="1559">
        <f t="shared" si="14"/>
        <v>100</v>
      </c>
      <c r="X32" s="1552"/>
      <c r="Y32" s="3394" t="s">
        <v>550</v>
      </c>
      <c r="Z32" s="1560" t="str">
        <f t="shared" si="15"/>
        <v>建筑类型</v>
      </c>
      <c r="AA32" s="1561">
        <f t="shared" si="3"/>
        <v>1</v>
      </c>
      <c r="AB32" s="1561">
        <f t="shared" si="4"/>
        <v>1</v>
      </c>
      <c r="AC32" s="1561">
        <f t="shared" si="5"/>
        <v>1</v>
      </c>
    </row>
    <row r="33" spans="1:29" s="1333" customFormat="1" ht="15">
      <c r="A33" s="602"/>
      <c r="B33" s="526" t="s">
        <v>726</v>
      </c>
      <c r="C33" s="878">
        <f>'数据-汇总表'!E3</f>
        <v>69312.710000000006</v>
      </c>
      <c r="D33" s="254">
        <v>100</v>
      </c>
      <c r="E33" s="533">
        <v>360000</v>
      </c>
      <c r="F33" s="862">
        <f>LOOKUP(E33,103:103,104:104)-LOOKUP(C33,103:103,104:104)+100</f>
        <v>103</v>
      </c>
      <c r="G33" s="3196">
        <v>285935.35999999999</v>
      </c>
      <c r="H33" s="254">
        <f>LOOKUP(G33,103:103,104:104)-LOOKUP(C33,103:103,104:104)+100</f>
        <v>102</v>
      </c>
      <c r="I33" s="533">
        <v>12000</v>
      </c>
      <c r="J33" s="254">
        <f>LOOKUP(I33,103:103,104:104)-LOOKUP(C33,103:103,104:104)+100</f>
        <v>99.5</v>
      </c>
      <c r="K33" s="864"/>
      <c r="L33" s="2123"/>
      <c r="M33" s="2154"/>
      <c r="N33" s="2154"/>
      <c r="O33" s="2126"/>
      <c r="P33" s="3394"/>
      <c r="Q33" s="1589" t="str">
        <f t="shared" si="11"/>
        <v>项目建筑规模</v>
      </c>
      <c r="R33" s="1562" t="s">
        <v>11</v>
      </c>
      <c r="S33" s="1563">
        <f t="shared" si="12"/>
        <v>103</v>
      </c>
      <c r="T33" s="1562" t="s">
        <v>11</v>
      </c>
      <c r="U33" s="1563">
        <f t="shared" si="13"/>
        <v>102</v>
      </c>
      <c r="V33" s="1562" t="s">
        <v>11</v>
      </c>
      <c r="W33" s="1563">
        <f t="shared" si="14"/>
        <v>99.5</v>
      </c>
      <c r="X33" s="1564"/>
      <c r="Y33" s="3394"/>
      <c r="Z33" s="1565" t="str">
        <f t="shared" si="15"/>
        <v>项目建筑规模</v>
      </c>
      <c r="AA33" s="1561">
        <f t="shared" si="3"/>
        <v>0.970873786407767</v>
      </c>
      <c r="AB33" s="1561">
        <f t="shared" si="4"/>
        <v>0.98039215686274506</v>
      </c>
      <c r="AC33" s="1561">
        <f t="shared" si="5"/>
        <v>1.0050251256281406</v>
      </c>
    </row>
    <row r="34" spans="1:29" ht="15">
      <c r="A34" s="593"/>
      <c r="B34" s="526" t="s">
        <v>727</v>
      </c>
      <c r="C34" s="879" t="s">
        <v>3344</v>
      </c>
      <c r="D34" s="539">
        <v>100</v>
      </c>
      <c r="E34" s="879" t="s">
        <v>3344</v>
      </c>
      <c r="F34" s="574">
        <f>SUMIF(105:105,E34,106:106)-SUMIF(105:105,C34,106:106)+100</f>
        <v>100</v>
      </c>
      <c r="G34" s="879" t="s">
        <v>3344</v>
      </c>
      <c r="H34" s="539">
        <f>SUMIF(105:105,G34,106:106)-SUMIF(105:105,C34,106:106)+100</f>
        <v>100</v>
      </c>
      <c r="I34" s="879" t="s">
        <v>3344</v>
      </c>
      <c r="J34" s="539">
        <f>SUMIF(105:105,I34,106:106)-SUMIF(105:105,C34,106:106)+100</f>
        <v>100</v>
      </c>
      <c r="K34" s="863">
        <v>1</v>
      </c>
      <c r="L34" s="2125"/>
      <c r="M34" s="2117"/>
      <c r="N34" s="2117"/>
      <c r="O34" s="2124"/>
      <c r="P34" s="3394"/>
      <c r="Q34" s="1557" t="str">
        <f t="shared" si="11"/>
        <v>建筑结构</v>
      </c>
      <c r="R34" s="1558" t="s">
        <v>11</v>
      </c>
      <c r="S34" s="1559">
        <f t="shared" si="12"/>
        <v>100</v>
      </c>
      <c r="T34" s="1558" t="s">
        <v>11</v>
      </c>
      <c r="U34" s="1559">
        <f t="shared" si="13"/>
        <v>100</v>
      </c>
      <c r="V34" s="1558" t="s">
        <v>11</v>
      </c>
      <c r="W34" s="1559">
        <f t="shared" si="14"/>
        <v>100</v>
      </c>
      <c r="X34" s="1552"/>
      <c r="Y34" s="3394"/>
      <c r="Z34" s="1560" t="str">
        <f t="shared" si="15"/>
        <v>建筑结构</v>
      </c>
      <c r="AA34" s="1561">
        <f t="shared" si="3"/>
        <v>1</v>
      </c>
      <c r="AB34" s="1561">
        <f t="shared" si="4"/>
        <v>1</v>
      </c>
      <c r="AC34" s="1561">
        <f t="shared" si="5"/>
        <v>1</v>
      </c>
    </row>
    <row r="35" spans="1:29" ht="15">
      <c r="A35" s="593"/>
      <c r="B35" s="526" t="s">
        <v>728</v>
      </c>
      <c r="C35" s="598" t="s">
        <v>3065</v>
      </c>
      <c r="D35" s="539">
        <v>100</v>
      </c>
      <c r="E35" s="598" t="s">
        <v>3065</v>
      </c>
      <c r="F35" s="574">
        <f>SUMIF(107:107,E35,108:108)-SUMIF(107:107,C35,108:108)+100</f>
        <v>100</v>
      </c>
      <c r="G35" s="598" t="s">
        <v>3065</v>
      </c>
      <c r="H35" s="539">
        <f>SUMIF(107:107,G35,108:108)-SUMIF(107:107,C35,108:108)+100</f>
        <v>100</v>
      </c>
      <c r="I35" s="598" t="s">
        <v>3065</v>
      </c>
      <c r="J35" s="539">
        <f>SUMIF(107:107,I35,108:108)-SUMIF(107:107,C35,108:108)+100</f>
        <v>100</v>
      </c>
      <c r="K35" s="863">
        <v>1</v>
      </c>
      <c r="L35" s="2125"/>
      <c r="M35" s="2117"/>
      <c r="N35" s="2117"/>
      <c r="O35" s="2124"/>
      <c r="P35" s="3394"/>
      <c r="Q35" s="1557" t="str">
        <f t="shared" si="11"/>
        <v>建筑品质</v>
      </c>
      <c r="R35" s="1558" t="s">
        <v>11</v>
      </c>
      <c r="S35" s="1559">
        <f t="shared" si="12"/>
        <v>100</v>
      </c>
      <c r="T35" s="1558" t="s">
        <v>11</v>
      </c>
      <c r="U35" s="1559">
        <f t="shared" si="13"/>
        <v>100</v>
      </c>
      <c r="V35" s="1558" t="s">
        <v>11</v>
      </c>
      <c r="W35" s="1559">
        <f t="shared" si="14"/>
        <v>100</v>
      </c>
      <c r="X35" s="1552"/>
      <c r="Y35" s="3394"/>
      <c r="Z35" s="1560" t="str">
        <f t="shared" si="15"/>
        <v>建筑品质</v>
      </c>
      <c r="AA35" s="1561">
        <f t="shared" si="3"/>
        <v>1</v>
      </c>
      <c r="AB35" s="1561">
        <f t="shared" si="4"/>
        <v>1</v>
      </c>
      <c r="AC35" s="1561">
        <f t="shared" si="5"/>
        <v>1</v>
      </c>
    </row>
    <row r="36" spans="1:29" ht="15">
      <c r="A36" s="593"/>
      <c r="B36" s="526" t="s">
        <v>729</v>
      </c>
      <c r="C36" s="598" t="s">
        <v>3332</v>
      </c>
      <c r="D36" s="539">
        <v>100</v>
      </c>
      <c r="E36" s="598" t="s">
        <v>3332</v>
      </c>
      <c r="F36" s="574">
        <f>SUMIF(109:109,E36,110:110)-SUMIF(109:109,C36,110:110)+100</f>
        <v>100</v>
      </c>
      <c r="G36" s="598" t="s">
        <v>3332</v>
      </c>
      <c r="H36" s="539">
        <f>SUMIF(109:109,G36,110:110)-SUMIF(109:109,C36,110:110)+100</f>
        <v>100</v>
      </c>
      <c r="I36" s="598" t="s">
        <v>3332</v>
      </c>
      <c r="J36" s="539">
        <f>SUMIF(109:109,I36,110:110)-SUMIF(109:109,C36,110:110)+100</f>
        <v>100</v>
      </c>
      <c r="K36" s="863">
        <v>2</v>
      </c>
      <c r="L36" s="2125"/>
      <c r="M36" s="2117"/>
      <c r="N36" s="2117"/>
      <c r="O36" s="2124"/>
      <c r="P36" s="3394"/>
      <c r="Q36" s="1557" t="str">
        <f t="shared" si="11"/>
        <v>公共部分装修</v>
      </c>
      <c r="R36" s="1558" t="s">
        <v>11</v>
      </c>
      <c r="S36" s="1559">
        <f t="shared" si="12"/>
        <v>100</v>
      </c>
      <c r="T36" s="1558" t="s">
        <v>11</v>
      </c>
      <c r="U36" s="1559">
        <f t="shared" si="13"/>
        <v>100</v>
      </c>
      <c r="V36" s="1558" t="s">
        <v>11</v>
      </c>
      <c r="W36" s="1559">
        <f t="shared" si="14"/>
        <v>100</v>
      </c>
      <c r="X36" s="1552"/>
      <c r="Y36" s="3394"/>
      <c r="Z36" s="1560" t="str">
        <f t="shared" si="15"/>
        <v>公共部分装修</v>
      </c>
      <c r="AA36" s="1561">
        <f t="shared" si="3"/>
        <v>1</v>
      </c>
      <c r="AB36" s="1561">
        <f t="shared" si="4"/>
        <v>1</v>
      </c>
      <c r="AC36" s="1561">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18"/>
      <c r="M37" s="2119"/>
      <c r="N37" s="2119"/>
      <c r="O37" s="2120"/>
      <c r="P37" s="3394"/>
      <c r="Q37" s="1145" t="str">
        <f t="shared" si="11"/>
        <v>成新度</v>
      </c>
      <c r="R37" s="1553" t="s">
        <v>11</v>
      </c>
      <c r="S37" s="1554">
        <f t="shared" si="12"/>
        <v>100</v>
      </c>
      <c r="T37" s="1553" t="s">
        <v>11</v>
      </c>
      <c r="U37" s="1554">
        <f t="shared" si="13"/>
        <v>100</v>
      </c>
      <c r="V37" s="1553" t="s">
        <v>11</v>
      </c>
      <c r="W37" s="1554">
        <f t="shared" si="14"/>
        <v>100</v>
      </c>
      <c r="X37" s="1555"/>
      <c r="Y37" s="3394"/>
      <c r="Z37" s="1144" t="str">
        <f t="shared" si="15"/>
        <v>成新度</v>
      </c>
      <c r="AA37" s="1556">
        <f t="shared" si="3"/>
        <v>1</v>
      </c>
      <c r="AB37" s="1556">
        <f t="shared" si="4"/>
        <v>1</v>
      </c>
      <c r="AC37" s="1556">
        <f t="shared" si="5"/>
        <v>1</v>
      </c>
    </row>
    <row r="38" spans="1:29" ht="15">
      <c r="A38" s="593"/>
      <c r="B38" s="526" t="s">
        <v>731</v>
      </c>
      <c r="C38" s="598" t="s">
        <v>3065</v>
      </c>
      <c r="D38" s="539">
        <v>100</v>
      </c>
      <c r="E38" s="598" t="s">
        <v>3065</v>
      </c>
      <c r="F38" s="574">
        <f>SUMIF(114:114,E38,115:115)-SUMIF(114:114,C38,115:115)+100</f>
        <v>100</v>
      </c>
      <c r="G38" s="598" t="s">
        <v>3065</v>
      </c>
      <c r="H38" s="539">
        <f>SUMIF(114:114,G38,115:115)-SUMIF(114:114,C38,115:115)+100</f>
        <v>100</v>
      </c>
      <c r="I38" s="598" t="s">
        <v>3065</v>
      </c>
      <c r="J38" s="539">
        <f>SUMIF(114:114,I38,115:115)-SUMIF(114:114,C38,115:115)+100</f>
        <v>100</v>
      </c>
      <c r="K38" s="863">
        <v>1</v>
      </c>
      <c r="L38" s="2125"/>
      <c r="M38" s="2117"/>
      <c r="N38" s="2117"/>
      <c r="O38" s="2124"/>
      <c r="P38" s="3394" t="s">
        <v>550</v>
      </c>
      <c r="Q38" s="1557" t="str">
        <f t="shared" si="11"/>
        <v>物业管理</v>
      </c>
      <c r="R38" s="1558" t="s">
        <v>11</v>
      </c>
      <c r="S38" s="1559">
        <f t="shared" si="12"/>
        <v>100</v>
      </c>
      <c r="T38" s="1558" t="s">
        <v>11</v>
      </c>
      <c r="U38" s="1559">
        <f t="shared" si="13"/>
        <v>100</v>
      </c>
      <c r="V38" s="1558" t="s">
        <v>11</v>
      </c>
      <c r="W38" s="1559">
        <f t="shared" si="14"/>
        <v>100</v>
      </c>
      <c r="X38" s="1552"/>
      <c r="Y38" s="3394" t="s">
        <v>550</v>
      </c>
      <c r="Z38" s="1560" t="str">
        <f t="shared" si="15"/>
        <v>物业管理</v>
      </c>
      <c r="AA38" s="1561">
        <f t="shared" si="3"/>
        <v>1</v>
      </c>
      <c r="AB38" s="1561">
        <f t="shared" si="4"/>
        <v>1</v>
      </c>
      <c r="AC38" s="1561">
        <f t="shared" si="5"/>
        <v>1</v>
      </c>
    </row>
    <row r="39" spans="1:29" ht="15">
      <c r="A39" s="593"/>
      <c r="B39" s="1878" t="s">
        <v>2563</v>
      </c>
      <c r="C39" s="598" t="s">
        <v>3010</v>
      </c>
      <c r="D39" s="539">
        <v>100</v>
      </c>
      <c r="E39" s="598" t="s">
        <v>3010</v>
      </c>
      <c r="F39" s="574">
        <f>SUMIF(116:116,E39,117:117)-SUMIF(116:116,C39,117:117)+100</f>
        <v>100</v>
      </c>
      <c r="G39" s="598" t="s">
        <v>3010</v>
      </c>
      <c r="H39" s="539">
        <f>SUMIF(116:116,G39,117:117)-SUMIF(116:116,C39,117:117)+100</f>
        <v>100</v>
      </c>
      <c r="I39" s="598" t="s">
        <v>3010</v>
      </c>
      <c r="J39" s="539">
        <f>SUMIF(116:116,I39,117:117)-SUMIF(116:116,C39,117:117)+100</f>
        <v>100</v>
      </c>
      <c r="K39" s="863">
        <v>1</v>
      </c>
      <c r="L39" s="2125"/>
      <c r="M39" s="2117"/>
      <c r="N39" s="2117"/>
      <c r="O39" s="2124"/>
      <c r="P39" s="3394"/>
      <c r="Q39" s="1557" t="str">
        <f t="shared" si="11"/>
        <v>市政基础设施</v>
      </c>
      <c r="R39" s="1558" t="s">
        <v>11</v>
      </c>
      <c r="S39" s="1559">
        <f t="shared" si="12"/>
        <v>100</v>
      </c>
      <c r="T39" s="1558" t="s">
        <v>11</v>
      </c>
      <c r="U39" s="1559">
        <f t="shared" si="13"/>
        <v>100</v>
      </c>
      <c r="V39" s="1558" t="s">
        <v>11</v>
      </c>
      <c r="W39" s="1559">
        <f t="shared" si="14"/>
        <v>100</v>
      </c>
      <c r="X39" s="1552"/>
      <c r="Y39" s="3394"/>
      <c r="Z39" s="1560" t="str">
        <f t="shared" si="15"/>
        <v>市政基础设施</v>
      </c>
      <c r="AA39" s="1561">
        <f t="shared" si="3"/>
        <v>1</v>
      </c>
      <c r="AB39" s="1561">
        <f t="shared" si="4"/>
        <v>1</v>
      </c>
      <c r="AC39" s="1561">
        <f t="shared" si="5"/>
        <v>1</v>
      </c>
    </row>
    <row r="40" spans="1:29" ht="15">
      <c r="A40" s="593"/>
      <c r="B40" s="526" t="s">
        <v>732</v>
      </c>
      <c r="C40" s="598" t="s">
        <v>3353</v>
      </c>
      <c r="D40" s="539">
        <v>100</v>
      </c>
      <c r="E40" s="598" t="s">
        <v>3353</v>
      </c>
      <c r="F40" s="574">
        <f>SUMIF(118:118,E40,119:119)-SUMIF(118:118,C40,119:119)+100</f>
        <v>100</v>
      </c>
      <c r="G40" s="598" t="s">
        <v>3353</v>
      </c>
      <c r="H40" s="539">
        <f>SUMIF(118:118,G40,119:119)-SUMIF(118:118,C40,119:119)+100</f>
        <v>100</v>
      </c>
      <c r="I40" s="598" t="s">
        <v>3353</v>
      </c>
      <c r="J40" s="539">
        <f>SUMIF(118:118,I40,119:119)-SUMIF(118:118,C40,119:119)+100</f>
        <v>100</v>
      </c>
      <c r="K40" s="863">
        <v>1</v>
      </c>
      <c r="L40" s="2125"/>
      <c r="M40" s="2117"/>
      <c r="N40" s="2117"/>
      <c r="O40" s="2124"/>
      <c r="P40" s="3394"/>
      <c r="Q40" s="1557" t="str">
        <f t="shared" si="11"/>
        <v>房型</v>
      </c>
      <c r="R40" s="1558" t="s">
        <v>11</v>
      </c>
      <c r="S40" s="1559">
        <f t="shared" si="12"/>
        <v>100</v>
      </c>
      <c r="T40" s="1558" t="s">
        <v>11</v>
      </c>
      <c r="U40" s="1559">
        <f t="shared" si="13"/>
        <v>100</v>
      </c>
      <c r="V40" s="1558" t="s">
        <v>11</v>
      </c>
      <c r="W40" s="1559">
        <f t="shared" si="14"/>
        <v>100</v>
      </c>
      <c r="X40" s="1552"/>
      <c r="Y40" s="3394"/>
      <c r="Z40" s="1560" t="str">
        <f t="shared" si="15"/>
        <v>房型</v>
      </c>
      <c r="AA40" s="1561">
        <f t="shared" si="3"/>
        <v>1</v>
      </c>
      <c r="AB40" s="1561">
        <f t="shared" si="4"/>
        <v>1</v>
      </c>
      <c r="AC40" s="1561">
        <f t="shared" si="5"/>
        <v>1</v>
      </c>
    </row>
    <row r="41" spans="1:29" s="1333" customFormat="1" ht="28.8"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394"/>
      <c r="Q41" s="1589" t="str">
        <f t="shared" si="11"/>
        <v>单套/主力户型建筑面积</v>
      </c>
      <c r="R41" s="1562" t="s">
        <v>11</v>
      </c>
      <c r="S41" s="1563">
        <f t="shared" si="12"/>
        <v>100</v>
      </c>
      <c r="T41" s="1562" t="s">
        <v>11</v>
      </c>
      <c r="U41" s="1563">
        <f t="shared" si="13"/>
        <v>100</v>
      </c>
      <c r="V41" s="1562" t="s">
        <v>11</v>
      </c>
      <c r="W41" s="1563">
        <f t="shared" si="14"/>
        <v>100</v>
      </c>
      <c r="X41" s="1564"/>
      <c r="Y41" s="3394"/>
      <c r="Z41" s="1565" t="str">
        <f t="shared" si="15"/>
        <v>单套/主力户型建筑面积</v>
      </c>
      <c r="AA41" s="1561">
        <f t="shared" si="3"/>
        <v>1</v>
      </c>
      <c r="AB41" s="1561">
        <f t="shared" si="4"/>
        <v>1</v>
      </c>
      <c r="AC41" s="1561">
        <f t="shared" si="5"/>
        <v>1</v>
      </c>
    </row>
    <row r="42" spans="1:29" ht="15">
      <c r="A42" s="593"/>
      <c r="B42" s="526" t="s">
        <v>734</v>
      </c>
      <c r="C42" s="598" t="s">
        <v>3336</v>
      </c>
      <c r="D42" s="539">
        <v>100</v>
      </c>
      <c r="E42" s="873" t="s">
        <v>3336</v>
      </c>
      <c r="F42" s="574">
        <f>SUMIF(122:122,E42,123:123)-SUMIF(122:122,C42,123:123)+100</f>
        <v>100</v>
      </c>
      <c r="G42" s="598" t="s">
        <v>3336</v>
      </c>
      <c r="H42" s="539">
        <f>SUMIF(122:122,G42,123:123)-SUMIF(122:122,C42,123:123)+100</f>
        <v>100</v>
      </c>
      <c r="I42" s="598" t="s">
        <v>3336</v>
      </c>
      <c r="J42" s="539">
        <f>SUMIF(122:122,I42,123:123)-SUMIF(122:122,C42,123:123)+100</f>
        <v>100</v>
      </c>
      <c r="K42" s="863">
        <v>2</v>
      </c>
      <c r="L42" s="2125"/>
      <c r="M42" s="2117"/>
      <c r="N42" s="2117"/>
      <c r="O42" s="2124"/>
      <c r="P42" s="3394"/>
      <c r="Q42" s="1557" t="str">
        <f t="shared" si="11"/>
        <v>内部装修</v>
      </c>
      <c r="R42" s="1558" t="s">
        <v>11</v>
      </c>
      <c r="S42" s="1559">
        <f t="shared" si="12"/>
        <v>100</v>
      </c>
      <c r="T42" s="1558" t="s">
        <v>11</v>
      </c>
      <c r="U42" s="1559">
        <f t="shared" si="13"/>
        <v>100</v>
      </c>
      <c r="V42" s="1558" t="s">
        <v>11</v>
      </c>
      <c r="W42" s="1559">
        <f t="shared" si="14"/>
        <v>100</v>
      </c>
      <c r="X42" s="1552"/>
      <c r="Y42" s="3394"/>
      <c r="Z42" s="1560" t="str">
        <f t="shared" si="15"/>
        <v>内部装修</v>
      </c>
      <c r="AA42" s="1561">
        <f t="shared" si="3"/>
        <v>1</v>
      </c>
      <c r="AB42" s="1561">
        <f t="shared" si="4"/>
        <v>1</v>
      </c>
      <c r="AC42" s="1561">
        <f t="shared" si="5"/>
        <v>1</v>
      </c>
    </row>
    <row r="43" spans="1:29" ht="29.4" thickBot="1">
      <c r="A43" s="593"/>
      <c r="B43" s="526" t="s">
        <v>735</v>
      </c>
      <c r="C43" s="598" t="s">
        <v>3065</v>
      </c>
      <c r="D43" s="539">
        <v>100</v>
      </c>
      <c r="E43" s="598" t="s">
        <v>3065</v>
      </c>
      <c r="F43" s="574">
        <f>SUMIF(124:124,E43,125:125)-SUMIF(124:124,C43,125:125)+100</f>
        <v>100</v>
      </c>
      <c r="G43" s="598" t="s">
        <v>3065</v>
      </c>
      <c r="H43" s="539">
        <f>SUMIF(124:124,G43,125:125)-SUMIF(124:124,C43,125:125)+100</f>
        <v>100</v>
      </c>
      <c r="I43" s="598" t="s">
        <v>3065</v>
      </c>
      <c r="J43" s="539">
        <f>SUMIF(124:124,I43,125:125)-SUMIF(124:124,C43,125:125)+100</f>
        <v>100</v>
      </c>
      <c r="K43" s="863">
        <v>1</v>
      </c>
      <c r="L43" s="2125"/>
      <c r="M43" s="2117"/>
      <c r="N43" s="2117"/>
      <c r="O43" s="2124"/>
      <c r="P43" s="3394"/>
      <c r="Q43" s="1557" t="str">
        <f t="shared" si="11"/>
        <v>内部装修维护情况</v>
      </c>
      <c r="R43" s="1558" t="s">
        <v>11</v>
      </c>
      <c r="S43" s="1559">
        <f t="shared" si="12"/>
        <v>100</v>
      </c>
      <c r="T43" s="1558" t="s">
        <v>11</v>
      </c>
      <c r="U43" s="1559">
        <f t="shared" si="13"/>
        <v>100</v>
      </c>
      <c r="V43" s="1558" t="s">
        <v>11</v>
      </c>
      <c r="W43" s="1559">
        <f t="shared" si="14"/>
        <v>100</v>
      </c>
      <c r="X43" s="1552"/>
      <c r="Y43" s="3394"/>
      <c r="Z43" s="1560" t="str">
        <f t="shared" si="15"/>
        <v>内部装修维护情况</v>
      </c>
      <c r="AA43" s="1561">
        <f t="shared" si="3"/>
        <v>1</v>
      </c>
      <c r="AB43" s="1561">
        <f t="shared" si="4"/>
        <v>1</v>
      </c>
      <c r="AC43" s="1561">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394"/>
      <c r="Q44" s="1145">
        <f t="shared" si="11"/>
        <v>111</v>
      </c>
      <c r="R44" s="1553" t="s">
        <v>11</v>
      </c>
      <c r="S44" s="1554">
        <f t="shared" si="12"/>
        <v>100</v>
      </c>
      <c r="T44" s="1553" t="s">
        <v>11</v>
      </c>
      <c r="U44" s="1554">
        <f t="shared" si="13"/>
        <v>100</v>
      </c>
      <c r="V44" s="1553" t="s">
        <v>11</v>
      </c>
      <c r="W44" s="1554">
        <f t="shared" si="14"/>
        <v>100</v>
      </c>
      <c r="X44" s="1555"/>
      <c r="Y44" s="3394"/>
      <c r="Z44" s="1144">
        <f t="shared" si="15"/>
        <v>111</v>
      </c>
      <c r="AA44" s="1556">
        <f t="shared" si="3"/>
        <v>1</v>
      </c>
      <c r="AB44" s="1556">
        <f t="shared" si="4"/>
        <v>1</v>
      </c>
      <c r="AC44" s="1556">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394"/>
      <c r="Q45" s="1557">
        <f t="shared" si="11"/>
        <v>111</v>
      </c>
      <c r="R45" s="1558" t="s">
        <v>11</v>
      </c>
      <c r="S45" s="1559">
        <f t="shared" si="12"/>
        <v>100</v>
      </c>
      <c r="T45" s="1558" t="s">
        <v>11</v>
      </c>
      <c r="U45" s="1559">
        <f t="shared" si="13"/>
        <v>100</v>
      </c>
      <c r="V45" s="1558" t="s">
        <v>11</v>
      </c>
      <c r="W45" s="1559">
        <f t="shared" si="14"/>
        <v>100</v>
      </c>
      <c r="X45" s="1552"/>
      <c r="Y45" s="3394"/>
      <c r="Z45" s="1560">
        <f t="shared" si="15"/>
        <v>111</v>
      </c>
      <c r="AA45" s="1561">
        <f t="shared" si="3"/>
        <v>1</v>
      </c>
      <c r="AB45" s="1561">
        <f t="shared" si="4"/>
        <v>1</v>
      </c>
      <c r="AC45" s="1561">
        <f t="shared" si="5"/>
        <v>1</v>
      </c>
    </row>
    <row r="46" spans="1:29" ht="15.6"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499"/>
      <c r="Q46" s="1557">
        <f t="shared" si="11"/>
        <v>111</v>
      </c>
      <c r="R46" s="1558" t="s">
        <v>10</v>
      </c>
      <c r="S46" s="1559">
        <f t="shared" si="12"/>
        <v>100</v>
      </c>
      <c r="T46" s="1558" t="s">
        <v>10</v>
      </c>
      <c r="U46" s="1559">
        <f t="shared" si="13"/>
        <v>100</v>
      </c>
      <c r="V46" s="1558" t="s">
        <v>10</v>
      </c>
      <c r="W46" s="1559">
        <f t="shared" si="14"/>
        <v>100</v>
      </c>
      <c r="X46" s="1552"/>
      <c r="Y46" s="3499"/>
      <c r="Z46" s="1560">
        <f t="shared" si="15"/>
        <v>111</v>
      </c>
      <c r="AA46" s="1561">
        <f t="shared" si="3"/>
        <v>1</v>
      </c>
      <c r="AB46" s="1561">
        <f t="shared" si="4"/>
        <v>1</v>
      </c>
      <c r="AC46" s="1561">
        <f t="shared" si="5"/>
        <v>1</v>
      </c>
    </row>
    <row r="47" spans="1:29" ht="14.4">
      <c r="A47" s="606" t="s">
        <v>736</v>
      </c>
      <c r="B47" s="885"/>
      <c r="C47" s="2589" t="s">
        <v>9</v>
      </c>
      <c r="D47" s="2590"/>
      <c r="E47" s="2591">
        <v>22000</v>
      </c>
      <c r="F47" s="2592"/>
      <c r="G47" s="2593">
        <v>23000</v>
      </c>
      <c r="H47" s="2594"/>
      <c r="I47" s="2591">
        <v>23000</v>
      </c>
      <c r="J47" s="2594"/>
      <c r="K47" s="1590"/>
      <c r="L47" s="2127"/>
      <c r="M47" s="2128"/>
      <c r="N47" s="2117"/>
      <c r="O47" s="2128"/>
      <c r="P47" s="3389" t="str">
        <f>A47</f>
        <v>成交单价（元/平方米）</v>
      </c>
      <c r="Q47" s="3389"/>
      <c r="R47" s="3498">
        <f>E47</f>
        <v>22000</v>
      </c>
      <c r="S47" s="3498"/>
      <c r="T47" s="3498">
        <f>G47</f>
        <v>23000</v>
      </c>
      <c r="U47" s="3498"/>
      <c r="V47" s="3498">
        <f>I47</f>
        <v>23000</v>
      </c>
      <c r="W47" s="3498"/>
      <c r="X47" s="1544"/>
      <c r="Y47" s="1566"/>
      <c r="Z47" s="1544"/>
      <c r="AA47" s="1544"/>
      <c r="AB47" s="1544"/>
      <c r="AC47" s="1544"/>
    </row>
    <row r="48" spans="1:29" ht="15" thickBot="1">
      <c r="A48" s="614" t="s">
        <v>2759</v>
      </c>
      <c r="B48" s="886"/>
      <c r="C48" s="2595">
        <f>R49</f>
        <v>21560</v>
      </c>
      <c r="D48" s="2596"/>
      <c r="E48" s="2597">
        <f>R48</f>
        <v>21190</v>
      </c>
      <c r="F48" s="2597"/>
      <c r="G48" s="2595">
        <f>T48</f>
        <v>21692</v>
      </c>
      <c r="H48" s="2596"/>
      <c r="I48" s="2597">
        <f>V48</f>
        <v>21797</v>
      </c>
      <c r="J48" s="2596"/>
      <c r="K48" s="1591"/>
      <c r="L48" s="2127"/>
      <c r="M48" s="2128"/>
      <c r="N48" s="2128"/>
      <c r="O48" s="2128"/>
      <c r="P48" s="3389" t="str">
        <f>A48</f>
        <v>比较价格（元/平方米）</v>
      </c>
      <c r="Q48" s="3389"/>
      <c r="R48" s="3498">
        <f>IF(F1="售价",ROUND(PRODUCT(R47,AA7:AA46),0),ROUND(PRODUCT(R47,AA7:AA46),1))</f>
        <v>21190</v>
      </c>
      <c r="S48" s="3498"/>
      <c r="T48" s="3498">
        <f>IF(F1="售价",ROUND(PRODUCT(T47,AB7:AB46),0),ROUND(PRODUCT(T47,AB7:AB46),1))</f>
        <v>21692</v>
      </c>
      <c r="U48" s="3498"/>
      <c r="V48" s="3498">
        <f>IF(F1="售价",ROUND(PRODUCT(V47,AC7:AC46),0),ROUND(PRODUCT(V47,AC7:AC46),1))</f>
        <v>21797</v>
      </c>
      <c r="W48" s="3498"/>
      <c r="X48" s="1544"/>
      <c r="Y48" s="1544"/>
      <c r="Z48" s="1544"/>
      <c r="AA48" s="1544"/>
      <c r="AB48" s="1544"/>
      <c r="AC48" s="1544"/>
    </row>
    <row r="49" spans="1:29" ht="15" thickBot="1">
      <c r="A49" s="620" t="s">
        <v>2930</v>
      </c>
      <c r="B49" s="621"/>
      <c r="C49" s="2598">
        <f>R49</f>
        <v>21560</v>
      </c>
      <c r="D49" s="2598"/>
      <c r="E49" s="2598"/>
      <c r="F49" s="2598"/>
      <c r="G49" s="2598"/>
      <c r="H49" s="2598"/>
      <c r="I49" s="2598"/>
      <c r="J49" s="2598"/>
      <c r="K49" s="1592"/>
      <c r="L49" s="2127"/>
      <c r="M49" s="2128"/>
      <c r="N49" s="2128"/>
      <c r="O49" s="2128"/>
      <c r="P49" s="3411" t="str">
        <f>A49</f>
        <v>估价对象XX用房的比较价格（楼面单价，元/平方米）</v>
      </c>
      <c r="Q49" s="3412"/>
      <c r="R49" s="3497">
        <f>IF(F1="售价",ROUND(AVERAGE(R48:V48),0),ROUND(AVERAGE(R48:V48),1))</f>
        <v>21560</v>
      </c>
      <c r="S49" s="3497"/>
      <c r="T49" s="3497"/>
      <c r="U49" s="3497"/>
      <c r="V49" s="3497"/>
      <c r="W49" s="3497"/>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3.8225578102878632E-2</v>
      </c>
      <c r="F52" s="626" t="str">
        <f>IF(OR(E52&gt;=0.3,E52&lt;=-0.3),"超过30%","")</f>
        <v/>
      </c>
      <c r="G52" s="625">
        <f>IF(G47&lt;G48,G48/G47-1,G47/G48-1)</f>
        <v>6.0298727641526773E-2</v>
      </c>
      <c r="H52" s="626" t="str">
        <f>IF(OR(G52&gt;=0.3,G52&lt;=-0.3),"超过30%","")</f>
        <v/>
      </c>
      <c r="I52" s="625">
        <f>IF(I47&lt;I48,I48/I47-1,I47/I48-1)</f>
        <v>5.5191081341469106E-2</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2.3690420009438329E-2</v>
      </c>
      <c r="F53" s="626" t="str">
        <f>IF(OR(E53&gt;=0.2,E53&lt;=-0.2),"超过20%","")</f>
        <v/>
      </c>
      <c r="G53" s="625">
        <f>IF(G48&lt;I48,I48/G48-1,G48/I48-1)</f>
        <v>4.8404941914068633E-3</v>
      </c>
      <c r="H53" s="626" t="str">
        <f>IF(OR(G53&gt;=0.2,G53&lt;=-0.2),"超过20%","")</f>
        <v/>
      </c>
      <c r="I53" s="625">
        <f>IF(I48&lt;E48,E48/I48-1,I48/E48-1)</f>
        <v>2.8645587541292983E-2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f>IF(E47&lt;G47,G47/E47-1,E47/G47-1)</f>
        <v>4.5454545454545414E-2</v>
      </c>
      <c r="F54" s="626" t="str">
        <f>IF(OR(E54&gt;=0.3,E54&lt;=-0.3),"超过30%","")</f>
        <v/>
      </c>
      <c r="G54" s="625">
        <f>IF(G47&lt;I47,I47/G47-1,G47/I47-1)</f>
        <v>0</v>
      </c>
      <c r="H54" s="626" t="str">
        <f>IF(OR(G54&gt;=0.3,G54&lt;=-0.3),"超过30%","")</f>
        <v/>
      </c>
      <c r="I54" s="625">
        <f>IF(I47&lt;E47,E47/I47-1,I47/E47-1)</f>
        <v>4.5454545454545414E-2</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1" customFormat="1" ht="14.4">
      <c r="A58" s="644" t="s">
        <v>529</v>
      </c>
      <c r="B58" s="645"/>
      <c r="C58" s="2757" t="str">
        <f>YEAR(C7)&amp;"-"&amp;MONTH(C7)</f>
        <v>2020-1</v>
      </c>
      <c r="D58" s="2757">
        <f>EDATE(C58,-1)</f>
        <v>43800</v>
      </c>
      <c r="E58" s="2757">
        <f t="shared" ref="E58:O58" si="16">EDATE(D58,-1)</f>
        <v>43770</v>
      </c>
      <c r="F58" s="2757">
        <f t="shared" si="16"/>
        <v>43739</v>
      </c>
      <c r="G58" s="2757">
        <f t="shared" si="16"/>
        <v>43709</v>
      </c>
      <c r="H58" s="2757">
        <f t="shared" si="16"/>
        <v>43678</v>
      </c>
      <c r="I58" s="2757">
        <f t="shared" si="16"/>
        <v>43647</v>
      </c>
      <c r="J58" s="2757">
        <f t="shared" si="16"/>
        <v>43617</v>
      </c>
      <c r="K58" s="2757">
        <f t="shared" si="16"/>
        <v>43586</v>
      </c>
      <c r="L58" s="2757">
        <f t="shared" si="16"/>
        <v>43556</v>
      </c>
      <c r="M58" s="2757">
        <f t="shared" si="16"/>
        <v>43525</v>
      </c>
      <c r="N58" s="2757">
        <f t="shared" si="16"/>
        <v>43497</v>
      </c>
      <c r="O58" s="2757">
        <f t="shared" si="16"/>
        <v>43466</v>
      </c>
      <c r="P58" s="2143"/>
      <c r="Q58" s="2144"/>
      <c r="R58" s="2144"/>
      <c r="S58" s="2144"/>
      <c r="T58" s="2144"/>
      <c r="U58" s="2144"/>
      <c r="V58" s="2144"/>
      <c r="W58" s="2144"/>
      <c r="X58" s="2144"/>
      <c r="Y58" s="2144"/>
      <c r="Z58" s="2144"/>
      <c r="AA58" s="2144"/>
      <c r="AB58" s="2144"/>
      <c r="AC58" s="2144"/>
    </row>
    <row r="59" spans="1:29" s="1214" customFormat="1">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4" customFormat="1" ht="1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4.4">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4.4"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ht="14.4">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4.4" thickBot="1">
      <c r="A64" s="668"/>
      <c r="B64" s="669"/>
      <c r="C64" s="670"/>
      <c r="D64" s="670"/>
      <c r="E64" s="1593"/>
      <c r="F64" s="1593"/>
      <c r="G64" s="1593"/>
      <c r="H64" s="1593"/>
      <c r="I64" s="1593"/>
      <c r="J64" s="1593"/>
      <c r="K64" s="1593"/>
      <c r="L64" s="1593"/>
      <c r="M64" s="1594"/>
      <c r="N64" s="2149"/>
      <c r="O64" s="2149"/>
      <c r="P64" s="2148"/>
      <c r="Q64" s="2141"/>
      <c r="R64" s="2128"/>
      <c r="S64" s="2128"/>
      <c r="T64" s="2128"/>
      <c r="U64" s="2128"/>
      <c r="V64" s="2128"/>
      <c r="W64" s="2128"/>
      <c r="X64" s="2128"/>
      <c r="Y64" s="2128"/>
      <c r="Z64" s="2128"/>
      <c r="AA64" s="2128"/>
      <c r="AB64" s="2128"/>
      <c r="AC64" s="2128"/>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c r="A68" s="668"/>
      <c r="B68" s="682"/>
      <c r="C68" s="540">
        <v>0</v>
      </c>
      <c r="D68" s="540">
        <v>1</v>
      </c>
      <c r="E68" s="540">
        <v>2</v>
      </c>
      <c r="F68" s="540">
        <v>3</v>
      </c>
      <c r="G68" s="540">
        <v>4</v>
      </c>
      <c r="H68" s="540">
        <v>5</v>
      </c>
      <c r="I68" s="540">
        <v>6</v>
      </c>
      <c r="J68" s="540">
        <v>7</v>
      </c>
      <c r="K68" s="683">
        <v>8</v>
      </c>
      <c r="L68" s="684"/>
      <c r="M68" s="685"/>
      <c r="N68" s="2147"/>
      <c r="O68" s="2147"/>
      <c r="P68" s="2148"/>
      <c r="Q68" s="2141"/>
      <c r="R68" s="2128"/>
      <c r="S68" s="2128"/>
      <c r="T68" s="2128"/>
      <c r="U68" s="2128"/>
      <c r="V68" s="2128"/>
      <c r="W68" s="2128"/>
      <c r="X68" s="2128"/>
      <c r="Y68" s="2128"/>
      <c r="Z68" s="2128"/>
      <c r="AA68" s="2128"/>
      <c r="AB68" s="2128"/>
      <c r="AC68" s="2128"/>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9"/>
      <c r="O69" s="2149"/>
      <c r="P69" s="2148"/>
      <c r="Q69" s="2141"/>
      <c r="R69" s="2128"/>
      <c r="S69" s="2128"/>
      <c r="T69" s="2128"/>
      <c r="U69" s="2128"/>
      <c r="V69" s="2128"/>
      <c r="W69" s="2128"/>
      <c r="X69" s="2128"/>
      <c r="Y69" s="2128"/>
      <c r="Z69" s="2128"/>
      <c r="AA69" s="2128"/>
      <c r="AB69" s="2128"/>
      <c r="AC69" s="2128"/>
    </row>
    <row r="70" spans="1:29" s="1333" customFormat="1" ht="14.4"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4.4"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4.4"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4.4"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4.4"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4.4"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4.4">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4.4" thickBot="1">
      <c r="A77" s="668"/>
      <c r="B77" s="677"/>
      <c r="C77" s="678">
        <v>100</v>
      </c>
      <c r="D77" s="678">
        <f>C77-$K15</f>
        <v>95</v>
      </c>
      <c r="E77" s="678">
        <f>D77-$K15</f>
        <v>90</v>
      </c>
      <c r="F77" s="678">
        <f>E77-$K15</f>
        <v>85</v>
      </c>
      <c r="G77" s="678">
        <f>F77-$K15</f>
        <v>80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C79-$K17</f>
        <v>95</v>
      </c>
      <c r="E79" s="678">
        <f>D79-$K17</f>
        <v>90</v>
      </c>
      <c r="F79" s="678">
        <f>E79-$K17</f>
        <v>85</v>
      </c>
      <c r="G79" s="678">
        <f>F79-$K17</f>
        <v>80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 thickTop="1">
      <c r="A80" s="668"/>
      <c r="B80" s="1879" t="s">
        <v>2556</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4.4"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 thickTop="1">
      <c r="A82" s="668"/>
      <c r="B82" s="2559" t="s">
        <v>2557</v>
      </c>
      <c r="C82" s="2560" t="s">
        <v>2558</v>
      </c>
      <c r="D82" s="2560" t="s">
        <v>2559</v>
      </c>
      <c r="E82" s="2560" t="s">
        <v>2560</v>
      </c>
      <c r="F82" s="2560" t="s">
        <v>2561</v>
      </c>
      <c r="G82" s="2560" t="s">
        <v>2562</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4.4" thickBot="1">
      <c r="A83" s="668"/>
      <c r="B83" s="680"/>
      <c r="C83" s="678">
        <v>100</v>
      </c>
      <c r="D83" s="678">
        <f>C83-$K21</f>
        <v>99</v>
      </c>
      <c r="E83" s="678">
        <f>D83-$K21</f>
        <v>98</v>
      </c>
      <c r="F83" s="678">
        <f>E83-$K21</f>
        <v>97</v>
      </c>
      <c r="G83" s="678">
        <f>F83-$K21</f>
        <v>96</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 thickTop="1">
      <c r="A86" s="708"/>
      <c r="B86" s="1879" t="s">
        <v>2257</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3" customFormat="1" ht="14.4"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4.4"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4.4"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4.4"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4.4"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4.4"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4.4"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4.4">
      <c r="A100" s="663" t="s">
        <v>551</v>
      </c>
      <c r="B100" s="664" t="s">
        <v>747</v>
      </c>
      <c r="C100" s="3197" t="s">
        <v>3347</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9"/>
      <c r="O101" s="2149"/>
      <c r="P101" s="2148"/>
      <c r="Q101" s="2141"/>
      <c r="R101" s="2128"/>
      <c r="S101" s="2128"/>
      <c r="T101" s="2128"/>
      <c r="U101" s="2128"/>
      <c r="V101" s="2128"/>
      <c r="W101" s="2128"/>
      <c r="X101" s="2128"/>
      <c r="Y101" s="2128"/>
      <c r="Z101" s="2128"/>
      <c r="AA101" s="2128"/>
      <c r="AB101" s="2128"/>
      <c r="AC101" s="2128"/>
    </row>
    <row r="102" spans="1:29" ht="28.2"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200000(含)-250000</v>
      </c>
      <c r="H102" s="707" t="str">
        <f t="shared" si="23"/>
        <v>250000(含)-300000</v>
      </c>
      <c r="I102" s="707" t="str">
        <f t="shared" si="23"/>
        <v>300000(含)-350000</v>
      </c>
      <c r="J102" s="707" t="str">
        <f t="shared" si="23"/>
        <v>350000(含)-400000</v>
      </c>
      <c r="K102" s="707" t="str">
        <f t="shared" si="23"/>
        <v>400000(含)-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v>0</v>
      </c>
      <c r="D103" s="729">
        <f>C103+50000</f>
        <v>50000</v>
      </c>
      <c r="E103" s="729">
        <f t="shared" ref="E103:K103" si="24">D103+50000</f>
        <v>100000</v>
      </c>
      <c r="F103" s="729">
        <f t="shared" si="24"/>
        <v>150000</v>
      </c>
      <c r="G103" s="729">
        <f t="shared" si="24"/>
        <v>200000</v>
      </c>
      <c r="H103" s="729">
        <f t="shared" si="24"/>
        <v>250000</v>
      </c>
      <c r="I103" s="729">
        <f t="shared" si="24"/>
        <v>300000</v>
      </c>
      <c r="J103" s="729">
        <f>I103+50000</f>
        <v>350000</v>
      </c>
      <c r="K103" s="729">
        <f t="shared" si="24"/>
        <v>400000</v>
      </c>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4.4" thickBot="1">
      <c r="A104" s="686"/>
      <c r="B104" s="677"/>
      <c r="C104" s="691">
        <v>100</v>
      </c>
      <c r="D104" s="670">
        <f>C104+0.5</f>
        <v>100.5</v>
      </c>
      <c r="E104" s="670">
        <f t="shared" ref="E104:K104" si="25">D104+0.5</f>
        <v>101</v>
      </c>
      <c r="F104" s="670">
        <f t="shared" si="25"/>
        <v>101.5</v>
      </c>
      <c r="G104" s="670">
        <f t="shared" si="25"/>
        <v>102</v>
      </c>
      <c r="H104" s="670">
        <f t="shared" si="25"/>
        <v>102.5</v>
      </c>
      <c r="I104" s="670">
        <f t="shared" si="25"/>
        <v>103</v>
      </c>
      <c r="J104" s="670">
        <f t="shared" si="25"/>
        <v>103.5</v>
      </c>
      <c r="K104" s="670">
        <f t="shared" si="25"/>
        <v>104</v>
      </c>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191" t="s">
        <v>3345</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78">
        <v>100</v>
      </c>
      <c r="D106" s="678">
        <f t="shared" ref="D106:M106" si="26">C106-$K34</f>
        <v>99</v>
      </c>
      <c r="E106" s="678">
        <f t="shared" si="26"/>
        <v>98</v>
      </c>
      <c r="F106" s="678">
        <f t="shared" si="26"/>
        <v>97</v>
      </c>
      <c r="G106" s="678">
        <f t="shared" si="26"/>
        <v>96</v>
      </c>
      <c r="H106" s="678">
        <f t="shared" si="26"/>
        <v>95</v>
      </c>
      <c r="I106" s="678">
        <f t="shared" si="26"/>
        <v>94</v>
      </c>
      <c r="J106" s="678">
        <f t="shared" si="26"/>
        <v>93</v>
      </c>
      <c r="K106" s="678">
        <f t="shared" si="26"/>
        <v>92</v>
      </c>
      <c r="L106" s="678">
        <f t="shared" si="26"/>
        <v>91</v>
      </c>
      <c r="M106" s="678">
        <f t="shared" si="26"/>
        <v>90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192" t="s">
        <v>3348</v>
      </c>
      <c r="D107" s="3192" t="s">
        <v>3349</v>
      </c>
      <c r="E107" s="3192" t="s">
        <v>3350</v>
      </c>
      <c r="F107" s="3192" t="s">
        <v>3351</v>
      </c>
      <c r="G107" s="3192" t="s">
        <v>3352</v>
      </c>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4.4" thickBot="1">
      <c r="A108" s="668"/>
      <c r="B108" s="677"/>
      <c r="C108" s="678">
        <v>100</v>
      </c>
      <c r="D108" s="678">
        <f t="shared" ref="D108:M108" si="27">C108-$K35</f>
        <v>99</v>
      </c>
      <c r="E108" s="678">
        <f t="shared" si="27"/>
        <v>98</v>
      </c>
      <c r="F108" s="678">
        <f t="shared" si="27"/>
        <v>97</v>
      </c>
      <c r="G108" s="678">
        <f t="shared" si="27"/>
        <v>96</v>
      </c>
      <c r="H108" s="678">
        <f t="shared" si="27"/>
        <v>95</v>
      </c>
      <c r="I108" s="678">
        <f t="shared" si="27"/>
        <v>94</v>
      </c>
      <c r="J108" s="678">
        <f t="shared" si="27"/>
        <v>93</v>
      </c>
      <c r="K108" s="678">
        <f t="shared" si="27"/>
        <v>92</v>
      </c>
      <c r="L108" s="678">
        <f t="shared" si="27"/>
        <v>91</v>
      </c>
      <c r="M108" s="678">
        <f t="shared" si="27"/>
        <v>90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191" t="s">
        <v>3333</v>
      </c>
      <c r="D109" s="3191" t="s">
        <v>3334</v>
      </c>
      <c r="E109" s="3191" t="s">
        <v>3335</v>
      </c>
      <c r="F109" s="3192" t="s">
        <v>3337</v>
      </c>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4.4"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192" t="s">
        <v>3348</v>
      </c>
      <c r="D114" s="3192" t="s">
        <v>3349</v>
      </c>
      <c r="E114" s="3192" t="s">
        <v>3350</v>
      </c>
      <c r="F114" s="3192" t="s">
        <v>3351</v>
      </c>
      <c r="G114" s="3192" t="s">
        <v>3352</v>
      </c>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78">
        <v>100</v>
      </c>
      <c r="D115" s="678">
        <f t="shared" ref="D115:M115" si="29">C115-$K38</f>
        <v>99</v>
      </c>
      <c r="E115" s="678">
        <f t="shared" si="29"/>
        <v>98</v>
      </c>
      <c r="F115" s="678">
        <f t="shared" si="29"/>
        <v>97</v>
      </c>
      <c r="G115" s="678">
        <f t="shared" si="29"/>
        <v>96</v>
      </c>
      <c r="H115" s="678">
        <f t="shared" si="29"/>
        <v>95</v>
      </c>
      <c r="I115" s="678">
        <f t="shared" si="29"/>
        <v>94</v>
      </c>
      <c r="J115" s="678">
        <f t="shared" si="29"/>
        <v>93</v>
      </c>
      <c r="K115" s="678">
        <f t="shared" si="29"/>
        <v>92</v>
      </c>
      <c r="L115" s="678">
        <f t="shared" si="29"/>
        <v>91</v>
      </c>
      <c r="M115" s="678">
        <f t="shared" si="29"/>
        <v>90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2555</v>
      </c>
      <c r="C116" s="3198" t="s">
        <v>2558</v>
      </c>
      <c r="D116" s="3198" t="s">
        <v>2559</v>
      </c>
      <c r="E116" s="3198" t="s">
        <v>2560</v>
      </c>
      <c r="F116" s="3198" t="s">
        <v>2561</v>
      </c>
      <c r="G116" s="3198" t="s">
        <v>2562</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3192" t="s">
        <v>3354</v>
      </c>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78">
        <v>100</v>
      </c>
      <c r="D119" s="678">
        <f t="shared" ref="D119:M119" si="30">C119-$K40</f>
        <v>99</v>
      </c>
      <c r="E119" s="678">
        <f t="shared" si="30"/>
        <v>98</v>
      </c>
      <c r="F119" s="678">
        <f t="shared" si="30"/>
        <v>97</v>
      </c>
      <c r="G119" s="678">
        <f t="shared" si="30"/>
        <v>96</v>
      </c>
      <c r="H119" s="678">
        <f t="shared" si="30"/>
        <v>95</v>
      </c>
      <c r="I119" s="678">
        <f t="shared" si="30"/>
        <v>94</v>
      </c>
      <c r="J119" s="678">
        <f t="shared" si="30"/>
        <v>93</v>
      </c>
      <c r="K119" s="678">
        <f t="shared" si="30"/>
        <v>92</v>
      </c>
      <c r="L119" s="678">
        <f t="shared" si="30"/>
        <v>91</v>
      </c>
      <c r="M119" s="678">
        <f t="shared" si="30"/>
        <v>90</v>
      </c>
      <c r="N119" s="2149"/>
      <c r="O119" s="2149"/>
      <c r="P119" s="2148"/>
      <c r="Q119" s="2141"/>
      <c r="R119" s="2128"/>
      <c r="S119" s="2128"/>
      <c r="T119" s="2128"/>
      <c r="U119" s="2128"/>
      <c r="V119" s="2128"/>
      <c r="W119" s="2128"/>
      <c r="X119" s="2128"/>
      <c r="Y119" s="2128"/>
      <c r="Z119" s="2128"/>
      <c r="AA119" s="2128"/>
      <c r="AB119" s="2128"/>
      <c r="AC119" s="2128"/>
    </row>
    <row r="120" spans="1:29" s="1333" customFormat="1" ht="29.4"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4.4"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191" t="s">
        <v>3333</v>
      </c>
      <c r="D122" s="3191" t="s">
        <v>3334</v>
      </c>
      <c r="E122" s="3191" t="s">
        <v>3335</v>
      </c>
      <c r="F122" s="3192" t="s">
        <v>3337</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4.4"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8">
        <f t="shared" si="31"/>
        <v>80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4.4"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4.4"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4.4"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4.4"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4.4"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4.4"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2258</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2259</v>
      </c>
      <c r="C137" s="1902"/>
      <c r="D137" s="1902"/>
      <c r="E137" s="1902"/>
      <c r="F137" s="1902"/>
      <c r="G137" s="1903"/>
      <c r="H137" s="1904"/>
      <c r="I137" s="1905" t="s">
        <v>2260</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2261</v>
      </c>
      <c r="D138" s="1908" t="s">
        <v>2262</v>
      </c>
      <c r="E138" s="1909" t="s">
        <v>2263</v>
      </c>
      <c r="F138" s="1910" t="s">
        <v>2264</v>
      </c>
      <c r="G138" s="1908" t="s">
        <v>2265</v>
      </c>
      <c r="H138" s="1911" t="s">
        <v>2266</v>
      </c>
      <c r="I138" s="1912"/>
      <c r="J138" s="1908" t="s">
        <v>2267</v>
      </c>
      <c r="K138" s="1911" t="s">
        <v>2268</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2269</v>
      </c>
      <c r="E139" s="1882">
        <v>100</v>
      </c>
      <c r="F139" s="1883">
        <v>102.5</v>
      </c>
      <c r="G139" s="1913" t="s">
        <v>2270</v>
      </c>
      <c r="H139" s="1884">
        <v>105</v>
      </c>
      <c r="I139" s="1914" t="s">
        <v>2271</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2272</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2273</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2274</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2275</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2276</v>
      </c>
      <c r="E144" s="1888">
        <v>102</v>
      </c>
      <c r="F144" s="1894">
        <v>100</v>
      </c>
      <c r="G144" s="1917" t="s">
        <v>2276</v>
      </c>
      <c r="H144" s="1890">
        <v>105</v>
      </c>
      <c r="I144" s="1916" t="s">
        <v>2275</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2277</v>
      </c>
      <c r="C145" s="1895">
        <f>ROUND(MAX(C139:C144)/MIN(C139:C144)-1,3)</f>
        <v>7.2999999999999995E-2</v>
      </c>
      <c r="D145" s="1919"/>
      <c r="E145" s="1919"/>
      <c r="F145" s="1920" t="s">
        <v>2278</v>
      </c>
      <c r="G145" s="1921"/>
      <c r="H145" s="1922"/>
      <c r="I145" s="1923" t="s">
        <v>2275</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2287</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2288</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70" zoomScaleNormal="70" workbookViewId="0">
      <selection activeCell="D14" sqref="D14"/>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1" t="s">
        <v>1725</v>
      </c>
      <c r="B1" s="737"/>
      <c r="C1" s="772" t="s">
        <v>2997</v>
      </c>
      <c r="D1" s="3073" t="s">
        <v>3356</v>
      </c>
      <c r="E1" s="2349" t="s">
        <v>870</v>
      </c>
      <c r="F1" s="2350">
        <f ca="1">J53</f>
        <v>37.979999999999997</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467</v>
      </c>
      <c r="B2" s="774">
        <f ca="1">C40+J29+L46</f>
        <v>3372</v>
      </c>
      <c r="C2" s="2040"/>
      <c r="D2" s="2038"/>
      <c r="E2" s="2039"/>
      <c r="F2" s="2039"/>
      <c r="G2" s="1575"/>
      <c r="H2" s="2040"/>
      <c r="I2" s="2040"/>
      <c r="J2" s="2040"/>
      <c r="K2" s="2041"/>
      <c r="L2" s="2040"/>
      <c r="M2" s="2040"/>
    </row>
    <row r="3" spans="1:33" ht="18" customHeight="1" thickBot="1">
      <c r="A3" s="832" t="s">
        <v>519</v>
      </c>
      <c r="B3" s="833">
        <f ca="1">IF(ISERROR(B2*10000/F43),0,ROUND(B2*10000/F43,0))</f>
        <v>18196</v>
      </c>
      <c r="C3" s="2040"/>
      <c r="D3" s="2038"/>
      <c r="E3" s="2039"/>
      <c r="F3" s="2039"/>
      <c r="G3" s="1575"/>
      <c r="H3" s="775" t="s">
        <v>695</v>
      </c>
      <c r="I3" s="1357"/>
      <c r="J3" s="1357"/>
      <c r="K3" s="1576"/>
      <c r="L3" s="1357"/>
      <c r="M3" s="1357"/>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195</v>
      </c>
      <c r="D5" s="2458" t="s">
        <v>2460</v>
      </c>
      <c r="E5" s="2452"/>
      <c r="F5" s="2453"/>
      <c r="G5" s="1577"/>
      <c r="H5" s="780">
        <v>1</v>
      </c>
      <c r="I5" s="781" t="s">
        <v>2457</v>
      </c>
      <c r="J5" s="55">
        <f ca="1">J6+J10+J12</f>
        <v>0</v>
      </c>
      <c r="K5" s="2458" t="s">
        <v>2460</v>
      </c>
      <c r="L5" s="2452"/>
      <c r="M5" s="2453"/>
    </row>
    <row r="6" spans="1:33" ht="18" customHeight="1">
      <c r="A6" s="1813" t="s">
        <v>1824</v>
      </c>
      <c r="B6" s="3465" t="s">
        <v>2462</v>
      </c>
      <c r="C6" s="782">
        <f ca="1">ROUND(F6*F8*F7*(1-F9)/10000,0)</f>
        <v>195</v>
      </c>
      <c r="D6" s="2459" t="s">
        <v>2461</v>
      </c>
      <c r="E6" s="783" t="s">
        <v>637</v>
      </c>
      <c r="F6" s="784">
        <f ca="1">INDIRECT("'数据-取费表'!u"&amp;$G$1)</f>
        <v>3.2</v>
      </c>
      <c r="G6" s="1577"/>
      <c r="H6" s="2466" t="s">
        <v>1824</v>
      </c>
      <c r="I6" s="3465" t="s">
        <v>2462</v>
      </c>
      <c r="J6" s="782">
        <f ca="1">ROUND(M6*M8*M7*(1-M9)/10000,0)</f>
        <v>0</v>
      </c>
      <c r="K6" s="340" t="s">
        <v>636</v>
      </c>
      <c r="L6" s="783" t="s">
        <v>637</v>
      </c>
      <c r="M6" s="784">
        <f ca="1">INDIRECT("'数据-取费表'!z"&amp;$G$1)</f>
        <v>0</v>
      </c>
    </row>
    <row r="7" spans="1:33" ht="18" customHeight="1">
      <c r="A7" s="2462"/>
      <c r="B7" s="3466"/>
      <c r="C7" s="787"/>
      <c r="D7" s="788"/>
      <c r="E7" s="783" t="s">
        <v>638</v>
      </c>
      <c r="F7" s="784">
        <f ca="1">IF(INDIRECT("'数据-取费表'!ah"&amp;$G$1)="",INDIRECT("'数据-取费表'!k"&amp;$G$1),INDIRECT("'数据-取费表'!ah"&amp;$G$1))</f>
        <v>1853.16</v>
      </c>
      <c r="G7" s="1577"/>
      <c r="H7" s="2451"/>
      <c r="I7" s="3466"/>
      <c r="J7" s="787"/>
      <c r="K7" s="788"/>
      <c r="L7" s="783" t="s">
        <v>638</v>
      </c>
      <c r="M7" s="784">
        <f ca="1">F7</f>
        <v>1853.16</v>
      </c>
    </row>
    <row r="8" spans="1:33" ht="18" customHeight="1">
      <c r="A8" s="2455"/>
      <c r="B8" s="3467"/>
      <c r="C8" s="787"/>
      <c r="D8" s="788"/>
      <c r="E8" s="783" t="s">
        <v>639</v>
      </c>
      <c r="F8" s="784">
        <f ca="1">INDIRECT("'数据-取费表'!ai"&amp;$G$1)</f>
        <v>365</v>
      </c>
      <c r="G8" s="1577"/>
      <c r="H8" s="2451"/>
      <c r="I8" s="3467"/>
      <c r="J8" s="787"/>
      <c r="K8" s="788"/>
      <c r="L8" s="783" t="s">
        <v>639</v>
      </c>
      <c r="M8" s="784">
        <f ca="1">INDIRECT("'数据-取费表'!ai"&amp;$G$1)</f>
        <v>365</v>
      </c>
    </row>
    <row r="9" spans="1:33" ht="18" customHeight="1">
      <c r="A9" s="785"/>
      <c r="B9" s="3468"/>
      <c r="C9" s="787"/>
      <c r="D9" s="788"/>
      <c r="E9" s="783" t="s">
        <v>640</v>
      </c>
      <c r="F9" s="793">
        <f ca="1">INDIRECT("'数据-取费表'!w"&amp;$G$1)</f>
        <v>0.1</v>
      </c>
      <c r="G9" s="1577"/>
      <c r="H9" s="2467"/>
      <c r="I9" s="3467"/>
      <c r="J9" s="787"/>
      <c r="K9" s="788"/>
      <c r="L9" s="794" t="s">
        <v>640</v>
      </c>
      <c r="M9" s="795">
        <f ca="1">INDIRECT("'数据-取费表'!ab"&amp;$G$1)</f>
        <v>0</v>
      </c>
    </row>
    <row r="10" spans="1:33" ht="18" customHeight="1">
      <c r="A10" s="1813" t="s">
        <v>1825</v>
      </c>
      <c r="B10" s="2456" t="s">
        <v>2458</v>
      </c>
      <c r="C10" s="798">
        <f ca="1">ROUND(IF(F10="押一",C6/12*F11,IF(F10="押二",C6/12*2*F11,IF(F10="押三",C6/12*3*F11,C11*F11))),0)</f>
        <v>0</v>
      </c>
      <c r="D10" s="2463" t="s">
        <v>2968</v>
      </c>
      <c r="E10" s="2460" t="s">
        <v>2463</v>
      </c>
      <c r="F10" s="2583" t="s">
        <v>3360</v>
      </c>
      <c r="G10" s="1577"/>
      <c r="H10" s="2523" t="s">
        <v>1825</v>
      </c>
      <c r="I10" s="2528" t="s">
        <v>2458</v>
      </c>
      <c r="J10" s="782">
        <f ca="1">ROUND(IF(M10="押一",J6/12*M11,IF(M10="押二",J6/12*2*M11,IF(M10="押三",J6/12*3*M11,J11*M11))),0)</f>
        <v>0</v>
      </c>
      <c r="K10" s="2463" t="s">
        <v>2968</v>
      </c>
      <c r="L10" s="2460" t="s">
        <v>2463</v>
      </c>
      <c r="M10" s="2583"/>
    </row>
    <row r="11" spans="1:33" ht="18" customHeight="1">
      <c r="A11" s="789"/>
      <c r="B11" s="2457" t="s">
        <v>2572</v>
      </c>
      <c r="C11" s="2461"/>
      <c r="D11" s="788"/>
      <c r="E11" s="2460" t="s">
        <v>2455</v>
      </c>
      <c r="F11" s="795">
        <f ca="1">'数据-取费表'!B39</f>
        <v>1.4999999999999999E-2</v>
      </c>
      <c r="G11" s="1577"/>
      <c r="H11" s="2524"/>
      <c r="I11" s="2457" t="s">
        <v>2572</v>
      </c>
      <c r="J11" s="2461"/>
      <c r="K11" s="2525"/>
      <c r="L11" s="2460" t="s">
        <v>2455</v>
      </c>
      <c r="M11" s="2454">
        <f ca="1">'数据-取费表'!B39</f>
        <v>1.4999999999999999E-2</v>
      </c>
    </row>
    <row r="12" spans="1:33" ht="18" customHeight="1" thickBot="1">
      <c r="A12" s="2499" t="s">
        <v>2466</v>
      </c>
      <c r="B12" s="2500" t="s">
        <v>2459</v>
      </c>
      <c r="C12" s="2501"/>
      <c r="D12" s="2502"/>
      <c r="E12" s="2503"/>
      <c r="F12" s="2504"/>
      <c r="G12" s="1577"/>
      <c r="H12" s="2513" t="s">
        <v>2466</v>
      </c>
      <c r="I12" s="2526" t="s">
        <v>2459</v>
      </c>
      <c r="J12" s="2527"/>
      <c r="K12" s="2502"/>
      <c r="L12" s="2503"/>
      <c r="M12" s="2516"/>
    </row>
    <row r="13" spans="1:33" ht="18" customHeight="1" thickTop="1">
      <c r="A13" s="1812">
        <v>2</v>
      </c>
      <c r="B13" s="1810" t="s">
        <v>644</v>
      </c>
      <c r="C13" s="791">
        <f ca="1">ROUND(C29*F13,0)</f>
        <v>775</v>
      </c>
      <c r="D13" s="1817" t="s">
        <v>2297</v>
      </c>
      <c r="E13" s="1817" t="s">
        <v>643</v>
      </c>
      <c r="F13" s="2498">
        <f ca="1">INDIRECT("'数据-取费表'!y"&amp;$G$1)</f>
        <v>1</v>
      </c>
      <c r="G13" s="1577"/>
      <c r="H13" s="1812">
        <v>2</v>
      </c>
      <c r="I13" s="1810" t="s">
        <v>644</v>
      </c>
      <c r="J13" s="1802">
        <f ca="1">ROUND(J14*J15,0)</f>
        <v>0</v>
      </c>
      <c r="K13" s="1804" t="s">
        <v>642</v>
      </c>
      <c r="L13" s="2514"/>
      <c r="M13" s="2515"/>
    </row>
    <row r="14" spans="1:33" ht="18" customHeight="1">
      <c r="A14" s="1632" t="s">
        <v>1831</v>
      </c>
      <c r="B14" s="783" t="s">
        <v>645</v>
      </c>
      <c r="C14" s="803">
        <f ca="1">INDIRECT("'数据-取费表'!m"&amp;$G$1)+INDIRECT("'数据-取费表'!t"&amp;$G$1)</f>
        <v>468</v>
      </c>
      <c r="D14" s="3185" t="s">
        <v>646</v>
      </c>
      <c r="E14" s="3186"/>
      <c r="F14" s="804"/>
      <c r="G14" s="1577"/>
      <c r="H14" s="1633" t="s">
        <v>1824</v>
      </c>
      <c r="I14" s="2214" t="s">
        <v>2824</v>
      </c>
      <c r="J14" s="53">
        <f ca="1">C29</f>
        <v>775</v>
      </c>
      <c r="K14" s="26"/>
      <c r="L14" s="800"/>
      <c r="M14" s="801"/>
    </row>
    <row r="15" spans="1:33" s="2047" customFormat="1" ht="18" customHeight="1" thickBot="1">
      <c r="A15" s="1632" t="s">
        <v>1832</v>
      </c>
      <c r="B15" s="783" t="s">
        <v>647</v>
      </c>
      <c r="C15" s="53">
        <f ca="1">ROUND(C14*F15,0)</f>
        <v>23</v>
      </c>
      <c r="D15" s="805" t="s">
        <v>648</v>
      </c>
      <c r="E15" s="805" t="s">
        <v>649</v>
      </c>
      <c r="F15" s="806">
        <f>'数据-取费表'!B33</f>
        <v>0.05</v>
      </c>
      <c r="G15" s="1578"/>
      <c r="H15" s="2513" t="s">
        <v>1889</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2" t="s">
        <v>1748</v>
      </c>
      <c r="I16" s="1810" t="s">
        <v>651</v>
      </c>
      <c r="J16" s="791">
        <f ca="1">ROUND(J17+J22+J23+J24,0)</f>
        <v>82</v>
      </c>
      <c r="K16" s="1804" t="s">
        <v>652</v>
      </c>
      <c r="L16" s="3187"/>
      <c r="M16" s="2453"/>
    </row>
    <row r="17" spans="1:33" s="2047" customFormat="1" ht="18" customHeight="1">
      <c r="A17" s="1632" t="s">
        <v>1887</v>
      </c>
      <c r="B17" s="783" t="s">
        <v>653</v>
      </c>
      <c r="C17" s="53">
        <f ca="1">ROUND(F17*(F43+INDIRECT("'数据-取费表'!S"&amp;$G$1))/10000,0)</f>
        <v>41</v>
      </c>
      <c r="D17" s="783" t="s">
        <v>654</v>
      </c>
      <c r="E17" s="783" t="s">
        <v>655</v>
      </c>
      <c r="F17" s="56">
        <f>'数据-取费表'!B35</f>
        <v>220</v>
      </c>
      <c r="G17" s="1578"/>
      <c r="H17" s="1633" t="s">
        <v>1824</v>
      </c>
      <c r="I17" s="783" t="s">
        <v>656</v>
      </c>
      <c r="J17" s="53">
        <f ca="1">ROUND(IF(项目基本情况!B11="自然人",J5*M17,J18+J19+J20),0)</f>
        <v>66</v>
      </c>
      <c r="K17" s="3185" t="s">
        <v>657</v>
      </c>
      <c r="L17" s="3184" t="s">
        <v>658</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7</v>
      </c>
      <c r="D18" s="783" t="s">
        <v>648</v>
      </c>
      <c r="E18" s="783" t="s">
        <v>649</v>
      </c>
      <c r="F18" s="808">
        <f>'数据-取费表'!B36</f>
        <v>1.4999999999999999E-2</v>
      </c>
      <c r="G18" s="1578"/>
      <c r="H18" s="1632" t="s">
        <v>1831</v>
      </c>
      <c r="I18" s="783" t="s">
        <v>660</v>
      </c>
      <c r="J18" s="53">
        <f ca="1">ROUND(J5*M18/1.05,1)</f>
        <v>0</v>
      </c>
      <c r="K18" s="3184" t="s">
        <v>661</v>
      </c>
      <c r="L18" s="783" t="s">
        <v>649</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1824</v>
      </c>
      <c r="B19" s="783" t="s">
        <v>662</v>
      </c>
      <c r="C19" s="53">
        <f ca="1">SUM(C14:C18)</f>
        <v>539</v>
      </c>
      <c r="D19" s="260" t="s">
        <v>663</v>
      </c>
      <c r="E19" s="3189"/>
      <c r="F19" s="56"/>
      <c r="G19" s="1577"/>
      <c r="H19" s="1632" t="s">
        <v>1832</v>
      </c>
      <c r="I19" s="783" t="s">
        <v>664</v>
      </c>
      <c r="J19" s="53">
        <f ca="1">IF(K19="按租金收入计税",ROUND(J5*M19,1),ROUND(C29*F33*0.7,1))</f>
        <v>65.099999999999994</v>
      </c>
      <c r="K19" s="810" t="s">
        <v>665</v>
      </c>
      <c r="L19" s="783" t="s">
        <v>649</v>
      </c>
      <c r="M19" s="808">
        <f>IF(K19="按租金收入计税",'数据-取费表'!B51,'数据-取费表'!B50)</f>
        <v>1.2E-2</v>
      </c>
    </row>
    <row r="20" spans="1:33" s="2047" customFormat="1" ht="18" customHeight="1">
      <c r="A20" s="1633" t="s">
        <v>1889</v>
      </c>
      <c r="B20" s="783" t="s">
        <v>666</v>
      </c>
      <c r="C20" s="53">
        <f ca="1">ROUND(C19*F20,0)</f>
        <v>11</v>
      </c>
      <c r="D20" s="811" t="s">
        <v>667</v>
      </c>
      <c r="E20" s="783" t="s">
        <v>649</v>
      </c>
      <c r="F20" s="808">
        <f>'数据-取费表'!B37</f>
        <v>0.02</v>
      </c>
      <c r="G20" s="1578"/>
      <c r="H20" s="1635" t="s">
        <v>1833</v>
      </c>
      <c r="I20" s="340" t="s">
        <v>668</v>
      </c>
      <c r="J20" s="54">
        <f ca="1">ROUND(M20*M21/10000,0)</f>
        <v>1</v>
      </c>
      <c r="K20" s="813" t="s">
        <v>669</v>
      </c>
      <c r="L20" s="783" t="s">
        <v>670</v>
      </c>
      <c r="M20" s="639">
        <f>'数据-取费表'!B52</f>
        <v>18</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671</v>
      </c>
      <c r="C21" s="53" t="s">
        <v>1764</v>
      </c>
      <c r="D21" s="811" t="s">
        <v>2298</v>
      </c>
      <c r="E21" s="783" t="s">
        <v>673</v>
      </c>
      <c r="F21" s="808">
        <f>'数据-取费表'!B38</f>
        <v>0.02</v>
      </c>
      <c r="G21" s="1578"/>
      <c r="H21" s="2468"/>
      <c r="I21" s="792"/>
      <c r="J21" s="69"/>
      <c r="K21" s="815"/>
      <c r="L21" s="783" t="s">
        <v>674</v>
      </c>
      <c r="M21" s="784">
        <f ca="1">INDIRECT("'数据-取费表'!r"&amp;$G$1)</f>
        <v>408.34</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675</v>
      </c>
      <c r="C22" s="53"/>
      <c r="D22" s="2534" t="str">
        <f>IF(F23&lt;=1,"单利计息。","复利计息。")&amp;"建造成本、管理费用、销售费用产生的利息。"</f>
        <v>复利计息。建造成本、管理费用、销售费用产生的利息。</v>
      </c>
      <c r="E22" s="3189"/>
      <c r="F22" s="56"/>
      <c r="G22" s="1577"/>
      <c r="H22" s="1633" t="s">
        <v>1889</v>
      </c>
      <c r="I22" s="783" t="s">
        <v>676</v>
      </c>
      <c r="J22" s="53">
        <f ca="1">ROUND(J14*M22,0)</f>
        <v>16</v>
      </c>
      <c r="K22" s="3184" t="s">
        <v>677</v>
      </c>
      <c r="L22" s="783" t="s">
        <v>649</v>
      </c>
      <c r="M22" s="816">
        <f ca="1">INDIRECT("'数据-取费表'!Ak"&amp;$G$1)</f>
        <v>0.02</v>
      </c>
    </row>
    <row r="23" spans="1:33" s="2047" customFormat="1" ht="18" customHeight="1">
      <c r="A23" s="1632" t="s">
        <v>1831</v>
      </c>
      <c r="B23" s="783" t="s">
        <v>2436</v>
      </c>
      <c r="C23" s="53">
        <f ca="1">ROUND(IF('数据-取费表'!B22&lt;=1,(C19+C20)*F24*F23/2,(C19+C20)*(POWER((1+F24),F23/2)-1)),0)</f>
        <v>26</v>
      </c>
      <c r="D23" s="2533"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84" t="s">
        <v>680</v>
      </c>
      <c r="L23" s="783" t="s">
        <v>649</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681</v>
      </c>
      <c r="C24" s="53">
        <f ca="1">ROUND(IF('数据-取费表'!B22&lt;=1,F21*F24*F23/2,F21*(POWER((1+F24),F23/2)-1)),4)</f>
        <v>1E-3</v>
      </c>
      <c r="D24" s="2533" t="str">
        <f>IF(F23&lt;=1,"销售费用×利率×(建设周期÷2)","销售费用×((1+利率)^(建设周期÷2)-1)")</f>
        <v>销售费用×((1+利率)^(建设周期÷2)-1)</v>
      </c>
      <c r="E24" s="783" t="s">
        <v>682</v>
      </c>
      <c r="F24" s="818">
        <f ca="1">'数据-取费表'!B40</f>
        <v>4.7500000000000001E-2</v>
      </c>
      <c r="G24" s="1578"/>
      <c r="H24" s="2513" t="s">
        <v>1891</v>
      </c>
      <c r="I24" s="2508" t="s">
        <v>666</v>
      </c>
      <c r="J24" s="2506">
        <f ca="1">ROUND(J5*M24,0)</f>
        <v>0</v>
      </c>
      <c r="K24" s="2507" t="s">
        <v>683</v>
      </c>
      <c r="L24" s="2508" t="s">
        <v>649</v>
      </c>
      <c r="M24" s="2504">
        <f ca="1">INDIRECT("'数据-取费表'!Am"&amp;$G$1)</f>
        <v>1.4999999999999999E-2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685</v>
      </c>
      <c r="E25" s="3189"/>
      <c r="F25" s="56"/>
      <c r="G25" s="1577"/>
      <c r="H25" s="1812" t="s">
        <v>1776</v>
      </c>
      <c r="I25" s="2960" t="s">
        <v>2821</v>
      </c>
      <c r="J25" s="791">
        <f ca="1">J5-J16</f>
        <v>-82</v>
      </c>
      <c r="K25" s="2510" t="s">
        <v>700</v>
      </c>
      <c r="L25" s="2511"/>
      <c r="M25" s="2512"/>
    </row>
    <row r="26" spans="1:33" ht="18" customHeight="1">
      <c r="A26" s="1632" t="s">
        <v>1831</v>
      </c>
      <c r="B26" s="783" t="s">
        <v>2437</v>
      </c>
      <c r="C26" s="53">
        <f ca="1">ROUND((C19+C20)*F26,0)</f>
        <v>138</v>
      </c>
      <c r="D26" s="811" t="s">
        <v>701</v>
      </c>
      <c r="E26" s="794" t="s">
        <v>702</v>
      </c>
      <c r="F26" s="793">
        <f ca="1">INDIRECT("'数据-取费表'!q"&amp;$G$1)</f>
        <v>0.25</v>
      </c>
      <c r="G26" s="1577"/>
      <c r="H26" s="2464" t="s">
        <v>1780</v>
      </c>
      <c r="I26" s="2215" t="s">
        <v>2826</v>
      </c>
      <c r="J26" s="782">
        <f ca="1">IF(J5&lt;&gt;0,ROUND(J25*(1-((1+M28)/(1+M26))^M27)/(M26-M28),0),0)</f>
        <v>0</v>
      </c>
      <c r="K26" s="813" t="s">
        <v>704</v>
      </c>
      <c r="L26" s="783" t="s">
        <v>2418</v>
      </c>
      <c r="M26" s="793">
        <f ca="1">INDIRECT("'数据-取费表'!I"&amp;$G$1)</f>
        <v>5.5E-2</v>
      </c>
    </row>
    <row r="27" spans="1:33" ht="18" customHeight="1">
      <c r="A27" s="1632" t="s">
        <v>1832</v>
      </c>
      <c r="B27" s="783" t="s">
        <v>686</v>
      </c>
      <c r="C27" s="53">
        <f ca="1">ROUND(F21*F26,4)</f>
        <v>5.0000000000000001E-3</v>
      </c>
      <c r="D27" s="811" t="s">
        <v>706</v>
      </c>
      <c r="E27" s="805"/>
      <c r="F27" s="806"/>
      <c r="G27" s="1577"/>
      <c r="H27" s="2465"/>
      <c r="I27" s="786"/>
      <c r="J27" s="787"/>
      <c r="K27" s="820" t="s">
        <v>707</v>
      </c>
      <c r="L27" s="783" t="s">
        <v>708</v>
      </c>
      <c r="M27" s="821">
        <f ca="1">INDIRECT("'数据-取费表'!ag"&amp;$G$1)</f>
        <v>0</v>
      </c>
    </row>
    <row r="28" spans="1:33" s="2047" customFormat="1" ht="18" customHeight="1">
      <c r="A28" s="1634" t="s">
        <v>1841</v>
      </c>
      <c r="B28" s="783" t="s">
        <v>687</v>
      </c>
      <c r="C28" s="53">
        <f>ROUND(F28/(1+'数据-取费表'!C42),4)</f>
        <v>5.33E-2</v>
      </c>
      <c r="D28" s="811" t="s">
        <v>2299</v>
      </c>
      <c r="E28" s="783" t="s">
        <v>649</v>
      </c>
      <c r="F28" s="808">
        <f>'数据-取费表'!B41</f>
        <v>5.6000000000000001E-2</v>
      </c>
      <c r="G28" s="1578"/>
      <c r="H28" s="1812"/>
      <c r="I28" s="790"/>
      <c r="J28" s="791"/>
      <c r="K28" s="815"/>
      <c r="L28" s="783" t="s">
        <v>710</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775</v>
      </c>
      <c r="D29" s="2507"/>
      <c r="E29" s="2508"/>
      <c r="F29" s="2509"/>
      <c r="G29" s="1578"/>
      <c r="H29" s="822" t="s">
        <v>1787</v>
      </c>
      <c r="I29" s="823" t="s">
        <v>1788</v>
      </c>
      <c r="J29" s="824">
        <f ca="1">ROUND(J26/(1+F40)^F41,0)</f>
        <v>0</v>
      </c>
      <c r="K29" s="825" t="s">
        <v>688</v>
      </c>
      <c r="L29" s="826"/>
      <c r="M29" s="827">
        <f ca="1">INDIRECT("'数据-取费表'!k"&amp;$G$1)</f>
        <v>1853.16</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1748</v>
      </c>
      <c r="B30" s="1810" t="s">
        <v>651</v>
      </c>
      <c r="C30" s="791">
        <f ca="1">ROUND(C31+C36+C37+C38,0)</f>
        <v>54</v>
      </c>
      <c r="D30" s="1804" t="s">
        <v>652</v>
      </c>
      <c r="E30" s="3187"/>
      <c r="F30" s="2453"/>
      <c r="G30" s="2045"/>
      <c r="H30" s="2048"/>
      <c r="I30" s="2049"/>
      <c r="J30" s="2050"/>
      <c r="K30" s="2051"/>
      <c r="L30" s="2052"/>
      <c r="M30" s="2053"/>
    </row>
    <row r="31" spans="1:33" ht="18" customHeight="1">
      <c r="A31" s="1633" t="s">
        <v>1824</v>
      </c>
      <c r="B31" s="783" t="s">
        <v>656</v>
      </c>
      <c r="C31" s="53">
        <f ca="1">ROUND(IF(项目基本情况!B11="自然人",C5*F31,C32+C33+C34),1)</f>
        <v>34.5</v>
      </c>
      <c r="D31" s="3185" t="s">
        <v>657</v>
      </c>
      <c r="E31" s="3184" t="s">
        <v>690</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660</v>
      </c>
      <c r="C32" s="53">
        <f ca="1">ROUND(C5*F32/1.05,1)</f>
        <v>10.4</v>
      </c>
      <c r="D32" s="3184" t="s">
        <v>661</v>
      </c>
      <c r="E32" s="783" t="s">
        <v>649</v>
      </c>
      <c r="F32" s="808">
        <f>'数据-取费表'!B41</f>
        <v>5.6000000000000001E-2</v>
      </c>
      <c r="G32" s="2045"/>
      <c r="H32" s="2054"/>
      <c r="I32" s="2055"/>
      <c r="J32" s="2056"/>
      <c r="K32" s="2057"/>
      <c r="L32" s="2058"/>
      <c r="M32" s="2059"/>
    </row>
    <row r="33" spans="1:18" ht="18" customHeight="1">
      <c r="A33" s="1632" t="s">
        <v>1832</v>
      </c>
      <c r="B33" s="783" t="s">
        <v>664</v>
      </c>
      <c r="C33" s="53">
        <f ca="1">IF(D33="按租金收入计税",ROUND(C5*F33,1),IF(D33="按房产原值计税",ROUND(C29*F33*0.7,1),INDIRECT("'数据-取费表'!Aj"&amp;$G$1)))</f>
        <v>23.4</v>
      </c>
      <c r="D33" s="810" t="s">
        <v>3358</v>
      </c>
      <c r="E33" s="783" t="s">
        <v>649</v>
      </c>
      <c r="F33" s="808">
        <f>IF(D33="按租金收入计税",'数据-取费表'!B51,'数据-取费表'!B50)</f>
        <v>0.12</v>
      </c>
      <c r="G33" s="2045"/>
      <c r="H33" s="2060"/>
      <c r="I33" s="2060"/>
      <c r="J33" s="2060"/>
      <c r="K33" s="2061"/>
      <c r="L33" s="2060"/>
      <c r="M33" s="2060"/>
    </row>
    <row r="34" spans="1:18" ht="18" customHeight="1">
      <c r="A34" s="1635" t="s">
        <v>1833</v>
      </c>
      <c r="B34" s="340" t="s">
        <v>668</v>
      </c>
      <c r="C34" s="54">
        <f ca="1">ROUND(F34*F35/10000,1)</f>
        <v>0.7</v>
      </c>
      <c r="D34" s="813" t="s">
        <v>669</v>
      </c>
      <c r="E34" s="783" t="s">
        <v>670</v>
      </c>
      <c r="F34" s="639">
        <f>'数据-取费表'!B52</f>
        <v>18</v>
      </c>
      <c r="G34" s="2045"/>
      <c r="H34" s="2048"/>
      <c r="I34" s="834" t="s">
        <v>1813</v>
      </c>
      <c r="J34" s="835"/>
      <c r="K34" s="2063"/>
      <c r="L34" s="2062"/>
      <c r="M34" s="2062"/>
    </row>
    <row r="35" spans="1:18" ht="18" customHeight="1">
      <c r="A35" s="814"/>
      <c r="B35" s="792"/>
      <c r="C35" s="69"/>
      <c r="D35" s="815"/>
      <c r="E35" s="783" t="s">
        <v>674</v>
      </c>
      <c r="F35" s="784">
        <f ca="1">INDIRECT("'数据-取费表'!r"&amp;$G$1)</f>
        <v>408.34</v>
      </c>
      <c r="G35" s="2045"/>
      <c r="H35" s="2048"/>
      <c r="I35" s="836" t="s">
        <v>1814</v>
      </c>
      <c r="J35" s="837">
        <f ca="1">ROUND(C13*J36,0)</f>
        <v>66</v>
      </c>
      <c r="K35" s="2061"/>
      <c r="L35" s="2060"/>
      <c r="M35" s="2060"/>
    </row>
    <row r="36" spans="1:18" ht="18" customHeight="1">
      <c r="A36" s="1633" t="s">
        <v>1889</v>
      </c>
      <c r="B36" s="783" t="s">
        <v>676</v>
      </c>
      <c r="C36" s="53">
        <f ca="1">ROUND(C29*F36,1)</f>
        <v>15.5</v>
      </c>
      <c r="D36" s="3184" t="s">
        <v>691</v>
      </c>
      <c r="E36" s="783" t="s">
        <v>649</v>
      </c>
      <c r="F36" s="816">
        <f ca="1">INDIRECT("'数据-取费表'!Ak"&amp;$G$1)</f>
        <v>0.02</v>
      </c>
      <c r="G36" s="2045"/>
      <c r="H36" s="2060"/>
      <c r="I36" s="838" t="s">
        <v>1815</v>
      </c>
      <c r="J36" s="839">
        <f ca="1">INDIRECT("'数据-取费表'!j"&amp;$G$1)</f>
        <v>8.5000000000000006E-2</v>
      </c>
      <c r="K36" s="2065"/>
      <c r="L36" s="2060"/>
      <c r="M36" s="2060"/>
    </row>
    <row r="37" spans="1:18" ht="18" customHeight="1">
      <c r="A37" s="1633" t="s">
        <v>1890</v>
      </c>
      <c r="B37" s="783" t="s">
        <v>679</v>
      </c>
      <c r="C37" s="53">
        <f ca="1">ROUND(C13*F37,1)</f>
        <v>1.2</v>
      </c>
      <c r="D37" s="3184" t="s">
        <v>680</v>
      </c>
      <c r="E37" s="783" t="s">
        <v>649</v>
      </c>
      <c r="F37" s="817">
        <f ca="1">INDIRECT("'数据-取费表'!Al"&amp;$G$1)</f>
        <v>1.5E-3</v>
      </c>
      <c r="G37" s="2045"/>
      <c r="H37" s="2060"/>
      <c r="I37" s="840" t="s">
        <v>1816</v>
      </c>
      <c r="J37" s="841"/>
      <c r="K37" s="2065"/>
      <c r="L37" s="2060"/>
      <c r="M37" s="2060"/>
    </row>
    <row r="38" spans="1:18" ht="18" customHeight="1" thickBot="1">
      <c r="A38" s="2513" t="s">
        <v>1891</v>
      </c>
      <c r="B38" s="2508" t="s">
        <v>666</v>
      </c>
      <c r="C38" s="2506">
        <f ca="1">ROUND(C5*F38,1)</f>
        <v>2.9</v>
      </c>
      <c r="D38" s="2507" t="s">
        <v>683</v>
      </c>
      <c r="E38" s="2508" t="s">
        <v>649</v>
      </c>
      <c r="F38" s="2504">
        <f ca="1">INDIRECT("'数据-取费表'!Am"&amp;$G$1)</f>
        <v>1.4999999999999999E-2</v>
      </c>
      <c r="G38" s="2045"/>
      <c r="H38" s="2060"/>
      <c r="I38" s="842" t="s">
        <v>1817</v>
      </c>
      <c r="J38" s="843"/>
      <c r="K38" s="2066"/>
      <c r="L38" s="2060"/>
      <c r="M38" s="2060"/>
    </row>
    <row r="39" spans="1:18" ht="24.6" customHeight="1" thickTop="1">
      <c r="A39" s="1812" t="s">
        <v>1776</v>
      </c>
      <c r="B39" s="2960" t="s">
        <v>2821</v>
      </c>
      <c r="C39" s="791">
        <f ca="1">C5-C30</f>
        <v>141</v>
      </c>
      <c r="D39" s="2510" t="s">
        <v>700</v>
      </c>
      <c r="E39" s="2511"/>
      <c r="F39" s="2512"/>
      <c r="G39" s="2045"/>
      <c r="H39" s="2060"/>
      <c r="I39" s="836" t="s">
        <v>1818</v>
      </c>
      <c r="J39" s="844">
        <f ca="1">ROUND(J35/C39,3)</f>
        <v>0.46800000000000003</v>
      </c>
      <c r="K39" s="2066"/>
      <c r="L39" s="2060"/>
      <c r="M39" s="2060"/>
    </row>
    <row r="40" spans="1:18" ht="18" customHeight="1">
      <c r="A40" s="780" t="s">
        <v>1780</v>
      </c>
      <c r="B40" s="2215" t="s">
        <v>2301</v>
      </c>
      <c r="C40" s="782">
        <f ca="1">ROUND(C39*(1-((1+F42)/(1+F40))^F41)/(F40-F42),0)</f>
        <v>3372</v>
      </c>
      <c r="D40" s="813" t="s">
        <v>704</v>
      </c>
      <c r="E40" s="783" t="s">
        <v>2418</v>
      </c>
      <c r="F40" s="793">
        <f ca="1">INDIRECT("'数据-取费表'!I"&amp;$G$1)</f>
        <v>5.5E-2</v>
      </c>
      <c r="G40" s="2045"/>
      <c r="H40" s="2045"/>
      <c r="I40" s="836" t="s">
        <v>1819</v>
      </c>
      <c r="J40" s="844">
        <f ca="1">1-J39</f>
        <v>0.53200000000000003</v>
      </c>
      <c r="K40" s="2066"/>
      <c r="L40" s="2045"/>
      <c r="M40" s="2045"/>
    </row>
    <row r="41" spans="1:18" ht="18" customHeight="1">
      <c r="A41" s="785"/>
      <c r="B41" s="786"/>
      <c r="C41" s="787"/>
      <c r="D41" s="820" t="s">
        <v>1808</v>
      </c>
      <c r="E41" s="783" t="s">
        <v>708</v>
      </c>
      <c r="F41" s="821">
        <f ca="1">IF(INDIRECT("'数据-取费表'!af"&amp;$G$1)=0,INDIRECT("'数据-取费表'!ae"&amp;$G$1),INDIRECT("'数据-取费表'!af"&amp;$G$1))</f>
        <v>37.979999999999997</v>
      </c>
      <c r="G41" s="2045"/>
      <c r="H41" s="1971"/>
      <c r="I41" s="842" t="s">
        <v>1820</v>
      </c>
      <c r="J41" s="845"/>
      <c r="K41" s="2065"/>
      <c r="L41" s="1971"/>
      <c r="M41" s="1971"/>
    </row>
    <row r="42" spans="1:18" ht="18" customHeight="1">
      <c r="A42" s="789"/>
      <c r="B42" s="790"/>
      <c r="C42" s="791"/>
      <c r="D42" s="815"/>
      <c r="E42" s="783" t="s">
        <v>710</v>
      </c>
      <c r="F42" s="793">
        <f ca="1">INDIRECT("'数据-取费表'!v"&amp;$G$1)</f>
        <v>0.03</v>
      </c>
      <c r="G42" s="2045"/>
      <c r="H42" s="1971"/>
      <c r="I42" s="846" t="s">
        <v>1821</v>
      </c>
      <c r="J42" s="844">
        <f ca="1">ROUND(C13/C40,3)</f>
        <v>0.23</v>
      </c>
      <c r="K42" s="2065"/>
      <c r="L42" s="1971"/>
      <c r="M42" s="1971"/>
    </row>
    <row r="43" spans="1:18" ht="18" customHeight="1" thickBot="1">
      <c r="A43" s="822" t="s">
        <v>1787</v>
      </c>
      <c r="B43" s="823" t="s">
        <v>1810</v>
      </c>
      <c r="C43" s="824">
        <f ca="1">ROUND(C40*10000/F43,0)</f>
        <v>18196</v>
      </c>
      <c r="D43" s="825" t="s">
        <v>1811</v>
      </c>
      <c r="E43" s="826" t="s">
        <v>1812</v>
      </c>
      <c r="F43" s="827">
        <f ca="1">INDIRECT("'数据-取费表'!k"&amp;$G$1)</f>
        <v>1853.16</v>
      </c>
      <c r="G43" s="2045"/>
      <c r="H43" s="1971"/>
      <c r="I43" s="846" t="s">
        <v>1822</v>
      </c>
      <c r="J43" s="847">
        <f ca="1">1-J42</f>
        <v>0.77</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-3641</v>
      </c>
      <c r="D46" s="2068"/>
      <c r="E46" s="2068"/>
      <c r="F46" s="2068"/>
      <c r="I46" s="2340" t="s">
        <v>2342</v>
      </c>
      <c r="J46" s="2341"/>
      <c r="K46" s="2342"/>
      <c r="L46" s="3105">
        <f>IF(OR(M47="住宅",D1="土地（套用方法）"),0,IF(L48&gt;J51,L60,J60))</f>
        <v>0</v>
      </c>
      <c r="O46" s="2356" t="s">
        <v>2409</v>
      </c>
      <c r="P46" s="1577"/>
      <c r="Q46" s="1588"/>
      <c r="R46" s="1577"/>
    </row>
    <row r="47" spans="1:18" s="2042" customFormat="1" ht="18" customHeight="1" thickBot="1">
      <c r="A47" s="2334">
        <v>1</v>
      </c>
      <c r="B47" s="2335" t="s">
        <v>635</v>
      </c>
      <c r="C47" s="2536">
        <f ca="1">C48+C52+C54</f>
        <v>0</v>
      </c>
      <c r="D47" s="2068"/>
      <c r="E47" s="2068"/>
      <c r="F47" s="2068"/>
      <c r="I47" s="3095" t="s">
        <v>2343</v>
      </c>
      <c r="J47" s="2343" t="s">
        <v>3344</v>
      </c>
      <c r="K47" s="3102" t="s">
        <v>2348</v>
      </c>
      <c r="L47" s="3106">
        <f ca="1">INDIRECT("'数据-取费表'!d"&amp;$G$1)</f>
        <v>40</v>
      </c>
      <c r="M47" s="1588" t="str">
        <f>IF(ISNUMBER(FIND("住宅",C1)),"住宅","非住宅")</f>
        <v>非住宅</v>
      </c>
      <c r="O47" s="2357" t="s">
        <v>2374</v>
      </c>
      <c r="P47" s="2358" t="s">
        <v>2375</v>
      </c>
      <c r="Q47" s="2359" t="s">
        <v>2376</v>
      </c>
      <c r="R47" s="2358" t="s">
        <v>2377</v>
      </c>
    </row>
    <row r="48" spans="1:18" s="2042" customFormat="1" ht="18" customHeight="1" thickBot="1">
      <c r="A48" s="2604" t="s">
        <v>1870</v>
      </c>
      <c r="B48" s="2605" t="s">
        <v>2537</v>
      </c>
      <c r="C48" s="2336">
        <f ca="1">ROUND(F48*F50*F49*(1-F51)/10000,0)</f>
        <v>0</v>
      </c>
      <c r="D48" s="2337" t="s">
        <v>636</v>
      </c>
      <c r="E48" s="2338" t="s">
        <v>2296</v>
      </c>
      <c r="F48" s="2339"/>
      <c r="G48" s="2073"/>
      <c r="I48" s="3074" t="s">
        <v>2344</v>
      </c>
      <c r="J48" s="2344" t="s">
        <v>2349</v>
      </c>
      <c r="K48" s="3103" t="s">
        <v>2350</v>
      </c>
      <c r="L48" s="1891">
        <f ca="1">INDIRECT("'数据-取费表'!f"&amp;$G$1)</f>
        <v>39.979999999999997</v>
      </c>
      <c r="O48" s="2360" t="s">
        <v>2378</v>
      </c>
      <c r="P48" s="2361" t="s">
        <v>2404</v>
      </c>
      <c r="Q48" s="2362">
        <f ca="1">C40+J29</f>
        <v>3372</v>
      </c>
      <c r="R48" s="2361" t="s">
        <v>2379</v>
      </c>
    </row>
    <row r="49" spans="1:18" s="2042" customFormat="1" ht="18" customHeight="1" thickBot="1">
      <c r="A49" s="785"/>
      <c r="B49" s="786"/>
      <c r="C49" s="787"/>
      <c r="D49" s="788"/>
      <c r="E49" s="783" t="s">
        <v>638</v>
      </c>
      <c r="F49" s="784">
        <f ca="1">F7</f>
        <v>1853.16</v>
      </c>
      <c r="G49" s="2073"/>
      <c r="H49" s="2076"/>
      <c r="I49" s="3074" t="s">
        <v>2345</v>
      </c>
      <c r="J49" s="2345">
        <v>2022</v>
      </c>
      <c r="K49" s="3104" t="s">
        <v>2351</v>
      </c>
      <c r="L49" s="2346"/>
      <c r="O49" s="2360" t="s">
        <v>2380</v>
      </c>
      <c r="P49" s="2361" t="s">
        <v>2405</v>
      </c>
      <c r="Q49" s="2362">
        <f ca="1">J60</f>
        <v>12</v>
      </c>
      <c r="R49" s="2361" t="s">
        <v>2381</v>
      </c>
    </row>
    <row r="50" spans="1:18" s="2042" customFormat="1" ht="18" customHeight="1" thickBot="1">
      <c r="A50" s="785"/>
      <c r="B50" s="786"/>
      <c r="C50" s="787"/>
      <c r="D50" s="788"/>
      <c r="E50" s="783" t="s">
        <v>639</v>
      </c>
      <c r="F50" s="784">
        <f ca="1">F8</f>
        <v>365</v>
      </c>
      <c r="G50" s="2078"/>
      <c r="H50" s="2076"/>
      <c r="I50" s="3074" t="s">
        <v>2346</v>
      </c>
      <c r="J50" s="3099">
        <f>SUMPRODUCT((I63:I65=J47)*(J62:L62=J48)*(J63:L65))</f>
        <v>60</v>
      </c>
      <c r="K50" s="3104" t="s">
        <v>2352</v>
      </c>
      <c r="L50" s="2346"/>
      <c r="O50" s="2363" t="s">
        <v>2382</v>
      </c>
      <c r="P50" s="2361" t="s">
        <v>2406</v>
      </c>
      <c r="Q50" s="2362">
        <f ca="1">C29</f>
        <v>775</v>
      </c>
      <c r="R50" s="2361" t="s">
        <v>2379</v>
      </c>
    </row>
    <row r="51" spans="1:18" s="2042" customFormat="1" ht="18" customHeight="1" thickBot="1">
      <c r="A51" s="785"/>
      <c r="B51" s="786"/>
      <c r="C51" s="787"/>
      <c r="D51" s="788"/>
      <c r="E51" s="783" t="s">
        <v>640</v>
      </c>
      <c r="F51" s="2333"/>
      <c r="H51" s="2076"/>
      <c r="I51" s="3096" t="s">
        <v>2347</v>
      </c>
      <c r="J51" s="3100">
        <f>IF(J49="",J50,J49+J50-YEAR('数据-取费表'!B2))</f>
        <v>62</v>
      </c>
      <c r="K51" s="3074" t="s">
        <v>2353</v>
      </c>
      <c r="L51" s="3107">
        <f ca="1">ROUND(-PV(INDIRECT("'数据-取费表'!h"&amp;$G$1),L48,(C39-C13*J36),0),0)</f>
        <v>1289</v>
      </c>
      <c r="O51" s="2363" t="s">
        <v>2383</v>
      </c>
      <c r="P51" s="2361" t="s">
        <v>2384</v>
      </c>
      <c r="Q51" s="2364">
        <f ca="1">J58</f>
        <v>0.4</v>
      </c>
      <c r="R51" s="2365"/>
    </row>
    <row r="52" spans="1:18" s="2042" customFormat="1" ht="18" customHeight="1" thickBot="1">
      <c r="A52" s="780" t="s">
        <v>2535</v>
      </c>
      <c r="B52" s="2456" t="s">
        <v>2458</v>
      </c>
      <c r="C52" s="798">
        <f ca="1">ROUND(IF(F52="押一",C48/12*F11,IF(F52="押二",C48/12*2*F11,IF(F52="押三",C48/12*3*F11,C53*F11))),0)</f>
        <v>0</v>
      </c>
      <c r="D52" s="2463" t="s">
        <v>2968</v>
      </c>
      <c r="E52" s="2460" t="s">
        <v>2463</v>
      </c>
      <c r="F52" s="2583"/>
      <c r="I52" s="3097" t="s">
        <v>2420</v>
      </c>
      <c r="J52" s="2347">
        <v>0.09</v>
      </c>
      <c r="K52" s="3097" t="s">
        <v>2419</v>
      </c>
      <c r="L52" s="2347"/>
      <c r="O52" s="2363" t="s">
        <v>2385</v>
      </c>
      <c r="P52" s="2361" t="s">
        <v>2386</v>
      </c>
      <c r="Q52" s="2364">
        <f>J52</f>
        <v>0.09</v>
      </c>
      <c r="R52" s="2365"/>
    </row>
    <row r="53" spans="1:18" s="2042" customFormat="1" ht="39.75" customHeight="1" thickBot="1">
      <c r="A53" s="785"/>
      <c r="B53" s="2457" t="s">
        <v>2572</v>
      </c>
      <c r="C53" s="2461"/>
      <c r="D53" s="2463"/>
      <c r="E53" s="2460"/>
      <c r="F53" s="799"/>
      <c r="I53" s="3098" t="s">
        <v>2972</v>
      </c>
      <c r="J53" s="3101">
        <f ca="1">IF(M47="住宅",IF(D1="——",MAX(J51,L48),MAX(J51,L48-'数据-取费表'!B20)),IF(D1="——",MIN(J51,L48),MIN(J51,L48-'数据-取费表'!B20)))</f>
        <v>37.979999999999997</v>
      </c>
      <c r="K53" s="3471" t="s">
        <v>2960</v>
      </c>
      <c r="L53" s="3472"/>
      <c r="O53" s="2363" t="s">
        <v>2387</v>
      </c>
      <c r="P53" s="2361" t="s">
        <v>2388</v>
      </c>
      <c r="Q53" s="2362">
        <f ca="1">J53</f>
        <v>37.979999999999997</v>
      </c>
      <c r="R53" s="2361" t="s">
        <v>2389</v>
      </c>
    </row>
    <row r="54" spans="1:18" s="2042" customFormat="1" ht="18" customHeight="1" thickBot="1">
      <c r="A54" s="2499" t="s">
        <v>2466</v>
      </c>
      <c r="B54" s="2500" t="s">
        <v>2459</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3384</v>
      </c>
      <c r="R54" s="2365" t="s">
        <v>2391</v>
      </c>
    </row>
    <row r="55" spans="1:18" s="2042" customFormat="1" ht="18" customHeight="1" thickTop="1" thickBot="1">
      <c r="A55" s="796">
        <v>2</v>
      </c>
      <c r="B55" s="797" t="s">
        <v>644</v>
      </c>
      <c r="C55" s="798">
        <f ca="1">C13</f>
        <v>775</v>
      </c>
      <c r="D55" s="794"/>
      <c r="E55" s="794"/>
      <c r="F55" s="799"/>
      <c r="I55" s="3110" t="s">
        <v>2354</v>
      </c>
      <c r="J55" s="3049">
        <f ca="1">ROUND(IF(J47="钢混",J57/J50,1-(1-2%)*(J50-J57)/J50),3)</f>
        <v>0.36699999999999999</v>
      </c>
      <c r="K55" s="3111" t="s">
        <v>2355</v>
      </c>
      <c r="L55" s="2348"/>
      <c r="O55" s="2366" t="s">
        <v>2410</v>
      </c>
      <c r="P55" s="1577"/>
      <c r="Q55" s="1588"/>
      <c r="R55" s="1577"/>
    </row>
    <row r="56" spans="1:18" s="2042" customFormat="1" ht="42.75" customHeight="1" thickBot="1">
      <c r="A56" s="1634"/>
      <c r="B56" s="2214" t="s">
        <v>2300</v>
      </c>
      <c r="C56" s="53">
        <f ca="1">C29</f>
        <v>775</v>
      </c>
      <c r="D56" s="3184"/>
      <c r="E56" s="783"/>
      <c r="F56" s="808"/>
      <c r="I56" s="3112" t="s">
        <v>2356</v>
      </c>
      <c r="J56" s="3122"/>
      <c r="K56" s="3074" t="s">
        <v>2361</v>
      </c>
      <c r="L56" s="1891" t="str">
        <f ca="1">IF(L48&lt;J51,"——",L48-J51)</f>
        <v>——</v>
      </c>
      <c r="O56" s="2357" t="s">
        <v>2374</v>
      </c>
      <c r="P56" s="2358" t="s">
        <v>2375</v>
      </c>
      <c r="Q56" s="2359" t="s">
        <v>2376</v>
      </c>
      <c r="R56" s="2358" t="s">
        <v>2377</v>
      </c>
    </row>
    <row r="57" spans="1:18" s="2042" customFormat="1" ht="28.5" customHeight="1" thickBot="1">
      <c r="A57" s="796" t="s">
        <v>1748</v>
      </c>
      <c r="B57" s="797" t="s">
        <v>651</v>
      </c>
      <c r="C57" s="798">
        <f ca="1">ROUND(C58+C63+C64+C65,0)</f>
        <v>17</v>
      </c>
      <c r="D57" s="26" t="s">
        <v>652</v>
      </c>
      <c r="E57" s="3189"/>
      <c r="F57" s="56"/>
      <c r="I57" s="3113" t="s">
        <v>2357</v>
      </c>
      <c r="J57" s="3114">
        <f ca="1">IF(OR(M47="住宅",J51&lt;L48,J56="是"),"——",J51-L48)</f>
        <v>22.020000000000003</v>
      </c>
      <c r="K57" s="3074" t="s">
        <v>2362</v>
      </c>
      <c r="L57" s="1891" t="str">
        <f ca="1">IF(L48&lt;J51,"——",IF(L55="比较法",L49,IF(L55="基准地价",L50,L51)))</f>
        <v>——</v>
      </c>
      <c r="O57" s="2360" t="s">
        <v>2378</v>
      </c>
      <c r="P57" s="2361" t="s">
        <v>2404</v>
      </c>
      <c r="Q57" s="2362">
        <f ca="1">C40+J29</f>
        <v>3372</v>
      </c>
      <c r="R57" s="2361" t="s">
        <v>2379</v>
      </c>
    </row>
    <row r="58" spans="1:18" s="2042" customFormat="1" ht="28.5" customHeight="1" thickBot="1">
      <c r="A58" s="1633" t="s">
        <v>1824</v>
      </c>
      <c r="B58" s="783" t="s">
        <v>656</v>
      </c>
      <c r="C58" s="53">
        <f ca="1">ROUND(IF(项目基本情况!B11="自然人",C47*F58,C59+C60+C61),1)</f>
        <v>0.7</v>
      </c>
      <c r="D58" s="3185" t="s">
        <v>657</v>
      </c>
      <c r="E58" s="3184" t="s">
        <v>690</v>
      </c>
      <c r="F58" s="809" t="str">
        <f ca="1">IF(项目基本情况!B11="企业","",IF(INDIRECT("'数据-取费表'!c"&amp;$G$1)="住宅",5%,IF(F48*F49*F50/12/(1+'数据-取费表'!C42)&gt;20000,12%,7%)))</f>
        <v/>
      </c>
      <c r="I58" s="3113" t="s">
        <v>2358</v>
      </c>
      <c r="J58" s="3050">
        <f ca="1">IF(J55&lt;0.4,0.4,J55)</f>
        <v>0.4</v>
      </c>
      <c r="K58" s="3074" t="s">
        <v>2363</v>
      </c>
      <c r="L58" s="1891" t="e">
        <f ca="1">ROUND(POWER(1+L52,L47-L48)*(POWER(1+L52,L48)-1)/(POWER(1+L52,L47)-1),4)</f>
        <v>#DIV/0!</v>
      </c>
      <c r="O58" s="2360" t="s">
        <v>2380</v>
      </c>
      <c r="P58" s="2361" t="s">
        <v>2411</v>
      </c>
      <c r="Q58" s="2362">
        <f ca="1">L60</f>
        <v>0</v>
      </c>
      <c r="R58" s="2365" t="s">
        <v>2413</v>
      </c>
    </row>
    <row r="59" spans="1:18" s="2042" customFormat="1" ht="28.5" customHeight="1" thickBot="1">
      <c r="A59" s="1632" t="s">
        <v>1831</v>
      </c>
      <c r="B59" s="783" t="s">
        <v>660</v>
      </c>
      <c r="C59" s="53">
        <f ca="1">ROUND(C47*F59/1.05,1)</f>
        <v>0</v>
      </c>
      <c r="D59" s="3184" t="s">
        <v>661</v>
      </c>
      <c r="E59" s="783" t="s">
        <v>649</v>
      </c>
      <c r="F59" s="808">
        <f t="shared" ref="F59:F65" si="0">F32</f>
        <v>5.6000000000000001E-2</v>
      </c>
      <c r="I59" s="3113" t="s">
        <v>2359</v>
      </c>
      <c r="J59" s="3114">
        <f ca="1">IF(OR(M47="住宅",J51&lt;L48,J56="是"),"——",ROUND(C29*J58,0))</f>
        <v>310</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2" t="s">
        <v>1832</v>
      </c>
      <c r="B60" s="783" t="s">
        <v>664</v>
      </c>
      <c r="C60" s="53">
        <f ca="1">IF(D60="按租金收入计税",ROUND(C47*F60,1),IF(D60="按房产原值计税",ROUND(C56*F60*0.7,1),INDIRECT("'数据-取费表'!Aj"&amp;$G$1)))</f>
        <v>0</v>
      </c>
      <c r="D60" s="3184" t="str">
        <f>D33</f>
        <v>按租金收入计税</v>
      </c>
      <c r="E60" s="783" t="s">
        <v>649</v>
      </c>
      <c r="F60" s="808">
        <f t="shared" si="0"/>
        <v>0.12</v>
      </c>
      <c r="I60" s="3115" t="s">
        <v>2360</v>
      </c>
      <c r="J60" s="3116">
        <f ca="1">IF(OR(M47="住宅",J51&lt;L48,J56="是"),"0",ROUND(J59/(1+J52)^J53,0))</f>
        <v>12</v>
      </c>
      <c r="K60" s="3117" t="s">
        <v>2365</v>
      </c>
      <c r="L60" s="3116">
        <f ca="1">IF(OR(M47="住宅",L48&lt;J51),0,ROUND(L57*(L58/L59-1),0))</f>
        <v>0</v>
      </c>
      <c r="O60" s="2363" t="s">
        <v>2383</v>
      </c>
      <c r="P60" s="2361" t="s">
        <v>2392</v>
      </c>
      <c r="Q60" s="2364">
        <f>L52</f>
        <v>0</v>
      </c>
      <c r="R60" s="2365"/>
    </row>
    <row r="61" spans="1:18" s="2042" customFormat="1" ht="18" customHeight="1" thickBot="1">
      <c r="A61" s="1635" t="s">
        <v>1833</v>
      </c>
      <c r="B61" s="340" t="s">
        <v>668</v>
      </c>
      <c r="C61" s="54">
        <f ca="1">ROUND(F61*F62/10000,1)</f>
        <v>0.7</v>
      </c>
      <c r="D61" s="813" t="s">
        <v>669</v>
      </c>
      <c r="E61" s="783" t="s">
        <v>670</v>
      </c>
      <c r="F61" s="639">
        <f t="shared" si="0"/>
        <v>18</v>
      </c>
      <c r="K61" s="2069"/>
      <c r="O61" s="2363" t="s">
        <v>2385</v>
      </c>
      <c r="P61" s="2361" t="s">
        <v>2393</v>
      </c>
      <c r="Q61" s="2362" t="e">
        <f ca="1">L58</f>
        <v>#DIV/0!</v>
      </c>
      <c r="R61" s="2365" t="s">
        <v>2394</v>
      </c>
    </row>
    <row r="62" spans="1:18" s="2042" customFormat="1" ht="16.2" thickBot="1">
      <c r="A62" s="814"/>
      <c r="B62" s="792"/>
      <c r="C62" s="69"/>
      <c r="D62" s="815"/>
      <c r="E62" s="783" t="s">
        <v>674</v>
      </c>
      <c r="F62" s="784">
        <f t="shared" ca="1" si="0"/>
        <v>408.34</v>
      </c>
      <c r="I62" s="3118" t="s">
        <v>2366</v>
      </c>
      <c r="J62" s="3119" t="s">
        <v>2367</v>
      </c>
      <c r="K62" s="3119" t="s">
        <v>2368</v>
      </c>
      <c r="L62" s="3119" t="s">
        <v>2349</v>
      </c>
      <c r="M62" s="3120" t="s">
        <v>2937</v>
      </c>
      <c r="O62" s="2363" t="s">
        <v>2387</v>
      </c>
      <c r="P62" s="2361" t="str">
        <f>K59</f>
        <v>建设期及建筑物耐用年限下的土地年期修正系数Kn</v>
      </c>
      <c r="Q62" s="2362" t="e">
        <f ca="1">L59</f>
        <v>#DIV/0!</v>
      </c>
      <c r="R62" s="2365" t="s">
        <v>2396</v>
      </c>
    </row>
    <row r="63" spans="1:18" s="2042" customFormat="1" ht="16.2" thickBot="1">
      <c r="A63" s="1633" t="s">
        <v>1889</v>
      </c>
      <c r="B63" s="783" t="s">
        <v>676</v>
      </c>
      <c r="C63" s="53">
        <f ca="1">ROUND(C56*F63,1)</f>
        <v>15.5</v>
      </c>
      <c r="D63" s="3184" t="s">
        <v>691</v>
      </c>
      <c r="E63" s="783" t="s">
        <v>649</v>
      </c>
      <c r="F63" s="816">
        <f t="shared" ca="1" si="0"/>
        <v>0.02</v>
      </c>
      <c r="I63" s="3118" t="s">
        <v>2369</v>
      </c>
      <c r="J63" s="3119">
        <v>70</v>
      </c>
      <c r="K63" s="3119">
        <v>50</v>
      </c>
      <c r="L63" s="3119">
        <v>80</v>
      </c>
      <c r="M63" s="3121">
        <v>0.02</v>
      </c>
      <c r="O63" s="2360" t="s">
        <v>2390</v>
      </c>
      <c r="P63" s="2361" t="s">
        <v>2407</v>
      </c>
      <c r="Q63" s="2362">
        <f ca="1">Q57+Q58</f>
        <v>3372</v>
      </c>
      <c r="R63" s="2365" t="s">
        <v>2391</v>
      </c>
    </row>
    <row r="64" spans="1:18" s="2042" customFormat="1" ht="16.2" thickBot="1">
      <c r="A64" s="1633" t="s">
        <v>1890</v>
      </c>
      <c r="B64" s="783" t="s">
        <v>679</v>
      </c>
      <c r="C64" s="53">
        <f ca="1">ROUND(C55*F64,1)</f>
        <v>1.2</v>
      </c>
      <c r="D64" s="3184" t="s">
        <v>680</v>
      </c>
      <c r="E64" s="783" t="s">
        <v>649</v>
      </c>
      <c r="F64" s="817">
        <f t="shared" ca="1" si="0"/>
        <v>1.5E-3</v>
      </c>
      <c r="I64" s="3118" t="s">
        <v>2370</v>
      </c>
      <c r="J64" s="3119">
        <v>50</v>
      </c>
      <c r="K64" s="3119">
        <v>35</v>
      </c>
      <c r="L64" s="3119">
        <v>60</v>
      </c>
      <c r="M64" s="845">
        <v>0</v>
      </c>
      <c r="O64" s="2366" t="s">
        <v>2414</v>
      </c>
      <c r="P64" s="1577"/>
      <c r="Q64" s="1588"/>
      <c r="R64" s="1577"/>
    </row>
    <row r="65" spans="1:18" s="2042" customFormat="1" ht="16.2" thickBot="1">
      <c r="A65" s="1633" t="s">
        <v>1891</v>
      </c>
      <c r="B65" s="783" t="s">
        <v>666</v>
      </c>
      <c r="C65" s="53">
        <f ca="1">ROUND(C47*F65,1)</f>
        <v>0</v>
      </c>
      <c r="D65" s="3184" t="s">
        <v>683</v>
      </c>
      <c r="E65" s="783" t="s">
        <v>649</v>
      </c>
      <c r="F65" s="793">
        <f t="shared" ca="1" si="0"/>
        <v>1.4999999999999999E-2</v>
      </c>
      <c r="I65" s="3118" t="s">
        <v>2371</v>
      </c>
      <c r="J65" s="3119">
        <v>40</v>
      </c>
      <c r="K65" s="3119">
        <v>30</v>
      </c>
      <c r="L65" s="3119">
        <v>50</v>
      </c>
      <c r="M65" s="3121">
        <v>0.02</v>
      </c>
      <c r="O65" s="2357" t="s">
        <v>2374</v>
      </c>
      <c r="P65" s="2358" t="s">
        <v>2375</v>
      </c>
      <c r="Q65" s="2359" t="s">
        <v>2376</v>
      </c>
      <c r="R65" s="2358" t="s">
        <v>2377</v>
      </c>
    </row>
    <row r="66" spans="1:18" s="2042" customFormat="1" ht="24.6" thickBot="1">
      <c r="A66" s="796" t="s">
        <v>1776</v>
      </c>
      <c r="B66" s="2961" t="s">
        <v>2821</v>
      </c>
      <c r="C66" s="798">
        <f ca="1">C47-C57</f>
        <v>-17</v>
      </c>
      <c r="D66" s="3185" t="s">
        <v>700</v>
      </c>
      <c r="E66" s="3188"/>
      <c r="F66" s="819"/>
      <c r="K66" s="2069"/>
      <c r="O66" s="2360" t="s">
        <v>2378</v>
      </c>
      <c r="P66" s="2361" t="s">
        <v>2404</v>
      </c>
      <c r="Q66" s="2362">
        <f ca="1">C40+J29</f>
        <v>3372</v>
      </c>
      <c r="R66" s="2361" t="s">
        <v>2379</v>
      </c>
    </row>
    <row r="67" spans="1:18" s="2042" customFormat="1" ht="19.2" thickBot="1">
      <c r="A67" s="780" t="s">
        <v>1780</v>
      </c>
      <c r="B67" s="2215" t="s">
        <v>2301</v>
      </c>
      <c r="C67" s="782">
        <f ca="1">ROUND(C66*(1-((1+F69)/(1+F67))^F68)/(F67-F69),0)</f>
        <v>-269</v>
      </c>
      <c r="D67" s="813" t="s">
        <v>704</v>
      </c>
      <c r="E67" s="783" t="s">
        <v>705</v>
      </c>
      <c r="F67" s="793">
        <f ca="1">F40</f>
        <v>5.5E-2</v>
      </c>
      <c r="K67" s="2069"/>
      <c r="O67" s="2360" t="s">
        <v>2380</v>
      </c>
      <c r="P67" s="2361" t="s">
        <v>2411</v>
      </c>
      <c r="Q67" s="2362">
        <f ca="1">L60</f>
        <v>0</v>
      </c>
      <c r="R67" s="2365" t="s">
        <v>2413</v>
      </c>
    </row>
    <row r="68" spans="1:18" ht="20.399999999999999" thickBot="1">
      <c r="A68" s="785"/>
      <c r="B68" s="786"/>
      <c r="C68" s="787"/>
      <c r="D68" s="820" t="s">
        <v>1808</v>
      </c>
      <c r="E68" s="783" t="s">
        <v>708</v>
      </c>
      <c r="F68" s="821">
        <f ca="1">F41</f>
        <v>37.979999999999997</v>
      </c>
      <c r="O68" s="2363" t="s">
        <v>2382</v>
      </c>
      <c r="P68" s="2361" t="s">
        <v>2412</v>
      </c>
      <c r="Q68" s="2367">
        <f ca="1">L51</f>
        <v>1289</v>
      </c>
      <c r="R68" s="2368" t="s">
        <v>2415</v>
      </c>
    </row>
    <row r="69" spans="1:18" ht="19.2" thickBot="1">
      <c r="A69" s="789"/>
      <c r="B69" s="790"/>
      <c r="C69" s="791"/>
      <c r="D69" s="815"/>
      <c r="E69" s="783" t="s">
        <v>710</v>
      </c>
      <c r="F69" s="2333"/>
      <c r="O69" s="2363" t="s">
        <v>2383</v>
      </c>
      <c r="P69" s="2369" t="s">
        <v>2397</v>
      </c>
      <c r="Q69" s="2362">
        <f ca="1">ROUND(Q70-Q71*Q72,0)</f>
        <v>75</v>
      </c>
      <c r="R69" s="2365"/>
    </row>
    <row r="70" spans="1:18" ht="16.2" thickBot="1">
      <c r="A70" s="822" t="s">
        <v>1787</v>
      </c>
      <c r="B70" s="823" t="s">
        <v>1810</v>
      </c>
      <c r="C70" s="824">
        <f ca="1">ROUND(C67*10000/F70,0)</f>
        <v>-1452</v>
      </c>
      <c r="D70" s="825" t="s">
        <v>1811</v>
      </c>
      <c r="E70" s="826" t="s">
        <v>1812</v>
      </c>
      <c r="F70" s="827">
        <f ca="1">F43</f>
        <v>1853.16</v>
      </c>
      <c r="O70" s="2363" t="s">
        <v>2398</v>
      </c>
      <c r="P70" s="2369" t="s">
        <v>2399</v>
      </c>
      <c r="Q70" s="2362">
        <f ca="1">C39</f>
        <v>141</v>
      </c>
      <c r="R70" s="2361" t="s">
        <v>2379</v>
      </c>
    </row>
    <row r="71" spans="1:18" ht="16.2" thickBot="1">
      <c r="O71" s="2363" t="s">
        <v>2400</v>
      </c>
      <c r="P71" s="2369" t="s">
        <v>2401</v>
      </c>
      <c r="Q71" s="2362">
        <f ca="1">C13</f>
        <v>775</v>
      </c>
      <c r="R71" s="2361" t="s">
        <v>2379</v>
      </c>
    </row>
    <row r="72" spans="1:18" ht="16.2" thickBot="1">
      <c r="O72" s="2363" t="s">
        <v>2402</v>
      </c>
      <c r="P72" s="2369" t="s">
        <v>2403</v>
      </c>
      <c r="Q72" s="2364">
        <f ca="1">J36</f>
        <v>8.5000000000000006E-2</v>
      </c>
      <c r="R72" s="2365"/>
    </row>
    <row r="73" spans="1:18" ht="16.2" thickBot="1">
      <c r="O73" s="2363" t="s">
        <v>2385</v>
      </c>
      <c r="P73" s="2361" t="s">
        <v>2392</v>
      </c>
      <c r="Q73" s="2364">
        <f>L52</f>
        <v>0</v>
      </c>
      <c r="R73" s="2365"/>
    </row>
    <row r="74" spans="1:18" ht="19.2" thickBot="1">
      <c r="O74" s="2363" t="s">
        <v>2387</v>
      </c>
      <c r="P74" s="2361" t="s">
        <v>2393</v>
      </c>
      <c r="Q74" s="2362" t="e">
        <f ca="1">L58</f>
        <v>#DIV/0!</v>
      </c>
      <c r="R74" s="2365" t="s">
        <v>2394</v>
      </c>
    </row>
    <row r="75" spans="1:18" ht="16.2" thickBot="1">
      <c r="O75" s="2363" t="s">
        <v>2416</v>
      </c>
      <c r="P75" s="2361" t="str">
        <f>K59</f>
        <v>建设期及建筑物耐用年限下的土地年期修正系数Kn</v>
      </c>
      <c r="Q75" s="2362" t="e">
        <f ca="1">L59</f>
        <v>#DIV/0!</v>
      </c>
      <c r="R75" s="2365" t="s">
        <v>2396</v>
      </c>
    </row>
    <row r="76" spans="1:18" ht="16.2" thickBot="1">
      <c r="O76" s="2360" t="s">
        <v>2390</v>
      </c>
      <c r="P76" s="2361" t="s">
        <v>2407</v>
      </c>
      <c r="Q76" s="2362">
        <f ca="1">Q66+Q67</f>
        <v>3372</v>
      </c>
      <c r="R76" s="2365"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70" zoomScaleNormal="70" workbookViewId="0">
      <selection activeCell="D46" sqref="D46"/>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1" t="s">
        <v>1725</v>
      </c>
      <c r="B1" s="737"/>
      <c r="C1" s="772" t="s">
        <v>35</v>
      </c>
      <c r="D1" s="3073" t="s">
        <v>3356</v>
      </c>
      <c r="E1" s="2349" t="s">
        <v>2373</v>
      </c>
      <c r="F1" s="2350">
        <f ca="1">J53</f>
        <v>47.98</v>
      </c>
      <c r="G1" s="773">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2412</v>
      </c>
      <c r="C2" s="2040"/>
      <c r="D2" s="2038"/>
      <c r="E2" s="2039"/>
      <c r="F2" s="2039"/>
      <c r="G2" s="1575"/>
      <c r="H2" s="2040"/>
      <c r="I2" s="2040"/>
      <c r="J2" s="2040"/>
      <c r="K2" s="2041"/>
      <c r="L2" s="2040"/>
      <c r="M2" s="2040"/>
    </row>
    <row r="3" spans="1:33" ht="18" customHeight="1" thickBot="1">
      <c r="A3" s="832" t="s">
        <v>1727</v>
      </c>
      <c r="B3" s="833">
        <f ca="1">IF(ISERROR(B2*10000/F43),0,ROUND(B2*10000/F43,0))</f>
        <v>1456</v>
      </c>
      <c r="C3" s="2040"/>
      <c r="D3" s="2038"/>
      <c r="E3" s="2039"/>
      <c r="F3" s="2039"/>
      <c r="G3" s="1575"/>
      <c r="H3" s="775" t="s">
        <v>695</v>
      </c>
      <c r="I3" s="1357"/>
      <c r="J3" s="1357"/>
      <c r="K3" s="1576"/>
      <c r="L3" s="1357"/>
      <c r="M3" s="1357"/>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272</v>
      </c>
      <c r="D5" s="2458" t="s">
        <v>2460</v>
      </c>
      <c r="E5" s="2452"/>
      <c r="F5" s="2453"/>
      <c r="G5" s="1577"/>
      <c r="H5" s="780">
        <v>1</v>
      </c>
      <c r="I5" s="781" t="s">
        <v>2457</v>
      </c>
      <c r="J5" s="55">
        <f ca="1">J6+J10+J12</f>
        <v>0</v>
      </c>
      <c r="K5" s="2458" t="s">
        <v>2460</v>
      </c>
      <c r="L5" s="2452"/>
      <c r="M5" s="2453"/>
    </row>
    <row r="6" spans="1:33" ht="18" customHeight="1">
      <c r="A6" s="1813" t="s">
        <v>1824</v>
      </c>
      <c r="B6" s="3465" t="s">
        <v>2462</v>
      </c>
      <c r="C6" s="782">
        <f ca="1">ROUND(F6*F8*F7*(1-F9)/10000,0)</f>
        <v>272</v>
      </c>
      <c r="D6" s="2459" t="s">
        <v>2461</v>
      </c>
      <c r="E6" s="783" t="s">
        <v>1738</v>
      </c>
      <c r="F6" s="784">
        <f ca="1">INDIRECT("'数据-取费表'!u"&amp;$G$1)</f>
        <v>0.5</v>
      </c>
      <c r="G6" s="1577"/>
      <c r="H6" s="2466" t="s">
        <v>2467</v>
      </c>
      <c r="I6" s="3465" t="s">
        <v>2462</v>
      </c>
      <c r="J6" s="782">
        <f ca="1">ROUND(M6*M8*M7*(1-M9)/10000,0)</f>
        <v>0</v>
      </c>
      <c r="K6" s="340" t="s">
        <v>1737</v>
      </c>
      <c r="L6" s="783" t="s">
        <v>1738</v>
      </c>
      <c r="M6" s="784">
        <f ca="1">INDIRECT("'数据-取费表'!z"&amp;$G$1)</f>
        <v>0</v>
      </c>
    </row>
    <row r="7" spans="1:33" ht="18" customHeight="1">
      <c r="A7" s="2462"/>
      <c r="B7" s="3466"/>
      <c r="C7" s="787"/>
      <c r="D7" s="788"/>
      <c r="E7" s="783" t="s">
        <v>1739</v>
      </c>
      <c r="F7" s="784">
        <f ca="1">IF(INDIRECT("'数据-取费表'!ah"&amp;$G$1)="",INDIRECT("'数据-取费表'!k"&amp;$G$1),INDIRECT("'数据-取费表'!ah"&amp;$G$1))</f>
        <v>16561.07</v>
      </c>
      <c r="G7" s="1577"/>
      <c r="H7" s="2451"/>
      <c r="I7" s="3466"/>
      <c r="J7" s="787"/>
      <c r="K7" s="788"/>
      <c r="L7" s="783" t="s">
        <v>1739</v>
      </c>
      <c r="M7" s="784">
        <f ca="1">F7</f>
        <v>16561.07</v>
      </c>
    </row>
    <row r="8" spans="1:33" ht="18" customHeight="1">
      <c r="A8" s="2455"/>
      <c r="B8" s="3467"/>
      <c r="C8" s="787"/>
      <c r="D8" s="788"/>
      <c r="E8" s="783" t="s">
        <v>1740</v>
      </c>
      <c r="F8" s="784">
        <f ca="1">INDIRECT("'数据-取费表'!ai"&amp;$G$1)</f>
        <v>365</v>
      </c>
      <c r="G8" s="1577"/>
      <c r="H8" s="2451"/>
      <c r="I8" s="3467"/>
      <c r="J8" s="787"/>
      <c r="K8" s="788"/>
      <c r="L8" s="783" t="s">
        <v>1740</v>
      </c>
      <c r="M8" s="784">
        <f ca="1">INDIRECT("'数据-取费表'!ai"&amp;$G$1)</f>
        <v>365</v>
      </c>
    </row>
    <row r="9" spans="1:33" ht="18" customHeight="1">
      <c r="A9" s="785"/>
      <c r="B9" s="3468"/>
      <c r="C9" s="787"/>
      <c r="D9" s="788"/>
      <c r="E9" s="783" t="s">
        <v>1741</v>
      </c>
      <c r="F9" s="793">
        <f ca="1">INDIRECT("'数据-取费表'!w"&amp;$G$1)</f>
        <v>0.1</v>
      </c>
      <c r="G9" s="1577"/>
      <c r="H9" s="2467"/>
      <c r="I9" s="3467"/>
      <c r="J9" s="787"/>
      <c r="K9" s="788"/>
      <c r="L9" s="794" t="s">
        <v>1741</v>
      </c>
      <c r="M9" s="795">
        <f ca="1">INDIRECT("'数据-取费表'!ab"&amp;$G$1)</f>
        <v>0</v>
      </c>
    </row>
    <row r="10" spans="1:33" ht="18" customHeight="1">
      <c r="A10" s="1813" t="s">
        <v>2465</v>
      </c>
      <c r="B10" s="2456" t="s">
        <v>2458</v>
      </c>
      <c r="C10" s="798">
        <f ca="1">ROUND(IF(F10="押一",C6/12*F11,IF(F10="押二",C6/12*2*F11,IF(F10="押三",C6/12*3*F11,C11*F11))),0)</f>
        <v>0</v>
      </c>
      <c r="D10" s="2463" t="s">
        <v>2968</v>
      </c>
      <c r="E10" s="2460" t="s">
        <v>2463</v>
      </c>
      <c r="F10" s="2583" t="s">
        <v>3357</v>
      </c>
      <c r="G10" s="1577"/>
      <c r="H10" s="2523" t="s">
        <v>2468</v>
      </c>
      <c r="I10" s="2528" t="s">
        <v>2458</v>
      </c>
      <c r="J10" s="782">
        <f ca="1">ROUND(IF(M10="押一",J6/12*M11,IF(M10="押二",J6/12*2*M11,IF(M10="押三",J6/12*3*M11,J11*M11))),0)</f>
        <v>0</v>
      </c>
      <c r="K10" s="2463" t="s">
        <v>2968</v>
      </c>
      <c r="L10" s="2460" t="s">
        <v>2463</v>
      </c>
      <c r="M10" s="2583"/>
    </row>
    <row r="11" spans="1:33" ht="18" customHeight="1">
      <c r="A11" s="789"/>
      <c r="B11" s="2457" t="s">
        <v>2572</v>
      </c>
      <c r="C11" s="2461"/>
      <c r="D11" s="788"/>
      <c r="E11" s="2460" t="s">
        <v>2464</v>
      </c>
      <c r="F11" s="795">
        <f ca="1">'数据-取费表'!B39</f>
        <v>1.4999999999999999E-2</v>
      </c>
      <c r="G11" s="1577"/>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7"/>
      <c r="H12" s="2513" t="s">
        <v>2469</v>
      </c>
      <c r="I12" s="2526" t="s">
        <v>2459</v>
      </c>
      <c r="J12" s="2527"/>
      <c r="K12" s="2502"/>
      <c r="L12" s="2503"/>
      <c r="M12" s="2516"/>
    </row>
    <row r="13" spans="1:33" ht="18" customHeight="1" thickTop="1">
      <c r="A13" s="1812">
        <v>2</v>
      </c>
      <c r="B13" s="1810" t="s">
        <v>1742</v>
      </c>
      <c r="C13" s="791">
        <f ca="1">ROUND(C29*F13,0)</f>
        <v>5847</v>
      </c>
      <c r="D13" s="1817" t="s">
        <v>2297</v>
      </c>
      <c r="E13" s="1817" t="s">
        <v>1744</v>
      </c>
      <c r="F13" s="2498">
        <f ca="1">INDIRECT("'数据-取费表'!y"&amp;$G$1)</f>
        <v>1</v>
      </c>
      <c r="G13" s="1577"/>
      <c r="H13" s="1812">
        <v>2</v>
      </c>
      <c r="I13" s="1810" t="s">
        <v>1742</v>
      </c>
      <c r="J13" s="1802">
        <f ca="1">ROUND(J14*J15,0)</f>
        <v>0</v>
      </c>
      <c r="K13" s="1804" t="s">
        <v>1743</v>
      </c>
      <c r="L13" s="2514"/>
      <c r="M13" s="2515"/>
    </row>
    <row r="14" spans="1:33" ht="18" customHeight="1">
      <c r="A14" s="1632" t="s">
        <v>1884</v>
      </c>
      <c r="B14" s="783" t="s">
        <v>645</v>
      </c>
      <c r="C14" s="803">
        <f ca="1">INDIRECT("'数据-取费表'!m"&amp;$G$1)+INDIRECT("'数据-取费表'!t"&amp;$G$1)</f>
        <v>4189</v>
      </c>
      <c r="D14" s="1962" t="s">
        <v>1745</v>
      </c>
      <c r="E14" s="1963"/>
      <c r="F14" s="804"/>
      <c r="G14" s="1577"/>
      <c r="H14" s="1633" t="s">
        <v>1830</v>
      </c>
      <c r="I14" s="2214" t="s">
        <v>2825</v>
      </c>
      <c r="J14" s="53">
        <f ca="1">C29</f>
        <v>5847</v>
      </c>
      <c r="K14" s="26"/>
      <c r="L14" s="800"/>
      <c r="M14" s="801"/>
    </row>
    <row r="15" spans="1:33" s="2047" customFormat="1" ht="18" customHeight="1" thickBot="1">
      <c r="A15" s="1632" t="s">
        <v>1885</v>
      </c>
      <c r="B15" s="783" t="s">
        <v>647</v>
      </c>
      <c r="C15" s="53">
        <f ca="1">ROUND(C14*F15,0)</f>
        <v>209</v>
      </c>
      <c r="D15" s="805" t="s">
        <v>1746</v>
      </c>
      <c r="E15" s="805" t="s">
        <v>1747</v>
      </c>
      <c r="F15" s="806">
        <f>'数据-取费表'!B33</f>
        <v>0.05</v>
      </c>
      <c r="G15" s="1578"/>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615</v>
      </c>
      <c r="K16" s="1804" t="s">
        <v>1750</v>
      </c>
      <c r="L16" s="2448"/>
      <c r="M16" s="2453"/>
    </row>
    <row r="17" spans="1:33" s="2047" customFormat="1" ht="18" customHeight="1">
      <c r="A17" s="1632" t="s">
        <v>1887</v>
      </c>
      <c r="B17" s="783" t="s">
        <v>653</v>
      </c>
      <c r="C17" s="53">
        <f ca="1">ROUND(F17*(F43+INDIRECT("'数据-取费表'!S"&amp;$G$1))/10000,0)</f>
        <v>369</v>
      </c>
      <c r="D17" s="783" t="s">
        <v>1751</v>
      </c>
      <c r="E17" s="783" t="s">
        <v>1752</v>
      </c>
      <c r="F17" s="56">
        <f>'数据-取费表'!B35</f>
        <v>220</v>
      </c>
      <c r="G17" s="1578"/>
      <c r="H17" s="1633" t="s">
        <v>1830</v>
      </c>
      <c r="I17" s="783" t="s">
        <v>656</v>
      </c>
      <c r="J17" s="53">
        <f ca="1">ROUND(IF(项目基本情况!B11="自然人",J5*M17,J18+J19+J20),0)</f>
        <v>498</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63</v>
      </c>
      <c r="D18" s="783" t="s">
        <v>1746</v>
      </c>
      <c r="E18" s="783" t="s">
        <v>1747</v>
      </c>
      <c r="F18" s="808">
        <f>'数据-取费表'!B36</f>
        <v>1.4999999999999999E-2</v>
      </c>
      <c r="G18" s="1578"/>
      <c r="H18" s="1632" t="s">
        <v>1884</v>
      </c>
      <c r="I18" s="783" t="s">
        <v>1755</v>
      </c>
      <c r="J18" s="53">
        <f ca="1">ROUND(J5*M18/1.05,1)</f>
        <v>0</v>
      </c>
      <c r="K18" s="2446" t="s">
        <v>1756</v>
      </c>
      <c r="L18" s="783" t="s">
        <v>1747</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1830</v>
      </c>
      <c r="B19" s="783" t="s">
        <v>662</v>
      </c>
      <c r="C19" s="53">
        <f ca="1">SUM(C14:C18)</f>
        <v>4830</v>
      </c>
      <c r="D19" s="260" t="s">
        <v>1757</v>
      </c>
      <c r="E19" s="1965"/>
      <c r="F19" s="56"/>
      <c r="G19" s="1577"/>
      <c r="H19" s="1632" t="s">
        <v>1885</v>
      </c>
      <c r="I19" s="783" t="s">
        <v>1758</v>
      </c>
      <c r="J19" s="53">
        <f ca="1">IF(K19="按租金收入计税",ROUND(J5*M19,1),ROUND(C29*F33*0.7,1))</f>
        <v>491.1</v>
      </c>
      <c r="K19" s="810" t="s">
        <v>665</v>
      </c>
      <c r="L19" s="783" t="s">
        <v>1747</v>
      </c>
      <c r="M19" s="808">
        <f>IF(K19="按租金收入计税",'数据-取费表'!B51,'数据-取费表'!B50)</f>
        <v>1.2E-2</v>
      </c>
    </row>
    <row r="20" spans="1:33" s="2047" customFormat="1" ht="18" customHeight="1">
      <c r="A20" s="1633" t="s">
        <v>1889</v>
      </c>
      <c r="B20" s="783" t="s">
        <v>666</v>
      </c>
      <c r="C20" s="53">
        <f ca="1">ROUND(C19*F20,0)</f>
        <v>97</v>
      </c>
      <c r="D20" s="811" t="s">
        <v>1759</v>
      </c>
      <c r="E20" s="783" t="s">
        <v>1747</v>
      </c>
      <c r="F20" s="808">
        <f>'数据-取费表'!B37</f>
        <v>0.02</v>
      </c>
      <c r="G20" s="1578"/>
      <c r="H20" s="1635" t="s">
        <v>1880</v>
      </c>
      <c r="I20" s="340" t="s">
        <v>1760</v>
      </c>
      <c r="J20" s="54">
        <f ca="1">ROUND(M20*M21/10000,0)</f>
        <v>7</v>
      </c>
      <c r="K20" s="813" t="s">
        <v>1761</v>
      </c>
      <c r="L20" s="783" t="s">
        <v>1762</v>
      </c>
      <c r="M20" s="639">
        <f>'数据-取费表'!B52</f>
        <v>18</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1763</v>
      </c>
      <c r="C21" s="53" t="s">
        <v>1764</v>
      </c>
      <c r="D21" s="811" t="s">
        <v>2298</v>
      </c>
      <c r="E21" s="783" t="s">
        <v>1765</v>
      </c>
      <c r="F21" s="808">
        <f>'数据-取费表'!B38</f>
        <v>0.02</v>
      </c>
      <c r="G21" s="1578"/>
      <c r="H21" s="2468"/>
      <c r="I21" s="792"/>
      <c r="J21" s="69"/>
      <c r="K21" s="815"/>
      <c r="L21" s="783" t="s">
        <v>1766</v>
      </c>
      <c r="M21" s="784">
        <f ca="1">INDIRECT("'数据-取费表'!r"&amp;$G$1)</f>
        <v>3649.14</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1767</v>
      </c>
      <c r="C22" s="53"/>
      <c r="D22" s="2534" t="str">
        <f>IF(F23&lt;=1,"单利计息。","复利计息。")&amp;"建造成本、管理费用、销售费用产生的利息。"</f>
        <v>复利计息。建造成本、管理费用、销售费用产生的利息。</v>
      </c>
      <c r="E22" s="1965"/>
      <c r="F22" s="56"/>
      <c r="G22" s="1577"/>
      <c r="H22" s="1633" t="s">
        <v>1889</v>
      </c>
      <c r="I22" s="783" t="s">
        <v>1768</v>
      </c>
      <c r="J22" s="53">
        <f ca="1">ROUND(J14*M22,0)</f>
        <v>117</v>
      </c>
      <c r="K22" s="2446" t="s">
        <v>1769</v>
      </c>
      <c r="L22" s="783" t="s">
        <v>1747</v>
      </c>
      <c r="M22" s="816">
        <f ca="1">INDIRECT("'数据-取费表'!Ak"&amp;$G$1)</f>
        <v>0.02</v>
      </c>
    </row>
    <row r="23" spans="1:33" s="2047" customFormat="1" ht="18" customHeight="1">
      <c r="A23" s="1632" t="s">
        <v>1831</v>
      </c>
      <c r="B23" s="783" t="s">
        <v>2534</v>
      </c>
      <c r="C23" s="53">
        <f ca="1">ROUND(IF('数据-取费表'!B22&lt;=1,(C19+C20)*F24*F23/2,(C19+C20)*(POWER((1+F24),F23/2)-1)),0)</f>
        <v>234</v>
      </c>
      <c r="D23" s="2533"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6" t="s">
        <v>1771</v>
      </c>
      <c r="L23" s="783" t="s">
        <v>1747</v>
      </c>
      <c r="M23" s="817">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1772</v>
      </c>
      <c r="C24" s="53">
        <f ca="1">ROUND(IF('数据-取费表'!B22&lt;=1,F21*F24*F23/2,F21*(POWER((1+F24),F23/2)-1)),4)</f>
        <v>1E-3</v>
      </c>
      <c r="D24" s="2533" t="str">
        <f>IF(F23&lt;=1,"销售费用×利率×(建设周期÷2)","销售费用×((1+利率)^(建设周期÷2)-1)")</f>
        <v>销售费用×((1+利率)^(建设周期÷2)-1)</v>
      </c>
      <c r="E24" s="783" t="s">
        <v>1773</v>
      </c>
      <c r="F24" s="818">
        <f ca="1">'数据-取费表'!B40</f>
        <v>4.7500000000000001E-2</v>
      </c>
      <c r="G24" s="1578"/>
      <c r="H24" s="2513" t="s">
        <v>1891</v>
      </c>
      <c r="I24" s="2508" t="s">
        <v>666</v>
      </c>
      <c r="J24" s="2506">
        <f ca="1">ROUND(J5*M24,0)</f>
        <v>0</v>
      </c>
      <c r="K24" s="2507" t="s">
        <v>1774</v>
      </c>
      <c r="L24" s="2508" t="s">
        <v>1747</v>
      </c>
      <c r="M24" s="2504">
        <f ca="1">INDIRECT("'数据-取费表'!Am"&amp;$G$1)</f>
        <v>1.4999999999999999E-2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1775</v>
      </c>
      <c r="E25" s="1965"/>
      <c r="F25" s="56"/>
      <c r="G25" s="1577"/>
      <c r="H25" s="1812" t="s">
        <v>1776</v>
      </c>
      <c r="I25" s="2960" t="s">
        <v>2821</v>
      </c>
      <c r="J25" s="791">
        <f ca="1">J5-J16</f>
        <v>-615</v>
      </c>
      <c r="K25" s="2510" t="s">
        <v>1777</v>
      </c>
      <c r="L25" s="2511"/>
      <c r="M25" s="2512"/>
    </row>
    <row r="26" spans="1:33" ht="18" customHeight="1">
      <c r="A26" s="1632" t="s">
        <v>1831</v>
      </c>
      <c r="B26" s="783" t="s">
        <v>2437</v>
      </c>
      <c r="C26" s="53">
        <f ca="1">ROUND((C19+C20)*F26,0)</f>
        <v>246</v>
      </c>
      <c r="D26" s="811" t="s">
        <v>1778</v>
      </c>
      <c r="E26" s="794" t="s">
        <v>1779</v>
      </c>
      <c r="F26" s="793">
        <f ca="1">INDIRECT("'数据-取费表'!q"&amp;$G$1)</f>
        <v>0.05</v>
      </c>
      <c r="G26" s="1577"/>
      <c r="H26" s="2464" t="s">
        <v>1780</v>
      </c>
      <c r="I26" s="2215" t="s">
        <v>2826</v>
      </c>
      <c r="J26" s="782">
        <f ca="1">IF(J5&lt;&gt;0,ROUND(J25*(1-((1+M28)/(1+M26))^M27)/(M26-M28),0),0)</f>
        <v>0</v>
      </c>
      <c r="K26" s="813" t="s">
        <v>1781</v>
      </c>
      <c r="L26" s="783" t="s">
        <v>2418</v>
      </c>
      <c r="M26" s="793">
        <f ca="1">INDIRECT("'数据-取费表'!I"&amp;$G$1)</f>
        <v>0.05</v>
      </c>
    </row>
    <row r="27" spans="1:33" ht="18" customHeight="1">
      <c r="A27" s="1632" t="s">
        <v>1832</v>
      </c>
      <c r="B27" s="783" t="s">
        <v>686</v>
      </c>
      <c r="C27" s="53">
        <f ca="1">ROUND(F21*F26,4)</f>
        <v>1E-3</v>
      </c>
      <c r="D27" s="811" t="s">
        <v>1782</v>
      </c>
      <c r="E27" s="805"/>
      <c r="F27" s="806"/>
      <c r="G27" s="1577"/>
      <c r="H27" s="2465"/>
      <c r="I27" s="786"/>
      <c r="J27" s="787"/>
      <c r="K27" s="820" t="s">
        <v>1783</v>
      </c>
      <c r="L27" s="783" t="s">
        <v>1784</v>
      </c>
      <c r="M27" s="821">
        <f ca="1">INDIRECT("'数据-取费表'!ag"&amp;$G$1)</f>
        <v>0</v>
      </c>
    </row>
    <row r="28" spans="1:33" s="2047" customFormat="1" ht="18" customHeight="1">
      <c r="A28" s="1634" t="s">
        <v>1841</v>
      </c>
      <c r="B28" s="783" t="s">
        <v>687</v>
      </c>
      <c r="C28" s="53">
        <f>ROUND(F28/(1+'数据-取费表'!C42),4)</f>
        <v>5.33E-2</v>
      </c>
      <c r="D28" s="811" t="s">
        <v>2299</v>
      </c>
      <c r="E28" s="783" t="s">
        <v>1785</v>
      </c>
      <c r="F28" s="808">
        <f>'数据-取费表'!B41</f>
        <v>5.6000000000000001E-2</v>
      </c>
      <c r="G28" s="1578"/>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5847</v>
      </c>
      <c r="D29" s="2507"/>
      <c r="E29" s="2508"/>
      <c r="F29" s="2509"/>
      <c r="G29" s="1578"/>
      <c r="H29" s="822" t="s">
        <v>1787</v>
      </c>
      <c r="I29" s="823" t="s">
        <v>1788</v>
      </c>
      <c r="J29" s="824">
        <f ca="1">ROUND(J26/(1+F40)^F41,0)</f>
        <v>0</v>
      </c>
      <c r="K29" s="825" t="s">
        <v>1789</v>
      </c>
      <c r="L29" s="826"/>
      <c r="M29" s="827">
        <f ca="1">INDIRECT("'数据-取费表'!k"&amp;$G$1)</f>
        <v>16561.07</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184</v>
      </c>
      <c r="D30" s="1804" t="s">
        <v>1791</v>
      </c>
      <c r="E30" s="2448"/>
      <c r="F30" s="2453"/>
      <c r="G30" s="2045"/>
      <c r="H30" s="2048"/>
      <c r="I30" s="2049"/>
      <c r="J30" s="2050"/>
      <c r="K30" s="2051"/>
      <c r="L30" s="2052"/>
      <c r="M30" s="2053"/>
    </row>
    <row r="31" spans="1:33" ht="18" customHeight="1">
      <c r="A31" s="1633" t="s">
        <v>1830</v>
      </c>
      <c r="B31" s="783" t="s">
        <v>656</v>
      </c>
      <c r="C31" s="53">
        <f ca="1">ROUND(IF(项目基本情况!B11="自然人",C5*F31,C32+C33+C34),1)</f>
        <v>53.7</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1794</v>
      </c>
      <c r="C32" s="53">
        <f ca="1">ROUND(C5*F32/1.05,1)</f>
        <v>14.5</v>
      </c>
      <c r="D32" s="1960" t="s">
        <v>1795</v>
      </c>
      <c r="E32" s="783" t="s">
        <v>1796</v>
      </c>
      <c r="F32" s="808">
        <f>'数据-取费表'!B41</f>
        <v>5.6000000000000001E-2</v>
      </c>
      <c r="G32" s="2045"/>
      <c r="H32" s="2054"/>
      <c r="I32" s="2055"/>
      <c r="J32" s="2056"/>
      <c r="K32" s="2057"/>
      <c r="L32" s="2058"/>
      <c r="M32" s="2059"/>
    </row>
    <row r="33" spans="1:18" ht="18" customHeight="1">
      <c r="A33" s="1632" t="s">
        <v>1832</v>
      </c>
      <c r="B33" s="783" t="s">
        <v>1797</v>
      </c>
      <c r="C33" s="53">
        <f ca="1">IF(D33="按租金收入计税",ROUND(C5*F33,1),IF(D33="按房产原值计税",ROUND(C29*F33*0.7,1),INDIRECT("'数据-取费表'!Aj"&amp;$G$1)))</f>
        <v>32.6</v>
      </c>
      <c r="D33" s="810" t="s">
        <v>3358</v>
      </c>
      <c r="E33" s="783" t="s">
        <v>1796</v>
      </c>
      <c r="F33" s="808">
        <f>IF(D33="按租金收入计税",'数据-取费表'!B51,'数据-取费表'!B50)</f>
        <v>0.12</v>
      </c>
      <c r="G33" s="2045"/>
      <c r="H33" s="2060"/>
      <c r="I33" s="2060"/>
      <c r="J33" s="2060"/>
      <c r="K33" s="2061"/>
      <c r="L33" s="2060"/>
      <c r="M33" s="2060"/>
    </row>
    <row r="34" spans="1:18" ht="18" customHeight="1">
      <c r="A34" s="1635" t="s">
        <v>1833</v>
      </c>
      <c r="B34" s="340" t="s">
        <v>1798</v>
      </c>
      <c r="C34" s="54">
        <f ca="1">ROUND(F34*F35/10000,1)</f>
        <v>6.6</v>
      </c>
      <c r="D34" s="813" t="s">
        <v>1799</v>
      </c>
      <c r="E34" s="783" t="s">
        <v>1800</v>
      </c>
      <c r="F34" s="639">
        <f>'数据-取费表'!B52</f>
        <v>18</v>
      </c>
      <c r="G34" s="2045"/>
      <c r="H34" s="2048"/>
      <c r="I34" s="834" t="s">
        <v>1813</v>
      </c>
      <c r="J34" s="835"/>
      <c r="K34" s="2063"/>
      <c r="L34" s="2062"/>
      <c r="M34" s="2062"/>
    </row>
    <row r="35" spans="1:18" ht="18" customHeight="1">
      <c r="A35" s="814"/>
      <c r="B35" s="792"/>
      <c r="C35" s="69"/>
      <c r="D35" s="815"/>
      <c r="E35" s="783" t="s">
        <v>1801</v>
      </c>
      <c r="F35" s="784">
        <f ca="1">INDIRECT("'数据-取费表'!r"&amp;$G$1)</f>
        <v>3649.14</v>
      </c>
      <c r="G35" s="2045"/>
      <c r="H35" s="2048"/>
      <c r="I35" s="836" t="s">
        <v>1814</v>
      </c>
      <c r="J35" s="837">
        <f ca="1">ROUND(C13*J36,0)</f>
        <v>497</v>
      </c>
      <c r="K35" s="2061"/>
      <c r="L35" s="2060"/>
      <c r="M35" s="2060"/>
    </row>
    <row r="36" spans="1:18" ht="18" customHeight="1">
      <c r="A36" s="1633" t="s">
        <v>1889</v>
      </c>
      <c r="B36" s="783" t="s">
        <v>1802</v>
      </c>
      <c r="C36" s="53">
        <f ca="1">ROUND(C29*F36,1)</f>
        <v>116.9</v>
      </c>
      <c r="D36" s="1960" t="s">
        <v>1803</v>
      </c>
      <c r="E36" s="783" t="s">
        <v>1796</v>
      </c>
      <c r="F36" s="816">
        <f ca="1">INDIRECT("'数据-取费表'!Ak"&amp;$G$1)</f>
        <v>0.02</v>
      </c>
      <c r="G36" s="2045"/>
      <c r="H36" s="2060"/>
      <c r="I36" s="838" t="s">
        <v>1815</v>
      </c>
      <c r="J36" s="839">
        <f ca="1">INDIRECT("'数据-取费表'!j"&amp;$G$1)</f>
        <v>8.5000000000000006E-2</v>
      </c>
      <c r="K36" s="2065"/>
      <c r="L36" s="2060"/>
      <c r="M36" s="2060"/>
    </row>
    <row r="37" spans="1:18" ht="18" customHeight="1">
      <c r="A37" s="1633" t="s">
        <v>1890</v>
      </c>
      <c r="B37" s="783" t="s">
        <v>679</v>
      </c>
      <c r="C37" s="53">
        <f ca="1">ROUND(C13*F37,1)</f>
        <v>8.8000000000000007</v>
      </c>
      <c r="D37" s="1960" t="s">
        <v>1804</v>
      </c>
      <c r="E37" s="783" t="s">
        <v>1796</v>
      </c>
      <c r="F37" s="817">
        <f ca="1">INDIRECT("'数据-取费表'!Al"&amp;$G$1)</f>
        <v>1.5E-3</v>
      </c>
      <c r="G37" s="2045"/>
      <c r="H37" s="2060"/>
      <c r="I37" s="840" t="s">
        <v>1816</v>
      </c>
      <c r="J37" s="841"/>
      <c r="K37" s="2065"/>
      <c r="L37" s="2060"/>
      <c r="M37" s="2060"/>
    </row>
    <row r="38" spans="1:18" ht="18" customHeight="1" thickBot="1">
      <c r="A38" s="2513" t="s">
        <v>1891</v>
      </c>
      <c r="B38" s="2508" t="s">
        <v>666</v>
      </c>
      <c r="C38" s="2506">
        <f ca="1">ROUND(C5*F38,1)</f>
        <v>4.0999999999999996</v>
      </c>
      <c r="D38" s="2507" t="s">
        <v>1805</v>
      </c>
      <c r="E38" s="2508" t="s">
        <v>1796</v>
      </c>
      <c r="F38" s="2504">
        <f ca="1">INDIRECT("'数据-取费表'!Am"&amp;$G$1)</f>
        <v>1.4999999999999999E-2</v>
      </c>
      <c r="G38" s="2045"/>
      <c r="H38" s="2060"/>
      <c r="I38" s="842" t="s">
        <v>1817</v>
      </c>
      <c r="J38" s="843"/>
      <c r="K38" s="2066"/>
      <c r="L38" s="2060"/>
      <c r="M38" s="2060"/>
    </row>
    <row r="39" spans="1:18" ht="24.6" customHeight="1" thickTop="1">
      <c r="A39" s="1812" t="s">
        <v>1894</v>
      </c>
      <c r="B39" s="2960" t="s">
        <v>2821</v>
      </c>
      <c r="C39" s="791">
        <f ca="1">C5-C30</f>
        <v>88</v>
      </c>
      <c r="D39" s="2510" t="s">
        <v>1806</v>
      </c>
      <c r="E39" s="2511"/>
      <c r="F39" s="2512"/>
      <c r="G39" s="2045"/>
      <c r="H39" s="2060"/>
      <c r="I39" s="836" t="s">
        <v>1818</v>
      </c>
      <c r="J39" s="844">
        <f ca="1">ROUND(J35/C39,3)</f>
        <v>5.6479999999999997</v>
      </c>
      <c r="K39" s="2066"/>
      <c r="L39" s="2060"/>
      <c r="M39" s="2060"/>
    </row>
    <row r="40" spans="1:18" ht="18" customHeight="1">
      <c r="A40" s="780" t="s">
        <v>1895</v>
      </c>
      <c r="B40" s="2215" t="s">
        <v>2301</v>
      </c>
      <c r="C40" s="782">
        <f ca="1">ROUND(C39*(1-((1+F42)/(1+F40))^F41)/(F40-F42),0)</f>
        <v>2412</v>
      </c>
      <c r="D40" s="813" t="s">
        <v>1807</v>
      </c>
      <c r="E40" s="783" t="s">
        <v>2418</v>
      </c>
      <c r="F40" s="793">
        <f ca="1">INDIRECT("'数据-取费表'!I"&amp;$G$1)</f>
        <v>0.05</v>
      </c>
      <c r="G40" s="2045"/>
      <c r="H40" s="2045"/>
      <c r="I40" s="836" t="s">
        <v>1819</v>
      </c>
      <c r="J40" s="844">
        <f ca="1">1-J39</f>
        <v>-4.6479999999999997</v>
      </c>
      <c r="K40" s="2066"/>
      <c r="L40" s="2045"/>
      <c r="M40" s="2045"/>
    </row>
    <row r="41" spans="1:18" ht="18" customHeight="1">
      <c r="A41" s="785"/>
      <c r="B41" s="786"/>
      <c r="C41" s="787"/>
      <c r="D41" s="820" t="s">
        <v>1808</v>
      </c>
      <c r="E41" s="783" t="s">
        <v>2958</v>
      </c>
      <c r="F41" s="821">
        <f ca="1">IF(INDIRECT("'数据-取费表'!af"&amp;$G$1)=0,INDIRECT("'数据-取费表'!ae"&amp;$G$1),INDIRECT("'数据-取费表'!af"&amp;$G$1))</f>
        <v>47.98</v>
      </c>
      <c r="G41" s="2045"/>
      <c r="H41" s="1971"/>
      <c r="I41" s="842" t="s">
        <v>1820</v>
      </c>
      <c r="J41" s="845"/>
      <c r="K41" s="2065"/>
      <c r="L41" s="1971"/>
      <c r="M41" s="1971"/>
    </row>
    <row r="42" spans="1:18" ht="18" customHeight="1">
      <c r="A42" s="789"/>
      <c r="B42" s="790"/>
      <c r="C42" s="791"/>
      <c r="D42" s="815"/>
      <c r="E42" s="783" t="s">
        <v>1809</v>
      </c>
      <c r="F42" s="793">
        <f ca="1">INDIRECT("'数据-取费表'!v"&amp;$G$1)</f>
        <v>2.5000000000000001E-2</v>
      </c>
      <c r="G42" s="2045"/>
      <c r="H42" s="1971"/>
      <c r="I42" s="846" t="s">
        <v>1821</v>
      </c>
      <c r="J42" s="844">
        <f ca="1">ROUND(C13/C40,3)</f>
        <v>2.4239999999999999</v>
      </c>
      <c r="K42" s="2065"/>
      <c r="L42" s="1971"/>
      <c r="M42" s="1971"/>
    </row>
    <row r="43" spans="1:18" ht="18" customHeight="1" thickBot="1">
      <c r="A43" s="822" t="s">
        <v>1787</v>
      </c>
      <c r="B43" s="823" t="s">
        <v>1810</v>
      </c>
      <c r="C43" s="824">
        <f ca="1">ROUND(C40*10000/F43,0)</f>
        <v>1456</v>
      </c>
      <c r="D43" s="825" t="s">
        <v>1811</v>
      </c>
      <c r="E43" s="826" t="s">
        <v>1812</v>
      </c>
      <c r="F43" s="827">
        <f ca="1">INDIRECT("'数据-取费表'!k"&amp;$G$1)</f>
        <v>16561.07</v>
      </c>
      <c r="G43" s="2045"/>
      <c r="H43" s="1971"/>
      <c r="I43" s="846" t="s">
        <v>1822</v>
      </c>
      <c r="J43" s="847">
        <f ca="1">1-J42</f>
        <v>-1.4239999999999999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-4798</v>
      </c>
      <c r="D46" s="2068"/>
      <c r="E46" s="2068"/>
      <c r="F46" s="2068"/>
      <c r="I46" s="2340" t="s">
        <v>2342</v>
      </c>
      <c r="J46" s="2341"/>
      <c r="K46" s="2342"/>
      <c r="L46" s="3105">
        <f>IF(OR(M47="住宅",D1="土地（套用方法）"),0,IF(L48&gt;J51,L60,J60))</f>
        <v>0</v>
      </c>
      <c r="O46" s="2356" t="s">
        <v>2409</v>
      </c>
      <c r="P46" s="1577"/>
      <c r="Q46" s="1588"/>
      <c r="R46" s="1577"/>
    </row>
    <row r="47" spans="1:18" s="2042" customFormat="1" ht="18" customHeight="1" thickBot="1">
      <c r="A47" s="2334">
        <v>1</v>
      </c>
      <c r="B47" s="2335" t="s">
        <v>635</v>
      </c>
      <c r="C47" s="2536">
        <f ca="1">C48+C52+C54</f>
        <v>0</v>
      </c>
      <c r="D47" s="2068"/>
      <c r="E47" s="2068"/>
      <c r="F47" s="2068"/>
      <c r="I47" s="3095" t="s">
        <v>2343</v>
      </c>
      <c r="J47" s="2343" t="s">
        <v>3344</v>
      </c>
      <c r="K47" s="3102" t="s">
        <v>2348</v>
      </c>
      <c r="L47" s="3106">
        <f ca="1">INDIRECT("'数据-取费表'!d"&amp;$G$1)</f>
        <v>50</v>
      </c>
      <c r="M47" s="1588" t="str">
        <f>IF(ISNUMBER(FIND("住宅",C1)),"住宅","非住宅")</f>
        <v>非住宅</v>
      </c>
      <c r="O47" s="2357" t="s">
        <v>2374</v>
      </c>
      <c r="P47" s="2358" t="s">
        <v>2375</v>
      </c>
      <c r="Q47" s="2359" t="s">
        <v>2376</v>
      </c>
      <c r="R47" s="2358" t="s">
        <v>2377</v>
      </c>
    </row>
    <row r="48" spans="1:18" s="2042" customFormat="1" ht="18" customHeight="1" thickBot="1">
      <c r="A48" s="2604" t="s">
        <v>2536</v>
      </c>
      <c r="B48" s="2605" t="s">
        <v>2537</v>
      </c>
      <c r="C48" s="2336">
        <f ca="1">ROUND(F48*F50*F49*(1-F51)/10000,0)</f>
        <v>0</v>
      </c>
      <c r="D48" s="2337" t="s">
        <v>636</v>
      </c>
      <c r="E48" s="2338" t="s">
        <v>2296</v>
      </c>
      <c r="F48" s="2339"/>
      <c r="G48" s="2073"/>
      <c r="I48" s="3074" t="s">
        <v>2344</v>
      </c>
      <c r="J48" s="2344" t="s">
        <v>2349</v>
      </c>
      <c r="K48" s="3103" t="s">
        <v>2350</v>
      </c>
      <c r="L48" s="1891">
        <f ca="1">INDIRECT("'数据-取费表'!f"&amp;$G$1)</f>
        <v>49.98</v>
      </c>
      <c r="O48" s="2360" t="s">
        <v>2378</v>
      </c>
      <c r="P48" s="2361" t="s">
        <v>2404</v>
      </c>
      <c r="Q48" s="2362">
        <f ca="1">C40+J29</f>
        <v>2412</v>
      </c>
      <c r="R48" s="2361" t="s">
        <v>2379</v>
      </c>
    </row>
    <row r="49" spans="1:18" s="2042" customFormat="1" ht="18" customHeight="1" thickBot="1">
      <c r="A49" s="785"/>
      <c r="B49" s="786"/>
      <c r="C49" s="787"/>
      <c r="D49" s="788"/>
      <c r="E49" s="783" t="s">
        <v>1739</v>
      </c>
      <c r="F49" s="784">
        <f ca="1">F7</f>
        <v>16561.07</v>
      </c>
      <c r="G49" s="2073"/>
      <c r="H49" s="2076"/>
      <c r="I49" s="3074" t="s">
        <v>2345</v>
      </c>
      <c r="J49" s="2345">
        <v>2022</v>
      </c>
      <c r="K49" s="3104" t="s">
        <v>2351</v>
      </c>
      <c r="L49" s="2346"/>
      <c r="O49" s="2360" t="s">
        <v>2380</v>
      </c>
      <c r="P49" s="2361" t="s">
        <v>2405</v>
      </c>
      <c r="Q49" s="2362">
        <f ca="1">J60</f>
        <v>37</v>
      </c>
      <c r="R49" s="2361" t="s">
        <v>2381</v>
      </c>
    </row>
    <row r="50" spans="1:18" s="2042" customFormat="1" ht="18" customHeight="1" thickBot="1">
      <c r="A50" s="785"/>
      <c r="B50" s="786"/>
      <c r="C50" s="787"/>
      <c r="D50" s="788"/>
      <c r="E50" s="783" t="s">
        <v>1740</v>
      </c>
      <c r="F50" s="784">
        <f ca="1">F8</f>
        <v>365</v>
      </c>
      <c r="G50" s="2078"/>
      <c r="H50" s="2076"/>
      <c r="I50" s="3074" t="s">
        <v>2346</v>
      </c>
      <c r="J50" s="3099">
        <f>SUMPRODUCT((I63:I65=J47)*(J62:L62=J48)*(J63:L65))</f>
        <v>60</v>
      </c>
      <c r="K50" s="3104" t="s">
        <v>2352</v>
      </c>
      <c r="L50" s="2346"/>
      <c r="O50" s="2363" t="s">
        <v>2382</v>
      </c>
      <c r="P50" s="2361" t="s">
        <v>2406</v>
      </c>
      <c r="Q50" s="2362">
        <f ca="1">C29</f>
        <v>5847</v>
      </c>
      <c r="R50" s="2361" t="s">
        <v>2379</v>
      </c>
    </row>
    <row r="51" spans="1:18" s="2042" customFormat="1" ht="18" customHeight="1" thickBot="1">
      <c r="A51" s="785"/>
      <c r="B51" s="786"/>
      <c r="C51" s="787"/>
      <c r="D51" s="788"/>
      <c r="E51" s="783" t="s">
        <v>640</v>
      </c>
      <c r="F51" s="2333"/>
      <c r="H51" s="2076"/>
      <c r="I51" s="3096" t="s">
        <v>2347</v>
      </c>
      <c r="J51" s="3100">
        <f>IF(J49="",J50,J49+J50-YEAR('数据-取费表'!B2))</f>
        <v>62</v>
      </c>
      <c r="K51" s="3074" t="s">
        <v>2353</v>
      </c>
      <c r="L51" s="3107">
        <f ca="1">ROUND(-PV(INDIRECT("'数据-取费表'!h"&amp;$G$1),L48,(C39-C13*J36),0),0)</f>
        <v>-20442</v>
      </c>
      <c r="O51" s="2363" t="s">
        <v>2383</v>
      </c>
      <c r="P51" s="2361" t="s">
        <v>2384</v>
      </c>
      <c r="Q51" s="2364">
        <f ca="1">J58</f>
        <v>0.4</v>
      </c>
      <c r="R51" s="2365"/>
    </row>
    <row r="52" spans="1:18" s="2042" customFormat="1" ht="18" customHeight="1" thickBot="1">
      <c r="A52" s="780" t="s">
        <v>2535</v>
      </c>
      <c r="B52" s="2456" t="s">
        <v>2458</v>
      </c>
      <c r="C52" s="798">
        <f ca="1">ROUND(IF(F52="押一",C48/12*F11,IF(F52="押二",C48/12*2*F11,IF(F52="押三",C48/12*3*F11,C53*F11))),0)</f>
        <v>0</v>
      </c>
      <c r="D52" s="2463" t="s">
        <v>2969</v>
      </c>
      <c r="E52" s="2460" t="s">
        <v>2463</v>
      </c>
      <c r="F52" s="2583"/>
      <c r="I52" s="3097" t="s">
        <v>2420</v>
      </c>
      <c r="J52" s="2347">
        <v>0.09</v>
      </c>
      <c r="K52" s="3097" t="s">
        <v>2419</v>
      </c>
      <c r="L52" s="2347"/>
      <c r="O52" s="2363" t="s">
        <v>2385</v>
      </c>
      <c r="P52" s="2361" t="s">
        <v>2386</v>
      </c>
      <c r="Q52" s="2364">
        <f>J52</f>
        <v>0.09</v>
      </c>
      <c r="R52" s="2365"/>
    </row>
    <row r="53" spans="1:18" s="2042" customFormat="1" ht="39.75" customHeight="1" thickBot="1">
      <c r="A53" s="785"/>
      <c r="B53" s="2457" t="s">
        <v>2572</v>
      </c>
      <c r="C53" s="2461"/>
      <c r="D53" s="2463"/>
      <c r="E53" s="2460"/>
      <c r="F53" s="799"/>
      <c r="I53" s="3098" t="s">
        <v>2972</v>
      </c>
      <c r="J53" s="3101">
        <f ca="1">IF(M47="住宅",IF(D1="——",MAX(J51,L48),MAX(J51,L48-'数据-取费表'!B20)),IF(D1="——",MIN(J51,L48),MIN(J51,L48-'数据-取费表'!B20)))</f>
        <v>47.98</v>
      </c>
      <c r="K53" s="3471" t="s">
        <v>2960</v>
      </c>
      <c r="L53" s="3472"/>
      <c r="O53" s="2363" t="s">
        <v>2387</v>
      </c>
      <c r="P53" s="2361" t="s">
        <v>2388</v>
      </c>
      <c r="Q53" s="2362">
        <f ca="1">J53</f>
        <v>47.98</v>
      </c>
      <c r="R53" s="2361" t="s">
        <v>2389</v>
      </c>
    </row>
    <row r="54" spans="1:18" s="2042" customFormat="1" ht="18" customHeight="1" thickBot="1">
      <c r="A54" s="2499" t="s">
        <v>2466</v>
      </c>
      <c r="B54" s="2500" t="s">
        <v>2459</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2449</v>
      </c>
      <c r="R54" s="2365" t="s">
        <v>2391</v>
      </c>
    </row>
    <row r="55" spans="1:18" s="2042" customFormat="1" ht="18" customHeight="1" thickTop="1" thickBot="1">
      <c r="A55" s="796">
        <v>2</v>
      </c>
      <c r="B55" s="797" t="s">
        <v>644</v>
      </c>
      <c r="C55" s="798">
        <f ca="1">C13</f>
        <v>5847</v>
      </c>
      <c r="D55" s="794"/>
      <c r="E55" s="794"/>
      <c r="F55" s="799"/>
      <c r="I55" s="3110" t="s">
        <v>2354</v>
      </c>
      <c r="J55" s="3049">
        <f ca="1">ROUND(IF(J47="钢混",J57/J50,1-(1-2%)*(J50-J57)/J50),3)</f>
        <v>0.2</v>
      </c>
      <c r="K55" s="3111" t="s">
        <v>2355</v>
      </c>
      <c r="L55" s="2348"/>
      <c r="O55" s="2366" t="s">
        <v>2410</v>
      </c>
      <c r="P55" s="1577"/>
      <c r="Q55" s="1588"/>
      <c r="R55" s="1577"/>
    </row>
    <row r="56" spans="1:18" s="2042" customFormat="1" ht="42.75" customHeight="1" thickBot="1">
      <c r="A56" s="1634"/>
      <c r="B56" s="2214" t="s">
        <v>2302</v>
      </c>
      <c r="C56" s="53">
        <f ca="1">C29</f>
        <v>5847</v>
      </c>
      <c r="D56" s="2601"/>
      <c r="E56" s="783"/>
      <c r="F56" s="808"/>
      <c r="I56" s="3112" t="s">
        <v>2356</v>
      </c>
      <c r="J56" s="3122"/>
      <c r="K56" s="3074" t="s">
        <v>2361</v>
      </c>
      <c r="L56" s="1891" t="str">
        <f ca="1">IF(L48&lt;J51,"——",L48-J51)</f>
        <v>——</v>
      </c>
      <c r="O56" s="2357" t="s">
        <v>2374</v>
      </c>
      <c r="P56" s="2358" t="s">
        <v>2375</v>
      </c>
      <c r="Q56" s="2359" t="s">
        <v>2376</v>
      </c>
      <c r="R56" s="2358" t="s">
        <v>2377</v>
      </c>
    </row>
    <row r="57" spans="1:18" s="2042" customFormat="1" ht="28.5" customHeight="1" thickBot="1">
      <c r="A57" s="796" t="s">
        <v>1748</v>
      </c>
      <c r="B57" s="797" t="s">
        <v>651</v>
      </c>
      <c r="C57" s="798">
        <f ca="1">ROUND(C58+C63+C64+C65,0)</f>
        <v>132</v>
      </c>
      <c r="D57" s="26" t="s">
        <v>1750</v>
      </c>
      <c r="E57" s="2602"/>
      <c r="F57" s="56"/>
      <c r="I57" s="3113" t="s">
        <v>2357</v>
      </c>
      <c r="J57" s="3114">
        <f ca="1">IF(OR(M47="住宅",J51&lt;L48,J56="是"),"——",J51-L48)</f>
        <v>12.020000000000003</v>
      </c>
      <c r="K57" s="3074" t="s">
        <v>2362</v>
      </c>
      <c r="L57" s="1891" t="str">
        <f ca="1">IF(L48&lt;J51,"——",IF(L55="比较法",L49,IF(L55="基准地价",L50,L51)))</f>
        <v>——</v>
      </c>
      <c r="O57" s="2360" t="s">
        <v>2378</v>
      </c>
      <c r="P57" s="2361" t="s">
        <v>2408</v>
      </c>
      <c r="Q57" s="2362">
        <f ca="1">C40+J29</f>
        <v>2412</v>
      </c>
      <c r="R57" s="2361" t="s">
        <v>2379</v>
      </c>
    </row>
    <row r="58" spans="1:18" s="2042" customFormat="1" ht="28.5" customHeight="1" thickBot="1">
      <c r="A58" s="1633" t="s">
        <v>1824</v>
      </c>
      <c r="B58" s="783" t="s">
        <v>656</v>
      </c>
      <c r="C58" s="53">
        <f ca="1">ROUND(IF(项目基本情况!B11="自然人",C47*F58,C59+C60+C61),1)</f>
        <v>6.6</v>
      </c>
      <c r="D58" s="2600" t="s">
        <v>657</v>
      </c>
      <c r="E58" s="2601" t="s">
        <v>690</v>
      </c>
      <c r="F58" s="809" t="str">
        <f ca="1">IF(项目基本情况!B11="企业","",IF(INDIRECT("'数据-取费表'!c"&amp;$G$1)="住宅",5%,IF(F48*F49*F50/12/(1+'数据-取费表'!C42)&gt;20000,12%,7%)))</f>
        <v/>
      </c>
      <c r="I58" s="3113" t="s">
        <v>2358</v>
      </c>
      <c r="J58" s="3050">
        <f ca="1">IF(J55&lt;0.4,0.4,J55)</f>
        <v>0.4</v>
      </c>
      <c r="K58" s="3074" t="s">
        <v>2363</v>
      </c>
      <c r="L58" s="1891" t="e">
        <f ca="1">ROUND(POWER(1+L52,L47-L48)*(POWER(1+L52,L48)-1)/(POWER(1+L52,L47)-1),4)</f>
        <v>#DIV/0!</v>
      </c>
      <c r="O58" s="2360" t="s">
        <v>2380</v>
      </c>
      <c r="P58" s="2361" t="s">
        <v>2411</v>
      </c>
      <c r="Q58" s="2362">
        <f ca="1">L60</f>
        <v>0</v>
      </c>
      <c r="R58" s="2365" t="s">
        <v>2413</v>
      </c>
    </row>
    <row r="59" spans="1:18" s="2042" customFormat="1" ht="28.5" customHeight="1" thickBot="1">
      <c r="A59" s="1632" t="s">
        <v>1831</v>
      </c>
      <c r="B59" s="783" t="s">
        <v>660</v>
      </c>
      <c r="C59" s="53">
        <f ca="1">ROUND(C47*F59/1.05,1)</f>
        <v>0</v>
      </c>
      <c r="D59" s="2601" t="s">
        <v>1756</v>
      </c>
      <c r="E59" s="783" t="s">
        <v>1747</v>
      </c>
      <c r="F59" s="808">
        <f t="shared" ref="F59:F65" si="0">F32</f>
        <v>5.6000000000000001E-2</v>
      </c>
      <c r="I59" s="3113" t="s">
        <v>2359</v>
      </c>
      <c r="J59" s="3114">
        <f ca="1">IF(OR(M47="住宅",J51&lt;L48,J56="是"),"——",ROUND(C29*J58,0))</f>
        <v>2339</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2"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5" t="s">
        <v>2360</v>
      </c>
      <c r="J60" s="3116">
        <f ca="1">IF(OR(M47="住宅",J51&lt;L48,J56="是"),"0",ROUND(J59/(1+J52)^J53,0))</f>
        <v>37</v>
      </c>
      <c r="K60" s="3117" t="s">
        <v>2365</v>
      </c>
      <c r="L60" s="3116">
        <f ca="1">IF(OR(M47="住宅",L48&lt;J51),0,ROUND(L57*(L58/L59-1),0))</f>
        <v>0</v>
      </c>
      <c r="O60" s="2363" t="s">
        <v>2383</v>
      </c>
      <c r="P60" s="2361" t="s">
        <v>2392</v>
      </c>
      <c r="Q60" s="2364">
        <f>L52</f>
        <v>0</v>
      </c>
      <c r="R60" s="2365"/>
    </row>
    <row r="61" spans="1:18" s="2042" customFormat="1" ht="18" customHeight="1" thickBot="1">
      <c r="A61" s="1635" t="s">
        <v>1833</v>
      </c>
      <c r="B61" s="340" t="s">
        <v>668</v>
      </c>
      <c r="C61" s="54">
        <f ca="1">ROUND(F61*F62/10000,1)</f>
        <v>6.6</v>
      </c>
      <c r="D61" s="813" t="s">
        <v>669</v>
      </c>
      <c r="E61" s="783" t="s">
        <v>670</v>
      </c>
      <c r="F61" s="639">
        <f t="shared" si="0"/>
        <v>18</v>
      </c>
      <c r="K61" s="2069"/>
      <c r="O61" s="2363" t="s">
        <v>2385</v>
      </c>
      <c r="P61" s="2361" t="s">
        <v>2393</v>
      </c>
      <c r="Q61" s="2362" t="e">
        <f ca="1">L58</f>
        <v>#DIV/0!</v>
      </c>
      <c r="R61" s="2365" t="s">
        <v>2394</v>
      </c>
    </row>
    <row r="62" spans="1:18" s="2042" customFormat="1" ht="16.2" thickBot="1">
      <c r="A62" s="814"/>
      <c r="B62" s="792"/>
      <c r="C62" s="69"/>
      <c r="D62" s="815"/>
      <c r="E62" s="783" t="s">
        <v>674</v>
      </c>
      <c r="F62" s="784">
        <f t="shared" ca="1" si="0"/>
        <v>3649.14</v>
      </c>
      <c r="I62" s="3118" t="s">
        <v>2366</v>
      </c>
      <c r="J62" s="3119" t="s">
        <v>2367</v>
      </c>
      <c r="K62" s="3119" t="s">
        <v>2368</v>
      </c>
      <c r="L62" s="3119" t="s">
        <v>2349</v>
      </c>
      <c r="M62" s="3120" t="s">
        <v>2937</v>
      </c>
      <c r="O62" s="2363" t="s">
        <v>2387</v>
      </c>
      <c r="P62" s="2361" t="str">
        <f>K59</f>
        <v>建设期及建筑物耐用年限下的土地年期修正系数Kn</v>
      </c>
      <c r="Q62" s="2362" t="e">
        <f ca="1">L59</f>
        <v>#DIV/0!</v>
      </c>
      <c r="R62" s="2365" t="s">
        <v>2396</v>
      </c>
    </row>
    <row r="63" spans="1:18" s="2042" customFormat="1" ht="16.2" thickBot="1">
      <c r="A63" s="1633" t="s">
        <v>1889</v>
      </c>
      <c r="B63" s="783" t="s">
        <v>676</v>
      </c>
      <c r="C63" s="53">
        <f ca="1">ROUND(C56*F63,1)</f>
        <v>116.9</v>
      </c>
      <c r="D63" s="2601" t="s">
        <v>1803</v>
      </c>
      <c r="E63" s="783" t="s">
        <v>1747</v>
      </c>
      <c r="F63" s="816">
        <f t="shared" ca="1" si="0"/>
        <v>0.02</v>
      </c>
      <c r="I63" s="3118" t="s">
        <v>2369</v>
      </c>
      <c r="J63" s="3119">
        <v>70</v>
      </c>
      <c r="K63" s="3119">
        <v>50</v>
      </c>
      <c r="L63" s="3119">
        <v>80</v>
      </c>
      <c r="M63" s="3121">
        <v>0.02</v>
      </c>
      <c r="O63" s="2360" t="s">
        <v>2390</v>
      </c>
      <c r="P63" s="2361" t="s">
        <v>2407</v>
      </c>
      <c r="Q63" s="2362">
        <f ca="1">Q57+Q58</f>
        <v>2412</v>
      </c>
      <c r="R63" s="2365" t="s">
        <v>2391</v>
      </c>
    </row>
    <row r="64" spans="1:18" s="2042" customFormat="1" ht="16.2" thickBot="1">
      <c r="A64" s="1633" t="s">
        <v>1890</v>
      </c>
      <c r="B64" s="783" t="s">
        <v>679</v>
      </c>
      <c r="C64" s="53">
        <f ca="1">ROUND(C55*F64,1)</f>
        <v>8.8000000000000007</v>
      </c>
      <c r="D64" s="2601" t="s">
        <v>680</v>
      </c>
      <c r="E64" s="783" t="s">
        <v>1747</v>
      </c>
      <c r="F64" s="817">
        <f t="shared" ca="1" si="0"/>
        <v>1.5E-3</v>
      </c>
      <c r="I64" s="3118" t="s">
        <v>2370</v>
      </c>
      <c r="J64" s="3119">
        <v>50</v>
      </c>
      <c r="K64" s="3119">
        <v>35</v>
      </c>
      <c r="L64" s="3119">
        <v>60</v>
      </c>
      <c r="M64" s="845">
        <v>0</v>
      </c>
      <c r="O64" s="2366" t="s">
        <v>2414</v>
      </c>
      <c r="P64" s="1577"/>
      <c r="Q64" s="1588"/>
      <c r="R64" s="1577"/>
    </row>
    <row r="65" spans="1:18" s="2042" customFormat="1" ht="16.2" thickBot="1">
      <c r="A65" s="1633" t="s">
        <v>1891</v>
      </c>
      <c r="B65" s="783" t="s">
        <v>666</v>
      </c>
      <c r="C65" s="53">
        <f ca="1">ROUND(C47*F65,1)</f>
        <v>0</v>
      </c>
      <c r="D65" s="2601" t="s">
        <v>683</v>
      </c>
      <c r="E65" s="783" t="s">
        <v>1747</v>
      </c>
      <c r="F65" s="793">
        <f t="shared" ca="1" si="0"/>
        <v>1.4999999999999999E-2</v>
      </c>
      <c r="I65" s="3118" t="s">
        <v>2371</v>
      </c>
      <c r="J65" s="3119">
        <v>40</v>
      </c>
      <c r="K65" s="3119">
        <v>30</v>
      </c>
      <c r="L65" s="3119">
        <v>50</v>
      </c>
      <c r="M65" s="3121">
        <v>0.02</v>
      </c>
      <c r="O65" s="2357" t="s">
        <v>2374</v>
      </c>
      <c r="P65" s="2358" t="s">
        <v>2375</v>
      </c>
      <c r="Q65" s="2359" t="s">
        <v>2376</v>
      </c>
      <c r="R65" s="2358" t="s">
        <v>2377</v>
      </c>
    </row>
    <row r="66" spans="1:18" s="2042" customFormat="1" ht="24.6" thickBot="1">
      <c r="A66" s="796" t="s">
        <v>1776</v>
      </c>
      <c r="B66" s="2961" t="s">
        <v>2821</v>
      </c>
      <c r="C66" s="798">
        <f ca="1">C47-C57</f>
        <v>-132</v>
      </c>
      <c r="D66" s="2600" t="s">
        <v>700</v>
      </c>
      <c r="E66" s="2599"/>
      <c r="F66" s="819"/>
      <c r="K66" s="2069"/>
      <c r="O66" s="2360" t="s">
        <v>2378</v>
      </c>
      <c r="P66" s="2361" t="s">
        <v>2408</v>
      </c>
      <c r="Q66" s="2362">
        <f ca="1">C40+J29</f>
        <v>2412</v>
      </c>
      <c r="R66" s="2361" t="s">
        <v>2379</v>
      </c>
    </row>
    <row r="67" spans="1:18" s="2042" customFormat="1" ht="19.2" thickBot="1">
      <c r="A67" s="780" t="s">
        <v>1780</v>
      </c>
      <c r="B67" s="2215" t="s">
        <v>2301</v>
      </c>
      <c r="C67" s="782">
        <f ca="1">ROUND(C66*(1-((1+F69)/(1+F67))^F68)/(F67-F69),0)</f>
        <v>-2386</v>
      </c>
      <c r="D67" s="813" t="s">
        <v>704</v>
      </c>
      <c r="E67" s="783" t="s">
        <v>705</v>
      </c>
      <c r="F67" s="793">
        <f ca="1">F40</f>
        <v>0.05</v>
      </c>
      <c r="K67" s="2069"/>
      <c r="O67" s="2360" t="s">
        <v>2380</v>
      </c>
      <c r="P67" s="2361" t="s">
        <v>2411</v>
      </c>
      <c r="Q67" s="2362">
        <f ca="1">L60</f>
        <v>0</v>
      </c>
      <c r="R67" s="2365" t="s">
        <v>2413</v>
      </c>
    </row>
    <row r="68" spans="1:18" ht="20.399999999999999" thickBot="1">
      <c r="A68" s="785"/>
      <c r="B68" s="786"/>
      <c r="C68" s="787"/>
      <c r="D68" s="820" t="s">
        <v>1808</v>
      </c>
      <c r="E68" s="783" t="s">
        <v>1784</v>
      </c>
      <c r="F68" s="821">
        <f ca="1">F41</f>
        <v>47.98</v>
      </c>
      <c r="O68" s="2363" t="s">
        <v>2382</v>
      </c>
      <c r="P68" s="2361" t="s">
        <v>2412</v>
      </c>
      <c r="Q68" s="2367">
        <f ca="1">L51</f>
        <v>-20442</v>
      </c>
      <c r="R68" s="2368" t="s">
        <v>2415</v>
      </c>
    </row>
    <row r="69" spans="1:18" ht="19.2" thickBot="1">
      <c r="A69" s="789"/>
      <c r="B69" s="790"/>
      <c r="C69" s="791"/>
      <c r="D69" s="815"/>
      <c r="E69" s="783" t="s">
        <v>710</v>
      </c>
      <c r="F69" s="2333"/>
      <c r="O69" s="2363" t="s">
        <v>2383</v>
      </c>
      <c r="P69" s="2369" t="s">
        <v>2397</v>
      </c>
      <c r="Q69" s="2362">
        <f ca="1">ROUND(Q70-Q71*Q72,0)</f>
        <v>-409</v>
      </c>
      <c r="R69" s="2365"/>
    </row>
    <row r="70" spans="1:18" ht="16.2" thickBot="1">
      <c r="A70" s="822" t="s">
        <v>1787</v>
      </c>
      <c r="B70" s="823" t="s">
        <v>1810</v>
      </c>
      <c r="C70" s="824">
        <f ca="1">ROUND(C67*10000/F70,0)</f>
        <v>-1441</v>
      </c>
      <c r="D70" s="825" t="s">
        <v>1811</v>
      </c>
      <c r="E70" s="826" t="s">
        <v>1812</v>
      </c>
      <c r="F70" s="827">
        <f ca="1">F43</f>
        <v>16561.07</v>
      </c>
      <c r="O70" s="2363" t="s">
        <v>2398</v>
      </c>
      <c r="P70" s="2369" t="s">
        <v>2399</v>
      </c>
      <c r="Q70" s="2362">
        <f ca="1">C39</f>
        <v>88</v>
      </c>
      <c r="R70" s="2361" t="s">
        <v>2379</v>
      </c>
    </row>
    <row r="71" spans="1:18" ht="16.2" thickBot="1">
      <c r="O71" s="2363" t="s">
        <v>2400</v>
      </c>
      <c r="P71" s="2369" t="s">
        <v>2401</v>
      </c>
      <c r="Q71" s="2362">
        <f ca="1">C13</f>
        <v>5847</v>
      </c>
      <c r="R71" s="2361" t="s">
        <v>2379</v>
      </c>
    </row>
    <row r="72" spans="1:18" ht="16.2" thickBot="1">
      <c r="O72" s="2363" t="s">
        <v>2402</v>
      </c>
      <c r="P72" s="2369" t="s">
        <v>2403</v>
      </c>
      <c r="Q72" s="2364">
        <f ca="1">J36</f>
        <v>8.5000000000000006E-2</v>
      </c>
      <c r="R72" s="2365"/>
    </row>
    <row r="73" spans="1:18" ht="16.2" thickBot="1">
      <c r="O73" s="2363" t="s">
        <v>2385</v>
      </c>
      <c r="P73" s="2361" t="s">
        <v>2392</v>
      </c>
      <c r="Q73" s="2364">
        <f>L52</f>
        <v>0</v>
      </c>
      <c r="R73" s="2365"/>
    </row>
    <row r="74" spans="1:18" ht="19.2" thickBot="1">
      <c r="O74" s="2363" t="s">
        <v>2387</v>
      </c>
      <c r="P74" s="2361" t="s">
        <v>2393</v>
      </c>
      <c r="Q74" s="2362" t="e">
        <f ca="1">L58</f>
        <v>#DIV/0!</v>
      </c>
      <c r="R74" s="2365" t="s">
        <v>2394</v>
      </c>
    </row>
    <row r="75" spans="1:18" ht="16.2" thickBot="1">
      <c r="O75" s="2363" t="s">
        <v>2416</v>
      </c>
      <c r="P75" s="2361" t="str">
        <f>K59</f>
        <v>建设期及建筑物耐用年限下的土地年期修正系数Kn</v>
      </c>
      <c r="Q75" s="2362" t="e">
        <f ca="1">L59</f>
        <v>#DIV/0!</v>
      </c>
      <c r="R75" s="2365" t="s">
        <v>2396</v>
      </c>
    </row>
    <row r="76" spans="1:18" ht="16.2" thickBot="1">
      <c r="O76" s="2360" t="s">
        <v>2390</v>
      </c>
      <c r="P76" s="2361" t="s">
        <v>2407</v>
      </c>
      <c r="Q76" s="2362">
        <f ca="1">Q66+Q67</f>
        <v>2412</v>
      </c>
      <c r="R76" s="236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9" t="s">
        <v>2470</v>
      </c>
      <c r="B1" s="3490"/>
      <c r="C1" s="3491"/>
      <c r="D1" s="3492">
        <f>SUM(I10,I15,I20,I21,I23)</f>
        <v>0</v>
      </c>
      <c r="E1" s="3492"/>
      <c r="F1" s="3492"/>
      <c r="G1" s="3492"/>
      <c r="H1" s="3492"/>
      <c r="I1" s="3493"/>
    </row>
    <row r="2" spans="1:9">
      <c r="A2" s="3479" t="s">
        <v>2471</v>
      </c>
      <c r="B2" s="3480" t="s">
        <v>2472</v>
      </c>
      <c r="C2" s="3480"/>
      <c r="D2" s="2469" t="s">
        <v>2473</v>
      </c>
      <c r="E2" s="2469" t="s">
        <v>2474</v>
      </c>
      <c r="F2" s="2469" t="s">
        <v>2475</v>
      </c>
      <c r="G2" s="2469" t="s">
        <v>2476</v>
      </c>
      <c r="H2" s="2469" t="s">
        <v>2477</v>
      </c>
      <c r="I2" s="2470" t="s">
        <v>2478</v>
      </c>
    </row>
    <row r="3" spans="1:9">
      <c r="A3" s="3479"/>
      <c r="B3" s="3480" t="s">
        <v>2479</v>
      </c>
      <c r="C3" s="3480"/>
      <c r="D3" s="2471"/>
      <c r="E3" s="2469"/>
      <c r="F3" s="2472"/>
      <c r="G3" s="2472"/>
      <c r="H3" s="2473"/>
      <c r="I3" s="2474">
        <f>ROUND(D3*E3*F3*G3*H3/10000,0)</f>
        <v>0</v>
      </c>
    </row>
    <row r="4" spans="1:9">
      <c r="A4" s="3479"/>
      <c r="B4" s="3480" t="s">
        <v>2480</v>
      </c>
      <c r="C4" s="3480"/>
      <c r="D4" s="2471"/>
      <c r="E4" s="2469"/>
      <c r="F4" s="2472"/>
      <c r="G4" s="2472"/>
      <c r="H4" s="2473"/>
      <c r="I4" s="2474">
        <f t="shared" ref="I4:I9" si="0">ROUND(D4*E4*F4*G4*H4/10000,0)</f>
        <v>0</v>
      </c>
    </row>
    <row r="5" spans="1:9">
      <c r="A5" s="3479"/>
      <c r="B5" s="3480" t="s">
        <v>2481</v>
      </c>
      <c r="C5" s="3480"/>
      <c r="D5" s="2471"/>
      <c r="E5" s="2469"/>
      <c r="F5" s="2472"/>
      <c r="G5" s="2472"/>
      <c r="H5" s="2473"/>
      <c r="I5" s="2474">
        <f t="shared" si="0"/>
        <v>0</v>
      </c>
    </row>
    <row r="6" spans="1:9">
      <c r="A6" s="3479"/>
      <c r="B6" s="3480" t="s">
        <v>2482</v>
      </c>
      <c r="C6" s="3480"/>
      <c r="D6" s="2471"/>
      <c r="E6" s="2469"/>
      <c r="F6" s="2472"/>
      <c r="G6" s="2472"/>
      <c r="H6" s="2473"/>
      <c r="I6" s="2474">
        <f t="shared" si="0"/>
        <v>0</v>
      </c>
    </row>
    <row r="7" spans="1:9">
      <c r="A7" s="3479"/>
      <c r="B7" s="3480" t="s">
        <v>2483</v>
      </c>
      <c r="C7" s="3480"/>
      <c r="D7" s="2471"/>
      <c r="E7" s="2469"/>
      <c r="F7" s="2472"/>
      <c r="G7" s="2472"/>
      <c r="H7" s="2473"/>
      <c r="I7" s="2474">
        <f t="shared" si="0"/>
        <v>0</v>
      </c>
    </row>
    <row r="8" spans="1:9">
      <c r="A8" s="3479"/>
      <c r="B8" s="3480" t="s">
        <v>2484</v>
      </c>
      <c r="C8" s="3480"/>
      <c r="D8" s="2471"/>
      <c r="E8" s="2469"/>
      <c r="F8" s="2472"/>
      <c r="G8" s="2472"/>
      <c r="H8" s="2473"/>
      <c r="I8" s="2474">
        <f t="shared" si="0"/>
        <v>0</v>
      </c>
    </row>
    <row r="9" spans="1:9">
      <c r="A9" s="3479"/>
      <c r="B9" s="3480" t="s">
        <v>2485</v>
      </c>
      <c r="C9" s="3480"/>
      <c r="D9" s="2471"/>
      <c r="E9" s="2469"/>
      <c r="F9" s="2472"/>
      <c r="G9" s="2472"/>
      <c r="H9" s="2473"/>
      <c r="I9" s="2474">
        <f t="shared" si="0"/>
        <v>0</v>
      </c>
    </row>
    <row r="10" spans="1:9">
      <c r="A10" s="3479"/>
      <c r="B10" s="3481" t="s">
        <v>2486</v>
      </c>
      <c r="C10" s="3481"/>
      <c r="D10" s="2475">
        <v>527</v>
      </c>
      <c r="E10" s="2475" t="e">
        <f>ROUND(D1*10000/D10/H9,0)</f>
        <v>#DIV/0!</v>
      </c>
      <c r="F10" s="2476"/>
      <c r="G10" s="2476"/>
      <c r="H10" s="2477"/>
      <c r="I10" s="2478">
        <f>SUM(I3:I9)</f>
        <v>0</v>
      </c>
    </row>
    <row r="11" spans="1:9" ht="15.6">
      <c r="A11" s="3479" t="s">
        <v>2487</v>
      </c>
      <c r="B11" s="3480" t="s">
        <v>2488</v>
      </c>
      <c r="C11" s="3480"/>
      <c r="D11" s="2471" t="s">
        <v>2489</v>
      </c>
      <c r="E11" s="2471" t="s">
        <v>2490</v>
      </c>
      <c r="F11" s="2472" t="s">
        <v>2491</v>
      </c>
      <c r="G11" s="2472" t="s">
        <v>2492</v>
      </c>
      <c r="H11" s="2479" t="s">
        <v>2493</v>
      </c>
      <c r="I11" s="2470" t="s">
        <v>2494</v>
      </c>
    </row>
    <row r="12" spans="1:9">
      <c r="A12" s="3479"/>
      <c r="B12" s="3480" t="s">
        <v>2495</v>
      </c>
      <c r="C12" s="3480"/>
      <c r="D12" s="2471"/>
      <c r="E12" s="2471"/>
      <c r="F12" s="2472"/>
      <c r="G12" s="2473"/>
      <c r="H12" s="2480"/>
      <c r="I12" s="2470">
        <f>ROUND(D12*E12*F12*G12/10000,0)</f>
        <v>0</v>
      </c>
    </row>
    <row r="13" spans="1:9">
      <c r="A13" s="3479"/>
      <c r="B13" s="3480" t="s">
        <v>2496</v>
      </c>
      <c r="C13" s="3480"/>
      <c r="D13" s="2471"/>
      <c r="E13" s="2471"/>
      <c r="F13" s="2472"/>
      <c r="G13" s="2473"/>
      <c r="H13" s="2480"/>
      <c r="I13" s="2470">
        <f>ROUND(D13*E13*F13*G13/10000,0)</f>
        <v>0</v>
      </c>
    </row>
    <row r="14" spans="1:9">
      <c r="A14" s="3479"/>
      <c r="B14" s="3480" t="s">
        <v>2497</v>
      </c>
      <c r="C14" s="3480"/>
      <c r="D14" s="2471"/>
      <c r="E14" s="2471"/>
      <c r="F14" s="2472"/>
      <c r="G14" s="2473"/>
      <c r="H14" s="2480"/>
      <c r="I14" s="2470">
        <f>ROUND(D14*E14*F14*G14/10000,0)</f>
        <v>0</v>
      </c>
    </row>
    <row r="15" spans="1:9">
      <c r="A15" s="3479"/>
      <c r="B15" s="3481" t="s">
        <v>2486</v>
      </c>
      <c r="C15" s="3481"/>
      <c r="D15" s="2475"/>
      <c r="E15" s="2475">
        <f>SUM(E12:E14)</f>
        <v>0</v>
      </c>
      <c r="F15" s="2476"/>
      <c r="G15" s="2473"/>
      <c r="H15" s="2480"/>
      <c r="I15" s="2481">
        <f>SUM(I12:I14)</f>
        <v>0</v>
      </c>
    </row>
    <row r="16" spans="1:9" ht="24">
      <c r="A16" s="3479" t="s">
        <v>2498</v>
      </c>
      <c r="B16" s="3480" t="s">
        <v>2499</v>
      </c>
      <c r="C16" s="3480"/>
      <c r="D16" s="2471" t="s">
        <v>2500</v>
      </c>
      <c r="E16" s="2482" t="s">
        <v>2501</v>
      </c>
      <c r="F16" s="2472" t="s">
        <v>2502</v>
      </c>
      <c r="G16" s="2473" t="s">
        <v>2492</v>
      </c>
      <c r="H16" s="2479" t="s">
        <v>2493</v>
      </c>
      <c r="I16" s="2470" t="s">
        <v>2494</v>
      </c>
    </row>
    <row r="17" spans="1:9" ht="15.6">
      <c r="A17" s="3479"/>
      <c r="B17" s="3480" t="s">
        <v>2503</v>
      </c>
      <c r="C17" s="3480"/>
      <c r="D17" s="2471"/>
      <c r="E17" s="2471"/>
      <c r="F17" s="2472"/>
      <c r="G17" s="2473"/>
      <c r="H17" s="2483"/>
      <c r="I17" s="2484">
        <f>ROUND(D17*E17*F17*G17/10000,0)</f>
        <v>0</v>
      </c>
    </row>
    <row r="18" spans="1:9" ht="15.6">
      <c r="A18" s="3479"/>
      <c r="B18" s="3480" t="s">
        <v>2504</v>
      </c>
      <c r="C18" s="3480"/>
      <c r="D18" s="2471"/>
      <c r="E18" s="2471"/>
      <c r="F18" s="2472"/>
      <c r="G18" s="2473"/>
      <c r="H18" s="2483"/>
      <c r="I18" s="2484">
        <f>ROUND(D18*E18*F18*G18/10000,0)</f>
        <v>0</v>
      </c>
    </row>
    <row r="19" spans="1:9" ht="15.6">
      <c r="A19" s="3479"/>
      <c r="B19" s="3480" t="s">
        <v>2505</v>
      </c>
      <c r="C19" s="3480"/>
      <c r="D19" s="2471"/>
      <c r="E19" s="2471"/>
      <c r="F19" s="2472"/>
      <c r="G19" s="2473"/>
      <c r="H19" s="2483"/>
      <c r="I19" s="2484">
        <f>ROUND(D19*E19*F19*G19/10000,0)</f>
        <v>0</v>
      </c>
    </row>
    <row r="20" spans="1:9">
      <c r="A20" s="3479"/>
      <c r="B20" s="3481" t="s">
        <v>2486</v>
      </c>
      <c r="C20" s="3481"/>
      <c r="D20" s="2475">
        <f>SUM(D17:D19)</f>
        <v>0</v>
      </c>
      <c r="E20" s="2475"/>
      <c r="F20" s="2476"/>
      <c r="G20" s="2473"/>
      <c r="H20" s="2480"/>
      <c r="I20" s="2481">
        <f>SUM(I17:I19)</f>
        <v>0</v>
      </c>
    </row>
    <row r="21" spans="1:9">
      <c r="A21" s="3479" t="s">
        <v>2506</v>
      </c>
      <c r="B21" s="3482"/>
      <c r="C21" s="3482"/>
      <c r="D21" s="3482"/>
      <c r="E21" s="3482"/>
      <c r="F21" s="3482"/>
      <c r="G21" s="3482"/>
      <c r="H21" s="2485">
        <v>0.1</v>
      </c>
      <c r="I21" s="2478">
        <f>ROUND(I10*H21,0)</f>
        <v>0</v>
      </c>
    </row>
    <row r="22" spans="1:9" ht="15.6">
      <c r="A22" s="3483" t="s">
        <v>2507</v>
      </c>
      <c r="B22" s="3484"/>
      <c r="C22" s="3485"/>
      <c r="D22" s="2486" t="s">
        <v>2508</v>
      </c>
      <c r="E22" s="2486" t="s">
        <v>2509</v>
      </c>
      <c r="F22" s="2487" t="s">
        <v>2510</v>
      </c>
      <c r="G22" s="2487" t="s">
        <v>2511</v>
      </c>
      <c r="H22" s="2479" t="s">
        <v>2512</v>
      </c>
      <c r="I22" s="2470" t="s">
        <v>2513</v>
      </c>
    </row>
    <row r="23" spans="1:9" ht="15" thickBot="1">
      <c r="A23" s="3486"/>
      <c r="B23" s="3487"/>
      <c r="C23" s="3488"/>
      <c r="D23" s="2488"/>
      <c r="E23" s="2488"/>
      <c r="F23" s="2488"/>
      <c r="G23" s="2489"/>
      <c r="H23" s="2490"/>
      <c r="I23" s="2491">
        <f>ROUND(E23*D23*F23*(1-G23)/10000,0)</f>
        <v>0</v>
      </c>
    </row>
    <row r="26" spans="1:9">
      <c r="A26" s="2492" t="s">
        <v>2514</v>
      </c>
      <c r="B26" s="2492"/>
      <c r="C26" s="2492"/>
      <c r="D26" s="2492"/>
      <c r="E26" s="3476">
        <f>C27-C30-C31-C32</f>
        <v>0</v>
      </c>
      <c r="F26" s="3476"/>
      <c r="G26" s="3476"/>
      <c r="H26" s="2993" t="s">
        <v>2842</v>
      </c>
    </row>
    <row r="27" spans="1:9">
      <c r="A27" s="2493">
        <v>1</v>
      </c>
      <c r="B27" s="2494" t="s">
        <v>2515</v>
      </c>
      <c r="C27" s="2494"/>
      <c r="D27" s="2494"/>
      <c r="E27" s="3477"/>
      <c r="F27" s="3477"/>
      <c r="G27" s="3477"/>
    </row>
    <row r="28" spans="1:9">
      <c r="A28" s="2495" t="s">
        <v>2516</v>
      </c>
      <c r="B28" s="2494" t="s">
        <v>2517</v>
      </c>
      <c r="C28" s="2494"/>
      <c r="D28" s="2494"/>
      <c r="E28" s="3477"/>
      <c r="F28" s="3477"/>
      <c r="G28" s="3477"/>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478"/>
      <c r="F32" s="3478"/>
      <c r="G32" s="3478"/>
    </row>
    <row r="33" spans="1:7" hidden="1">
      <c r="A33" s="3473" t="s">
        <v>2525</v>
      </c>
      <c r="B33" s="3474"/>
      <c r="C33" s="3474"/>
      <c r="D33" s="3475"/>
      <c r="E33" s="3476"/>
      <c r="F33" s="3476"/>
      <c r="G33" s="3476"/>
    </row>
    <row r="34" spans="1:7" hidden="1">
      <c r="A34" s="2497">
        <v>1</v>
      </c>
      <c r="B34" s="2494" t="s">
        <v>2526</v>
      </c>
      <c r="C34" s="2494"/>
      <c r="D34" s="2494"/>
      <c r="E34" s="3477"/>
      <c r="F34" s="3477"/>
      <c r="G34" s="3477"/>
    </row>
    <row r="35" spans="1:7" hidden="1">
      <c r="A35" s="2497">
        <v>2</v>
      </c>
      <c r="B35" s="2494" t="s">
        <v>2527</v>
      </c>
      <c r="C35" s="2494"/>
      <c r="D35" s="2494"/>
      <c r="E35" s="3477"/>
      <c r="F35" s="3477"/>
      <c r="G35" s="3477"/>
    </row>
    <row r="36" spans="1:7" hidden="1">
      <c r="A36" s="2497">
        <v>3</v>
      </c>
      <c r="B36" s="2494" t="s">
        <v>2528</v>
      </c>
      <c r="C36" s="2494"/>
      <c r="D36" s="2494"/>
      <c r="E36" s="3477"/>
      <c r="F36" s="3477"/>
      <c r="G36" s="3477"/>
    </row>
    <row r="37" spans="1:7" hidden="1">
      <c r="A37" s="2497">
        <v>4</v>
      </c>
      <c r="B37" s="2494" t="s">
        <v>2529</v>
      </c>
      <c r="C37" s="2494"/>
      <c r="D37" s="2494"/>
      <c r="E37" s="3477"/>
      <c r="F37" s="3477"/>
      <c r="G37" s="3477"/>
    </row>
    <row r="38" spans="1:7" hidden="1">
      <c r="A38" s="3473" t="s">
        <v>2530</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4"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2439</v>
      </c>
      <c r="B8" s="2434" t="s">
        <v>2441</v>
      </c>
      <c r="C8" s="2435"/>
      <c r="D8" s="748"/>
      <c r="E8" s="749"/>
      <c r="F8" s="749"/>
      <c r="G8" s="750"/>
    </row>
    <row r="9" spans="1:25" s="2166" customFormat="1" ht="13.5" customHeight="1">
      <c r="A9" s="2431" t="s">
        <v>2440</v>
      </c>
      <c r="B9" s="2434" t="s">
        <v>2442</v>
      </c>
      <c r="C9" s="2435"/>
      <c r="D9" s="748"/>
      <c r="E9" s="749"/>
      <c r="F9" s="749"/>
      <c r="G9" s="750"/>
    </row>
    <row r="10" spans="1:25" s="2166" customFormat="1" ht="36">
      <c r="A10" s="2431">
        <v>2</v>
      </c>
      <c r="B10" s="747" t="s">
        <v>613</v>
      </c>
      <c r="C10" s="748">
        <f>C11+C14+C15</f>
        <v>0</v>
      </c>
      <c r="D10" s="759">
        <f>'数据-汇总表'!E3</f>
        <v>69312.710000000006</v>
      </c>
      <c r="E10" s="748">
        <f>'数据-取费表'!B31</f>
        <v>220</v>
      </c>
      <c r="F10" s="760"/>
      <c r="G10" s="758" t="s">
        <v>614</v>
      </c>
    </row>
    <row r="11" spans="1:25" s="2166" customFormat="1" ht="13.5" customHeight="1">
      <c r="A11" s="2431" t="s">
        <v>2439</v>
      </c>
      <c r="B11" s="751" t="s">
        <v>610</v>
      </c>
      <c r="C11" s="752">
        <f>'数据-取费表'!B29</f>
        <v>0</v>
      </c>
      <c r="D11" s="753"/>
      <c r="E11" s="752"/>
      <c r="F11" s="754"/>
      <c r="G11" s="2440" t="s">
        <v>2450</v>
      </c>
    </row>
    <row r="12" spans="1:25" s="2166" customFormat="1" ht="13.5" customHeight="1">
      <c r="A12" s="2438" t="s">
        <v>2447</v>
      </c>
      <c r="B12" s="755" t="s">
        <v>611</v>
      </c>
      <c r="C12" s="756">
        <f>ROUND(D12*E12/10000,0)</f>
        <v>798</v>
      </c>
      <c r="D12" s="757">
        <f>'数据-汇总表'!E5</f>
        <v>46924.41</v>
      </c>
      <c r="E12" s="756">
        <f>'数据-取费表'!B27</f>
        <v>170</v>
      </c>
      <c r="F12" s="754"/>
      <c r="G12" s="758"/>
    </row>
    <row r="13" spans="1:25" s="2166" customFormat="1" ht="13.5" customHeight="1">
      <c r="A13" s="2438" t="s">
        <v>2446</v>
      </c>
      <c r="B13" s="755" t="s">
        <v>612</v>
      </c>
      <c r="C13" s="756">
        <f>ROUND(D13*E13/10000,0)</f>
        <v>381</v>
      </c>
      <c r="D13" s="757">
        <f>'数据-汇总表'!E6</f>
        <v>22388.300000000003</v>
      </c>
      <c r="E13" s="756">
        <f>'数据-取费表'!B28</f>
        <v>170</v>
      </c>
      <c r="F13" s="754"/>
      <c r="G13" s="758"/>
    </row>
    <row r="14" spans="1:25" s="2166" customFormat="1" ht="13.5" customHeight="1">
      <c r="A14" s="2431" t="s">
        <v>2440</v>
      </c>
      <c r="B14" s="2437" t="s">
        <v>2443</v>
      </c>
      <c r="C14" s="2435"/>
      <c r="D14" s="757"/>
      <c r="E14" s="756"/>
      <c r="F14" s="2436"/>
      <c r="G14" s="2439" t="s">
        <v>2448</v>
      </c>
    </row>
    <row r="15" spans="1:25" s="2166" customFormat="1" ht="13.5" customHeight="1">
      <c r="A15" s="2431" t="s">
        <v>2445</v>
      </c>
      <c r="B15" s="2437" t="s">
        <v>2444</v>
      </c>
      <c r="C15" s="2435"/>
      <c r="D15" s="757"/>
      <c r="E15" s="756"/>
      <c r="F15" s="2436"/>
      <c r="G15" s="2439" t="s">
        <v>2449</v>
      </c>
    </row>
    <row r="16" spans="1:25" s="2167" customFormat="1" ht="48">
      <c r="A16" s="2431">
        <v>3</v>
      </c>
      <c r="B16" s="747" t="s">
        <v>615</v>
      </c>
      <c r="C16" s="2435"/>
      <c r="D16" s="759"/>
      <c r="E16" s="748"/>
      <c r="F16" s="760"/>
      <c r="G16" s="758" t="s">
        <v>2451</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0.16</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7" t="s">
        <v>621</v>
      </c>
      <c r="C20" s="748">
        <f ca="1">ROUND(C19*F20,0)</f>
        <v>0</v>
      </c>
      <c r="D20" s="759"/>
      <c r="E20" s="748"/>
      <c r="F20" s="1343"/>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0.93300000000000005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502" t="s">
        <v>757</v>
      </c>
      <c r="C1" s="503" t="s">
        <v>720</v>
      </c>
      <c r="D1" s="2332"/>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9"/>
      <c r="Q3" s="1549"/>
      <c r="R3" s="1549"/>
      <c r="S3" s="1549"/>
      <c r="T3" s="1549"/>
      <c r="U3" s="1549"/>
      <c r="V3" s="1549"/>
      <c r="W3" s="1549"/>
      <c r="X3" s="1549"/>
      <c r="Y3" s="1549"/>
      <c r="Z3" s="1549"/>
      <c r="AA3" s="1549"/>
      <c r="AB3" s="1549"/>
      <c r="AC3" s="427"/>
    </row>
    <row r="4" spans="1:29" ht="14.4">
      <c r="A4" s="511" t="s">
        <v>521</v>
      </c>
      <c r="B4" s="512"/>
      <c r="C4" s="3395" t="s">
        <v>522</v>
      </c>
      <c r="D4" s="3396"/>
      <c r="E4" s="3420" t="s">
        <v>523</v>
      </c>
      <c r="F4" s="3421"/>
      <c r="G4" s="3395" t="s">
        <v>524</v>
      </c>
      <c r="H4" s="3396"/>
      <c r="I4" s="3395" t="s">
        <v>525</v>
      </c>
      <c r="J4" s="3396"/>
      <c r="K4" s="513" t="s">
        <v>526</v>
      </c>
      <c r="L4" s="2116"/>
      <c r="M4" s="2117"/>
      <c r="N4" s="2117"/>
      <c r="O4" s="2117"/>
      <c r="P4" s="3397" t="s">
        <v>527</v>
      </c>
      <c r="Q4" s="3398"/>
      <c r="R4" s="3383" t="s">
        <v>523</v>
      </c>
      <c r="S4" s="3384"/>
      <c r="T4" s="3383" t="s">
        <v>524</v>
      </c>
      <c r="U4" s="3384"/>
      <c r="V4" s="3403" t="s">
        <v>525</v>
      </c>
      <c r="W4" s="3403"/>
      <c r="X4" s="1552"/>
      <c r="Y4" s="3383" t="s">
        <v>527</v>
      </c>
      <c r="Z4" s="3384"/>
      <c r="AA4" s="3378" t="s">
        <v>523</v>
      </c>
      <c r="AB4" s="3403" t="s">
        <v>524</v>
      </c>
      <c r="AC4" s="3378" t="s">
        <v>525</v>
      </c>
    </row>
    <row r="5" spans="1:29">
      <c r="A5" s="514"/>
      <c r="B5" s="515"/>
      <c r="C5" s="3408" t="s">
        <v>2924</v>
      </c>
      <c r="D5" s="3407"/>
      <c r="E5" s="3422" t="s">
        <v>2925</v>
      </c>
      <c r="F5" s="3423"/>
      <c r="G5" s="3408" t="s">
        <v>2926</v>
      </c>
      <c r="H5" s="3407"/>
      <c r="I5" s="3408" t="s">
        <v>2927</v>
      </c>
      <c r="J5" s="3407"/>
      <c r="K5" s="513"/>
      <c r="L5" s="2116"/>
      <c r="M5" s="2117"/>
      <c r="N5" s="2117"/>
      <c r="O5" s="2117"/>
      <c r="P5" s="3399"/>
      <c r="Q5" s="3400"/>
      <c r="R5" s="3385"/>
      <c r="S5" s="3386"/>
      <c r="T5" s="3385"/>
      <c r="U5" s="3386"/>
      <c r="V5" s="3403"/>
      <c r="W5" s="3403"/>
      <c r="X5" s="1552"/>
      <c r="Y5" s="3385"/>
      <c r="Z5" s="3386"/>
      <c r="AA5" s="3379"/>
      <c r="AB5" s="3403"/>
      <c r="AC5" s="3379"/>
    </row>
    <row r="6" spans="1:29" ht="15" thickBot="1">
      <c r="A6" s="516"/>
      <c r="B6" s="517"/>
      <c r="C6" s="3424" t="s">
        <v>2928</v>
      </c>
      <c r="D6" s="3405"/>
      <c r="E6" s="3425" t="s">
        <v>2928</v>
      </c>
      <c r="F6" s="3426"/>
      <c r="G6" s="3424" t="s">
        <v>2928</v>
      </c>
      <c r="H6" s="3405"/>
      <c r="I6" s="3424" t="s">
        <v>2928</v>
      </c>
      <c r="J6" s="3405"/>
      <c r="K6" s="513" t="s">
        <v>528</v>
      </c>
      <c r="L6" s="2116"/>
      <c r="M6" s="2117"/>
      <c r="N6" s="2117"/>
      <c r="O6" s="2117"/>
      <c r="P6" s="3401"/>
      <c r="Q6" s="3402"/>
      <c r="R6" s="3385"/>
      <c r="S6" s="3386"/>
      <c r="T6" s="3387"/>
      <c r="U6" s="3388"/>
      <c r="V6" s="3403"/>
      <c r="W6" s="3403"/>
      <c r="X6" s="1552"/>
      <c r="Y6" s="3387"/>
      <c r="Z6" s="3388"/>
      <c r="AA6" s="3380"/>
      <c r="AB6" s="3403"/>
      <c r="AC6" s="3380"/>
    </row>
    <row r="7" spans="1:29" s="1214" customFormat="1" ht="15" thickBot="1">
      <c r="A7" s="2865"/>
      <c r="B7" s="2872" t="s">
        <v>529</v>
      </c>
      <c r="C7" s="518">
        <f>'数据-取费表'!B2</f>
        <v>43840</v>
      </c>
      <c r="D7" s="519">
        <v>100</v>
      </c>
      <c r="E7" s="520"/>
      <c r="F7" s="521">
        <f>SUMIF(58:58,YEAR(E7)&amp;"-"&amp;MONTH(E7),59:59)</f>
        <v>0</v>
      </c>
      <c r="G7" s="520"/>
      <c r="H7" s="519">
        <f>SUMIF(58:58,YEAR(G7)&amp;"-"&amp;MONTH(G7),59:59)</f>
        <v>0</v>
      </c>
      <c r="I7" s="520"/>
      <c r="J7" s="519">
        <f>SUMIF(58:58,YEAR(I7)&amp;"-"&amp;MONTH(I7),59:59)</f>
        <v>0</v>
      </c>
      <c r="K7" s="523"/>
      <c r="L7" s="2118"/>
      <c r="M7" s="2119"/>
      <c r="N7" s="2119"/>
      <c r="O7" s="2119"/>
      <c r="P7" s="3381" t="s">
        <v>530</v>
      </c>
      <c r="Q7" s="3390"/>
      <c r="R7" s="1553" t="s">
        <v>8</v>
      </c>
      <c r="S7" s="1554">
        <f t="shared" ref="S7:S15" si="0">F7</f>
        <v>0</v>
      </c>
      <c r="T7" s="1553" t="s">
        <v>8</v>
      </c>
      <c r="U7" s="1554">
        <f t="shared" ref="U7:U15" si="1">H7</f>
        <v>0</v>
      </c>
      <c r="V7" s="1553" t="s">
        <v>8</v>
      </c>
      <c r="W7" s="1554">
        <f t="shared" ref="W7:W15" si="2">J7</f>
        <v>0</v>
      </c>
      <c r="X7" s="1555"/>
      <c r="Y7" s="3381" t="s">
        <v>530</v>
      </c>
      <c r="Z7" s="3382"/>
      <c r="AA7" s="1556" t="e">
        <f>D7/F7</f>
        <v>#DIV/0!</v>
      </c>
      <c r="AB7" s="1556" t="e">
        <f>D7/H7</f>
        <v>#DIV/0!</v>
      </c>
      <c r="AC7" s="1556" t="e">
        <f>D7/J7</f>
        <v>#DIV/0!</v>
      </c>
    </row>
    <row r="8" spans="1:29" s="1214" customFormat="1" ht="1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381" t="s">
        <v>533</v>
      </c>
      <c r="Q8" s="3382"/>
      <c r="R8" s="1553" t="s">
        <v>8</v>
      </c>
      <c r="S8" s="1554">
        <f t="shared" si="0"/>
        <v>0</v>
      </c>
      <c r="T8" s="1553" t="s">
        <v>8</v>
      </c>
      <c r="U8" s="1554">
        <f t="shared" si="1"/>
        <v>0</v>
      </c>
      <c r="V8" s="1553" t="s">
        <v>8</v>
      </c>
      <c r="W8" s="1554">
        <f t="shared" si="2"/>
        <v>0</v>
      </c>
      <c r="X8" s="1555"/>
      <c r="Y8" s="3381" t="s">
        <v>533</v>
      </c>
      <c r="Z8" s="3382"/>
      <c r="AA8" s="1556" t="e">
        <f t="shared" ref="AA8:AA46" si="3">D8/F8</f>
        <v>#DIV/0!</v>
      </c>
      <c r="AB8" s="1556" t="e">
        <f t="shared" ref="AB8:AB46" si="4">D8/H8</f>
        <v>#DIV/0!</v>
      </c>
      <c r="AC8" s="1556" t="e">
        <f t="shared" ref="AC8:AC46" si="5">D8/J8</f>
        <v>#DIV/0!</v>
      </c>
    </row>
    <row r="9" spans="1:29" s="1214" customFormat="1" ht="14.4">
      <c r="A9" s="2867"/>
      <c r="B9" s="2874" t="s">
        <v>2755</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389" t="s">
        <v>535</v>
      </c>
      <c r="Q9" s="1145" t="str">
        <f t="shared" ref="Q9:Q15" si="6">B9</f>
        <v>用途</v>
      </c>
      <c r="R9" s="1553" t="s">
        <v>8</v>
      </c>
      <c r="S9" s="1554">
        <f t="shared" si="0"/>
        <v>100</v>
      </c>
      <c r="T9" s="1553" t="s">
        <v>8</v>
      </c>
      <c r="U9" s="1554">
        <f t="shared" si="1"/>
        <v>100</v>
      </c>
      <c r="V9" s="1553" t="s">
        <v>8</v>
      </c>
      <c r="W9" s="1554">
        <f t="shared" si="2"/>
        <v>100</v>
      </c>
      <c r="X9" s="1555"/>
      <c r="Y9" s="3346" t="s">
        <v>536</v>
      </c>
      <c r="Z9" s="1144" t="str">
        <f t="shared" ref="Z9:Z15" si="7">Q9</f>
        <v>用途</v>
      </c>
      <c r="AA9" s="1556">
        <f t="shared" si="3"/>
        <v>1</v>
      </c>
      <c r="AB9" s="1556">
        <f t="shared" si="4"/>
        <v>1</v>
      </c>
      <c r="AC9" s="1556">
        <f t="shared" si="5"/>
        <v>1</v>
      </c>
    </row>
    <row r="10" spans="1:29" s="1332" customFormat="1" ht="28.8">
      <c r="A10" s="2868"/>
      <c r="B10" s="2873" t="s">
        <v>2756</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389"/>
      <c r="Q10" s="1145" t="str">
        <f t="shared" si="6"/>
        <v>土地使用年限（年）</v>
      </c>
      <c r="R10" s="1553" t="s">
        <v>8</v>
      </c>
      <c r="S10" s="1554">
        <f t="shared" si="0"/>
        <v>100</v>
      </c>
      <c r="T10" s="1553" t="s">
        <v>8</v>
      </c>
      <c r="U10" s="1554">
        <f t="shared" si="1"/>
        <v>100</v>
      </c>
      <c r="V10" s="1553" t="s">
        <v>8</v>
      </c>
      <c r="W10" s="1554">
        <f t="shared" si="2"/>
        <v>100</v>
      </c>
      <c r="X10" s="1555"/>
      <c r="Y10" s="3346"/>
      <c r="Z10" s="1144"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89"/>
      <c r="Q11" s="1145" t="str">
        <f t="shared" si="6"/>
        <v>容积率</v>
      </c>
      <c r="R11" s="1553" t="s">
        <v>8</v>
      </c>
      <c r="S11" s="1554" t="e">
        <f t="shared" si="0"/>
        <v>#N/A</v>
      </c>
      <c r="T11" s="1553" t="s">
        <v>8</v>
      </c>
      <c r="U11" s="1554" t="e">
        <f t="shared" si="1"/>
        <v>#N/A</v>
      </c>
      <c r="V11" s="1553" t="s">
        <v>8</v>
      </c>
      <c r="W11" s="1554" t="e">
        <f t="shared" si="2"/>
        <v>#N/A</v>
      </c>
      <c r="X11" s="1555"/>
      <c r="Y11" s="3346"/>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389"/>
      <c r="Q12" s="1145">
        <f t="shared" si="6"/>
        <v>111</v>
      </c>
      <c r="R12" s="1553" t="s">
        <v>8</v>
      </c>
      <c r="S12" s="1554">
        <f t="shared" si="0"/>
        <v>100</v>
      </c>
      <c r="T12" s="1553" t="s">
        <v>8</v>
      </c>
      <c r="U12" s="1554">
        <f t="shared" si="1"/>
        <v>100</v>
      </c>
      <c r="V12" s="1553" t="s">
        <v>8</v>
      </c>
      <c r="W12" s="1554">
        <f t="shared" si="2"/>
        <v>100</v>
      </c>
      <c r="X12" s="1555"/>
      <c r="Y12" s="3346"/>
      <c r="Z12" s="1144">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389"/>
      <c r="Q13" s="1145">
        <f t="shared" si="6"/>
        <v>111</v>
      </c>
      <c r="R13" s="1553" t="s">
        <v>8</v>
      </c>
      <c r="S13" s="1554">
        <f t="shared" si="0"/>
        <v>100</v>
      </c>
      <c r="T13" s="1553" t="s">
        <v>8</v>
      </c>
      <c r="U13" s="1554">
        <f t="shared" si="1"/>
        <v>100</v>
      </c>
      <c r="V13" s="1553" t="s">
        <v>8</v>
      </c>
      <c r="W13" s="1554">
        <f t="shared" si="2"/>
        <v>100</v>
      </c>
      <c r="X13" s="1555"/>
      <c r="Y13" s="3346"/>
      <c r="Z13" s="1144">
        <f t="shared" si="7"/>
        <v>111</v>
      </c>
      <c r="AA13" s="1556">
        <f t="shared" si="3"/>
        <v>1</v>
      </c>
      <c r="AB13" s="1556">
        <f t="shared" si="4"/>
        <v>1</v>
      </c>
      <c r="AC13" s="1556">
        <f t="shared" si="5"/>
        <v>1</v>
      </c>
    </row>
    <row r="14" spans="1:29" ht="15.6" thickBot="1">
      <c r="A14" s="2871"/>
      <c r="B14" s="2877">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389"/>
      <c r="Q14" s="1145">
        <f t="shared" si="6"/>
        <v>111</v>
      </c>
      <c r="R14" s="1553" t="s">
        <v>8</v>
      </c>
      <c r="S14" s="1554">
        <f t="shared" si="0"/>
        <v>100</v>
      </c>
      <c r="T14" s="1553" t="s">
        <v>8</v>
      </c>
      <c r="U14" s="1554">
        <f t="shared" si="1"/>
        <v>100</v>
      </c>
      <c r="V14" s="1553" t="s">
        <v>8</v>
      </c>
      <c r="W14" s="1554">
        <f t="shared" si="2"/>
        <v>100</v>
      </c>
      <c r="X14" s="1555"/>
      <c r="Y14" s="3346"/>
      <c r="Z14" s="1144">
        <f t="shared" si="7"/>
        <v>111</v>
      </c>
      <c r="AA14" s="1556">
        <f t="shared" si="3"/>
        <v>1</v>
      </c>
      <c r="AB14" s="1556">
        <f t="shared" si="4"/>
        <v>1</v>
      </c>
      <c r="AC14" s="1556">
        <f t="shared" si="5"/>
        <v>1</v>
      </c>
    </row>
    <row r="15" spans="1:29" ht="15">
      <c r="A15" s="2863" t="s">
        <v>2753</v>
      </c>
      <c r="B15" s="166" t="s">
        <v>541</v>
      </c>
      <c r="C15" s="866" t="str">
        <f>估价对象房地状况!C4</f>
        <v>一般</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391" t="s">
        <v>540</v>
      </c>
      <c r="Q15" s="1557" t="str">
        <f t="shared" si="6"/>
        <v>商业繁华度</v>
      </c>
      <c r="R15" s="1558" t="s">
        <v>8</v>
      </c>
      <c r="S15" s="1559">
        <f t="shared" si="0"/>
        <v>100</v>
      </c>
      <c r="T15" s="1558" t="s">
        <v>8</v>
      </c>
      <c r="U15" s="1559">
        <f t="shared" si="1"/>
        <v>100</v>
      </c>
      <c r="V15" s="1558" t="s">
        <v>8</v>
      </c>
      <c r="W15" s="1559">
        <f t="shared" si="2"/>
        <v>100</v>
      </c>
      <c r="X15" s="1552"/>
      <c r="Y15" s="3391"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5"/>
      <c r="M16" s="2117"/>
      <c r="N16" s="2117"/>
      <c r="O16" s="2124"/>
      <c r="P16" s="3392"/>
      <c r="Q16" s="1557"/>
      <c r="R16" s="1558"/>
      <c r="S16" s="1559"/>
      <c r="T16" s="1558"/>
      <c r="U16" s="1559"/>
      <c r="V16" s="1558"/>
      <c r="W16" s="1559"/>
      <c r="X16" s="1552"/>
      <c r="Y16" s="3392"/>
      <c r="Z16" s="1560"/>
      <c r="AA16" s="1561">
        <v>1</v>
      </c>
      <c r="AB16" s="1561">
        <v>1</v>
      </c>
      <c r="AC16" s="1561">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392"/>
      <c r="Q17" s="1557" t="str">
        <f>B17</f>
        <v>交通便捷度</v>
      </c>
      <c r="R17" s="1558" t="s">
        <v>8</v>
      </c>
      <c r="S17" s="1559">
        <f>F17</f>
        <v>100</v>
      </c>
      <c r="T17" s="1558" t="s">
        <v>8</v>
      </c>
      <c r="U17" s="1559">
        <f>H17</f>
        <v>100</v>
      </c>
      <c r="V17" s="1558" t="s">
        <v>8</v>
      </c>
      <c r="W17" s="1559">
        <f>J17</f>
        <v>100</v>
      </c>
      <c r="X17" s="1552"/>
      <c r="Y17" s="3392"/>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5"/>
      <c r="M18" s="2117"/>
      <c r="N18" s="2117"/>
      <c r="O18" s="2124"/>
      <c r="P18" s="3392"/>
      <c r="Q18" s="1557"/>
      <c r="R18" s="1558"/>
      <c r="S18" s="1559"/>
      <c r="T18" s="1558"/>
      <c r="U18" s="1559"/>
      <c r="V18" s="1558"/>
      <c r="W18" s="1559"/>
      <c r="X18" s="1552"/>
      <c r="Y18" s="3392"/>
      <c r="Z18" s="1560"/>
      <c r="AA18" s="1561">
        <v>1</v>
      </c>
      <c r="AB18" s="1561">
        <v>1</v>
      </c>
      <c r="AC18" s="1561">
        <v>1</v>
      </c>
    </row>
    <row r="19" spans="1:29" ht="15">
      <c r="A19" s="531"/>
      <c r="B19" s="2562" t="s">
        <v>2545</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392"/>
      <c r="Q19" s="1557" t="str">
        <f>B19</f>
        <v>公共配套设施</v>
      </c>
      <c r="R19" s="1558" t="s">
        <v>8</v>
      </c>
      <c r="S19" s="1559">
        <f>F19</f>
        <v>100</v>
      </c>
      <c r="T19" s="1558" t="s">
        <v>8</v>
      </c>
      <c r="U19" s="1559">
        <f>H19</f>
        <v>100</v>
      </c>
      <c r="V19" s="1558" t="s">
        <v>8</v>
      </c>
      <c r="W19" s="1559">
        <f>J19</f>
        <v>100</v>
      </c>
      <c r="X19" s="1552"/>
      <c r="Y19" s="3392"/>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5"/>
      <c r="M20" s="2117"/>
      <c r="N20" s="2117"/>
      <c r="O20" s="2124"/>
      <c r="P20" s="3392"/>
      <c r="Q20" s="1557"/>
      <c r="R20" s="1558"/>
      <c r="S20" s="1559"/>
      <c r="T20" s="1558"/>
      <c r="U20" s="1559"/>
      <c r="V20" s="1558"/>
      <c r="W20" s="1559"/>
      <c r="X20" s="1552"/>
      <c r="Y20" s="3392"/>
      <c r="Z20" s="1560"/>
      <c r="AA20" s="1561">
        <v>1</v>
      </c>
      <c r="AB20" s="1561">
        <v>1</v>
      </c>
      <c r="AC20" s="1561">
        <v>1</v>
      </c>
    </row>
    <row r="21" spans="1:29" ht="15">
      <c r="A21" s="531"/>
      <c r="B21" s="2555" t="s">
        <v>2557</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392"/>
      <c r="Q21" s="2541" t="str">
        <f>B21</f>
        <v>基础设施水平</v>
      </c>
      <c r="R21" s="1558" t="s">
        <v>8</v>
      </c>
      <c r="S21" s="1559">
        <f>F21</f>
        <v>100</v>
      </c>
      <c r="T21" s="1558" t="s">
        <v>8</v>
      </c>
      <c r="U21" s="1559">
        <f>H21</f>
        <v>100</v>
      </c>
      <c r="V21" s="1558" t="s">
        <v>8</v>
      </c>
      <c r="W21" s="1559">
        <f>J21</f>
        <v>100</v>
      </c>
      <c r="X21" s="2543"/>
      <c r="Y21" s="3392"/>
      <c r="Z21" s="2542"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4"/>
      <c r="L22" s="2125"/>
      <c r="M22" s="2117"/>
      <c r="N22" s="2117"/>
      <c r="O22" s="2124"/>
      <c r="P22" s="3392"/>
      <c r="Q22" s="2541"/>
      <c r="R22" s="1558"/>
      <c r="S22" s="1559"/>
      <c r="T22" s="1558"/>
      <c r="U22" s="1559"/>
      <c r="V22" s="1558"/>
      <c r="W22" s="1559"/>
      <c r="X22" s="2543"/>
      <c r="Y22" s="3392"/>
      <c r="Z22" s="2542"/>
      <c r="AA22" s="1561">
        <v>1</v>
      </c>
      <c r="AB22" s="1561">
        <v>1</v>
      </c>
      <c r="AC22" s="1561">
        <v>1</v>
      </c>
    </row>
    <row r="23" spans="1:29" ht="15">
      <c r="A23" s="531"/>
      <c r="B23" s="870" t="s">
        <v>297</v>
      </c>
      <c r="C23" s="898"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392"/>
      <c r="Q23" s="1557" t="str">
        <f>B23</f>
        <v>自然及人文环境</v>
      </c>
      <c r="R23" s="1558" t="s">
        <v>8</v>
      </c>
      <c r="S23" s="1559">
        <f>F23</f>
        <v>100</v>
      </c>
      <c r="T23" s="1558" t="s">
        <v>8</v>
      </c>
      <c r="U23" s="1559">
        <f>H23</f>
        <v>100</v>
      </c>
      <c r="V23" s="1558" t="s">
        <v>8</v>
      </c>
      <c r="W23" s="1559">
        <f>J23</f>
        <v>100</v>
      </c>
      <c r="X23" s="1552"/>
      <c r="Y23" s="3392"/>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5"/>
      <c r="M24" s="2117"/>
      <c r="N24" s="2117"/>
      <c r="O24" s="2124"/>
      <c r="P24" s="3392"/>
      <c r="Q24" s="1557"/>
      <c r="R24" s="1558"/>
      <c r="S24" s="1559"/>
      <c r="T24" s="1558"/>
      <c r="U24" s="1559"/>
      <c r="V24" s="1558"/>
      <c r="W24" s="1559"/>
      <c r="X24" s="1552"/>
      <c r="Y24" s="3392"/>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392"/>
      <c r="Q25" s="1557" t="str">
        <f t="shared" ref="Q25:Q46" si="11">B25</f>
        <v>临街状况</v>
      </c>
      <c r="R25" s="1558" t="s">
        <v>8</v>
      </c>
      <c r="S25" s="1559">
        <f>F25</f>
        <v>100</v>
      </c>
      <c r="T25" s="1558" t="s">
        <v>8</v>
      </c>
      <c r="U25" s="1559">
        <f>H25</f>
        <v>100</v>
      </c>
      <c r="V25" s="1558" t="s">
        <v>8</v>
      </c>
      <c r="W25" s="1559">
        <f>J25</f>
        <v>100</v>
      </c>
      <c r="X25" s="1552"/>
      <c r="Y25" s="3392"/>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392"/>
      <c r="Q26" s="1557" t="str">
        <f t="shared" si="11"/>
        <v>平面位置/可视性</v>
      </c>
      <c r="R26" s="1558" t="s">
        <v>8</v>
      </c>
      <c r="S26" s="1559">
        <f>F26</f>
        <v>100</v>
      </c>
      <c r="T26" s="1558" t="s">
        <v>8</v>
      </c>
      <c r="U26" s="1559">
        <f>H26</f>
        <v>100</v>
      </c>
      <c r="V26" s="1558" t="s">
        <v>8</v>
      </c>
      <c r="W26" s="1559">
        <f>J26</f>
        <v>100</v>
      </c>
      <c r="X26" s="1552"/>
      <c r="Y26" s="3392"/>
      <c r="Z26" s="1560" t="str">
        <f>Q26</f>
        <v>平面位置/可视性</v>
      </c>
      <c r="AA26" s="1561">
        <f t="shared" si="3"/>
        <v>1</v>
      </c>
      <c r="AB26" s="1561">
        <f t="shared" si="4"/>
        <v>1</v>
      </c>
      <c r="AC26" s="1561">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392"/>
      <c r="Q27" s="1145" t="str">
        <f t="shared" si="11"/>
        <v>人流量</v>
      </c>
      <c r="R27" s="1553" t="s">
        <v>8</v>
      </c>
      <c r="S27" s="1554">
        <f>F27</f>
        <v>100</v>
      </c>
      <c r="T27" s="1553" t="s">
        <v>8</v>
      </c>
      <c r="U27" s="1554">
        <f>H27</f>
        <v>100</v>
      </c>
      <c r="V27" s="1553" t="s">
        <v>8</v>
      </c>
      <c r="W27" s="1554">
        <f>J27</f>
        <v>100</v>
      </c>
      <c r="X27" s="1555"/>
      <c r="Y27" s="3392"/>
      <c r="Z27" s="1144"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392"/>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2"/>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392"/>
      <c r="Q29" s="1557">
        <f t="shared" si="11"/>
        <v>111</v>
      </c>
      <c r="R29" s="1558" t="s">
        <v>8</v>
      </c>
      <c r="S29" s="1559">
        <f t="shared" si="12"/>
        <v>100</v>
      </c>
      <c r="T29" s="1558" t="s">
        <v>8</v>
      </c>
      <c r="U29" s="1559">
        <f t="shared" si="13"/>
        <v>100</v>
      </c>
      <c r="V29" s="1558" t="s">
        <v>8</v>
      </c>
      <c r="W29" s="1559">
        <f t="shared" si="14"/>
        <v>100</v>
      </c>
      <c r="X29" s="1552"/>
      <c r="Y29" s="3392"/>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392"/>
      <c r="Q30" s="1557">
        <f t="shared" si="11"/>
        <v>111</v>
      </c>
      <c r="R30" s="1558" t="s">
        <v>8</v>
      </c>
      <c r="S30" s="1559">
        <f t="shared" si="12"/>
        <v>100</v>
      </c>
      <c r="T30" s="1558" t="s">
        <v>8</v>
      </c>
      <c r="U30" s="1559">
        <f t="shared" si="13"/>
        <v>100</v>
      </c>
      <c r="V30" s="1558" t="s">
        <v>8</v>
      </c>
      <c r="W30" s="1559">
        <f t="shared" si="14"/>
        <v>100</v>
      </c>
      <c r="X30" s="1552"/>
      <c r="Y30" s="3392"/>
      <c r="Z30" s="1560">
        <f t="shared" si="15"/>
        <v>111</v>
      </c>
      <c r="AA30" s="1561">
        <f t="shared" si="3"/>
        <v>1</v>
      </c>
      <c r="AB30" s="1561">
        <f t="shared" si="4"/>
        <v>1</v>
      </c>
      <c r="AC30" s="1561">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392"/>
      <c r="Q31" s="1557">
        <f t="shared" si="11"/>
        <v>111</v>
      </c>
      <c r="R31" s="1558" t="s">
        <v>8</v>
      </c>
      <c r="S31" s="1559">
        <f t="shared" si="12"/>
        <v>100</v>
      </c>
      <c r="T31" s="1558" t="s">
        <v>8</v>
      </c>
      <c r="U31" s="1559">
        <f t="shared" si="13"/>
        <v>100</v>
      </c>
      <c r="V31" s="1558" t="s">
        <v>8</v>
      </c>
      <c r="W31" s="1559">
        <f t="shared" si="14"/>
        <v>100</v>
      </c>
      <c r="X31" s="1552"/>
      <c r="Y31" s="3392"/>
      <c r="Z31" s="1560">
        <f t="shared" si="15"/>
        <v>111</v>
      </c>
      <c r="AA31" s="1561">
        <f t="shared" si="3"/>
        <v>1</v>
      </c>
      <c r="AB31" s="1561">
        <f t="shared" si="4"/>
        <v>1</v>
      </c>
      <c r="AC31" s="1561">
        <f t="shared" si="5"/>
        <v>1</v>
      </c>
    </row>
    <row r="32" spans="1:29" ht="15">
      <c r="A32" s="2860"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393" t="s">
        <v>550</v>
      </c>
      <c r="Q32" s="1557" t="str">
        <f t="shared" si="11"/>
        <v>商业类型</v>
      </c>
      <c r="R32" s="1558" t="s">
        <v>8</v>
      </c>
      <c r="S32" s="1559">
        <f t="shared" si="12"/>
        <v>100</v>
      </c>
      <c r="T32" s="1558" t="s">
        <v>8</v>
      </c>
      <c r="U32" s="1559">
        <f t="shared" si="13"/>
        <v>100</v>
      </c>
      <c r="V32" s="1558" t="s">
        <v>8</v>
      </c>
      <c r="W32" s="1559">
        <f t="shared" si="14"/>
        <v>100</v>
      </c>
      <c r="X32" s="1552"/>
      <c r="Y32" s="3394" t="s">
        <v>550</v>
      </c>
      <c r="Z32" s="1560" t="str">
        <f t="shared" si="15"/>
        <v>商业类型</v>
      </c>
      <c r="AA32" s="1561">
        <f t="shared" si="3"/>
        <v>1</v>
      </c>
      <c r="AB32" s="1561">
        <f t="shared" si="4"/>
        <v>1</v>
      </c>
      <c r="AC32" s="1561">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394"/>
      <c r="Q33" s="1589" t="str">
        <f t="shared" si="11"/>
        <v>项目建筑规模</v>
      </c>
      <c r="R33" s="1562" t="s">
        <v>8</v>
      </c>
      <c r="S33" s="1563" t="e">
        <f t="shared" si="12"/>
        <v>#N/A</v>
      </c>
      <c r="T33" s="1562" t="s">
        <v>8</v>
      </c>
      <c r="U33" s="1563" t="e">
        <f t="shared" si="13"/>
        <v>#N/A</v>
      </c>
      <c r="V33" s="1562" t="s">
        <v>8</v>
      </c>
      <c r="W33" s="1563" t="e">
        <f t="shared" si="14"/>
        <v>#N/A</v>
      </c>
      <c r="X33" s="1564"/>
      <c r="Y33" s="3394"/>
      <c r="Z33" s="1565" t="str">
        <f t="shared" si="15"/>
        <v>项目建筑规模</v>
      </c>
      <c r="AA33" s="1561" t="e">
        <f t="shared" si="3"/>
        <v>#N/A</v>
      </c>
      <c r="AB33" s="1561" t="e">
        <f t="shared" si="4"/>
        <v>#N/A</v>
      </c>
      <c r="AC33" s="1561"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394"/>
      <c r="Q34" s="1557" t="str">
        <f t="shared" si="11"/>
        <v>建筑结构</v>
      </c>
      <c r="R34" s="1558" t="s">
        <v>8</v>
      </c>
      <c r="S34" s="1559">
        <f t="shared" si="12"/>
        <v>100</v>
      </c>
      <c r="T34" s="1558" t="s">
        <v>8</v>
      </c>
      <c r="U34" s="1559">
        <f t="shared" si="13"/>
        <v>100</v>
      </c>
      <c r="V34" s="1558" t="s">
        <v>8</v>
      </c>
      <c r="W34" s="1559">
        <f t="shared" si="14"/>
        <v>100</v>
      </c>
      <c r="X34" s="1552"/>
      <c r="Y34" s="3394"/>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394"/>
      <c r="Q35" s="1557" t="str">
        <f t="shared" si="11"/>
        <v>公共部分装修</v>
      </c>
      <c r="R35" s="1558" t="s">
        <v>8</v>
      </c>
      <c r="S35" s="1559">
        <f t="shared" si="12"/>
        <v>100</v>
      </c>
      <c r="T35" s="1558" t="s">
        <v>8</v>
      </c>
      <c r="U35" s="1559">
        <f t="shared" si="13"/>
        <v>100</v>
      </c>
      <c r="V35" s="1558" t="s">
        <v>8</v>
      </c>
      <c r="W35" s="1559">
        <f t="shared" si="14"/>
        <v>100</v>
      </c>
      <c r="X35" s="1552"/>
      <c r="Y35" s="3394"/>
      <c r="Z35" s="1560" t="str">
        <f t="shared" si="15"/>
        <v>公共部分装修</v>
      </c>
      <c r="AA35" s="1561">
        <f t="shared" si="3"/>
        <v>1</v>
      </c>
      <c r="AB35" s="1561">
        <f t="shared" si="4"/>
        <v>1</v>
      </c>
      <c r="AC35" s="1561">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394"/>
      <c r="Q36" s="1557" t="str">
        <f t="shared" si="11"/>
        <v>成新度</v>
      </c>
      <c r="R36" s="1558" t="s">
        <v>8</v>
      </c>
      <c r="S36" s="1559" t="e">
        <f t="shared" si="12"/>
        <v>#N/A</v>
      </c>
      <c r="T36" s="1558" t="s">
        <v>8</v>
      </c>
      <c r="U36" s="1559" t="e">
        <f t="shared" si="13"/>
        <v>#N/A</v>
      </c>
      <c r="V36" s="1558" t="s">
        <v>8</v>
      </c>
      <c r="W36" s="1559" t="e">
        <f t="shared" si="14"/>
        <v>#N/A</v>
      </c>
      <c r="X36" s="1552"/>
      <c r="Y36" s="3394"/>
      <c r="Z36" s="1560" t="str">
        <f t="shared" si="15"/>
        <v>成新度</v>
      </c>
      <c r="AA36" s="1561" t="e">
        <f t="shared" si="3"/>
        <v>#N/A</v>
      </c>
      <c r="AB36" s="1561" t="e">
        <f t="shared" si="4"/>
        <v>#N/A</v>
      </c>
      <c r="AC36" s="1561" t="e">
        <f t="shared" si="5"/>
        <v>#N/A</v>
      </c>
    </row>
    <row r="37" spans="1:29" s="1214" customFormat="1" ht="15">
      <c r="A37" s="599"/>
      <c r="B37" s="1878"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394"/>
      <c r="Q37" s="1145" t="str">
        <f t="shared" si="11"/>
        <v>市政基础设施</v>
      </c>
      <c r="R37" s="1553" t="s">
        <v>8</v>
      </c>
      <c r="S37" s="1554">
        <f t="shared" si="12"/>
        <v>100</v>
      </c>
      <c r="T37" s="1553" t="s">
        <v>8</v>
      </c>
      <c r="U37" s="1554">
        <f t="shared" si="13"/>
        <v>100</v>
      </c>
      <c r="V37" s="1553" t="s">
        <v>8</v>
      </c>
      <c r="W37" s="1554">
        <f t="shared" si="14"/>
        <v>100</v>
      </c>
      <c r="X37" s="1555"/>
      <c r="Y37" s="3394"/>
      <c r="Z37" s="1144"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394" t="s">
        <v>766</v>
      </c>
      <c r="Q38" s="1557" t="str">
        <f t="shared" si="11"/>
        <v>业态</v>
      </c>
      <c r="R38" s="1558" t="s">
        <v>8</v>
      </c>
      <c r="S38" s="1559">
        <f t="shared" si="12"/>
        <v>100</v>
      </c>
      <c r="T38" s="1558" t="s">
        <v>8</v>
      </c>
      <c r="U38" s="1559">
        <f t="shared" si="13"/>
        <v>100</v>
      </c>
      <c r="V38" s="1558" t="s">
        <v>8</v>
      </c>
      <c r="W38" s="1559">
        <f t="shared" si="14"/>
        <v>100</v>
      </c>
      <c r="X38" s="1552"/>
      <c r="Y38" s="3394"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394"/>
      <c r="Q39" s="1557" t="str">
        <f t="shared" si="11"/>
        <v>层高</v>
      </c>
      <c r="R39" s="1558" t="s">
        <v>8</v>
      </c>
      <c r="S39" s="1559">
        <f t="shared" si="12"/>
        <v>100</v>
      </c>
      <c r="T39" s="1558" t="s">
        <v>8</v>
      </c>
      <c r="U39" s="1559">
        <f t="shared" si="13"/>
        <v>100</v>
      </c>
      <c r="V39" s="1558" t="s">
        <v>8</v>
      </c>
      <c r="W39" s="1559">
        <f t="shared" si="14"/>
        <v>100</v>
      </c>
      <c r="X39" s="1552"/>
      <c r="Y39" s="3394"/>
      <c r="Z39" s="1560" t="str">
        <f t="shared" si="15"/>
        <v>层高</v>
      </c>
      <c r="AA39" s="1561">
        <f t="shared" si="3"/>
        <v>1</v>
      </c>
      <c r="AB39" s="1561">
        <f t="shared" si="4"/>
        <v>1</v>
      </c>
      <c r="AC39" s="1561">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394"/>
      <c r="Q40" s="1557" t="str">
        <f t="shared" si="11"/>
        <v>单套建筑面积</v>
      </c>
      <c r="R40" s="1558" t="s">
        <v>8</v>
      </c>
      <c r="S40" s="1559">
        <f t="shared" si="12"/>
        <v>100</v>
      </c>
      <c r="T40" s="1558" t="s">
        <v>8</v>
      </c>
      <c r="U40" s="1559">
        <f t="shared" si="13"/>
        <v>100</v>
      </c>
      <c r="V40" s="1558" t="s">
        <v>8</v>
      </c>
      <c r="W40" s="1559">
        <f t="shared" si="14"/>
        <v>100</v>
      </c>
      <c r="X40" s="1552"/>
      <c r="Y40" s="3394"/>
      <c r="Z40" s="1560" t="str">
        <f t="shared" si="15"/>
        <v>单套建筑面积</v>
      </c>
      <c r="AA40" s="1561">
        <f t="shared" si="3"/>
        <v>1</v>
      </c>
      <c r="AB40" s="1561">
        <f t="shared" si="4"/>
        <v>1</v>
      </c>
      <c r="AC40" s="1561">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394"/>
      <c r="Q41" s="1589" t="str">
        <f t="shared" si="11"/>
        <v>进深比</v>
      </c>
      <c r="R41" s="1562" t="s">
        <v>8</v>
      </c>
      <c r="S41" s="1563">
        <f t="shared" si="12"/>
        <v>100</v>
      </c>
      <c r="T41" s="1562" t="s">
        <v>8</v>
      </c>
      <c r="U41" s="1563">
        <f t="shared" si="13"/>
        <v>100</v>
      </c>
      <c r="V41" s="1562" t="s">
        <v>8</v>
      </c>
      <c r="W41" s="1563">
        <f t="shared" si="14"/>
        <v>100</v>
      </c>
      <c r="X41" s="1564"/>
      <c r="Y41" s="3394"/>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394"/>
      <c r="Q42" s="1557" t="str">
        <f t="shared" si="11"/>
        <v>内部装修</v>
      </c>
      <c r="R42" s="1558" t="s">
        <v>8</v>
      </c>
      <c r="S42" s="1559">
        <f t="shared" si="12"/>
        <v>100</v>
      </c>
      <c r="T42" s="1558" t="s">
        <v>8</v>
      </c>
      <c r="U42" s="1559">
        <f t="shared" si="13"/>
        <v>100</v>
      </c>
      <c r="V42" s="1558" t="s">
        <v>8</v>
      </c>
      <c r="W42" s="1559">
        <f t="shared" si="14"/>
        <v>100</v>
      </c>
      <c r="X42" s="1552"/>
      <c r="Y42" s="3394"/>
      <c r="Z42" s="1560" t="str">
        <f t="shared" si="15"/>
        <v>内部装修</v>
      </c>
      <c r="AA42" s="1561">
        <f t="shared" si="3"/>
        <v>1</v>
      </c>
      <c r="AB42" s="1561">
        <f t="shared" si="4"/>
        <v>1</v>
      </c>
      <c r="AC42" s="1561">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394"/>
      <c r="Q43" s="1557" t="str">
        <f t="shared" si="11"/>
        <v>内部装修维护情况</v>
      </c>
      <c r="R43" s="1558" t="s">
        <v>8</v>
      </c>
      <c r="S43" s="1559">
        <f t="shared" si="12"/>
        <v>100</v>
      </c>
      <c r="T43" s="1558" t="s">
        <v>8</v>
      </c>
      <c r="U43" s="1559">
        <f t="shared" si="13"/>
        <v>100</v>
      </c>
      <c r="V43" s="1558" t="s">
        <v>8</v>
      </c>
      <c r="W43" s="1559">
        <f t="shared" si="14"/>
        <v>100</v>
      </c>
      <c r="X43" s="1552"/>
      <c r="Y43" s="3394"/>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394"/>
      <c r="Q44" s="1145">
        <f t="shared" si="11"/>
        <v>111</v>
      </c>
      <c r="R44" s="1553" t="s">
        <v>8</v>
      </c>
      <c r="S44" s="1554">
        <f t="shared" si="12"/>
        <v>100</v>
      </c>
      <c r="T44" s="1553" t="s">
        <v>8</v>
      </c>
      <c r="U44" s="1554">
        <f t="shared" si="13"/>
        <v>100</v>
      </c>
      <c r="V44" s="1553" t="s">
        <v>8</v>
      </c>
      <c r="W44" s="1554">
        <f t="shared" si="14"/>
        <v>100</v>
      </c>
      <c r="X44" s="1555"/>
      <c r="Y44" s="3394"/>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394"/>
      <c r="Q45" s="1557">
        <f t="shared" si="11"/>
        <v>111</v>
      </c>
      <c r="R45" s="1558" t="s">
        <v>8</v>
      </c>
      <c r="S45" s="1559">
        <f t="shared" si="12"/>
        <v>100</v>
      </c>
      <c r="T45" s="1558" t="s">
        <v>8</v>
      </c>
      <c r="U45" s="1559">
        <f t="shared" si="13"/>
        <v>100</v>
      </c>
      <c r="V45" s="1558" t="s">
        <v>8</v>
      </c>
      <c r="W45" s="1559">
        <f t="shared" si="14"/>
        <v>100</v>
      </c>
      <c r="X45" s="1552"/>
      <c r="Y45" s="3394"/>
      <c r="Z45" s="1560">
        <f t="shared" si="15"/>
        <v>111</v>
      </c>
      <c r="AA45" s="1561">
        <f t="shared" si="3"/>
        <v>1</v>
      </c>
      <c r="AB45" s="1561">
        <f t="shared" si="4"/>
        <v>1</v>
      </c>
      <c r="AC45" s="1561">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499"/>
      <c r="Q46" s="1557">
        <f t="shared" si="11"/>
        <v>111</v>
      </c>
      <c r="R46" s="1558" t="s">
        <v>8</v>
      </c>
      <c r="S46" s="1559">
        <f t="shared" si="12"/>
        <v>100</v>
      </c>
      <c r="T46" s="1558" t="s">
        <v>8</v>
      </c>
      <c r="U46" s="1559">
        <f t="shared" si="13"/>
        <v>100</v>
      </c>
      <c r="V46" s="1558" t="s">
        <v>8</v>
      </c>
      <c r="W46" s="1559">
        <f t="shared" si="14"/>
        <v>100</v>
      </c>
      <c r="X46" s="1552"/>
      <c r="Y46" s="3499"/>
      <c r="Z46" s="1560">
        <f t="shared" si="15"/>
        <v>111</v>
      </c>
      <c r="AA46" s="1561">
        <f t="shared" si="3"/>
        <v>1</v>
      </c>
      <c r="AB46" s="1561">
        <f t="shared" si="4"/>
        <v>1</v>
      </c>
      <c r="AC46" s="1561">
        <f t="shared" si="5"/>
        <v>1</v>
      </c>
    </row>
    <row r="47" spans="1:29" ht="14.4">
      <c r="A47" s="606" t="s">
        <v>736</v>
      </c>
      <c r="B47" s="885"/>
      <c r="C47" s="2589" t="s">
        <v>1</v>
      </c>
      <c r="D47" s="2590"/>
      <c r="E47" s="2591"/>
      <c r="F47" s="2592"/>
      <c r="G47" s="2593"/>
      <c r="H47" s="2594"/>
      <c r="I47" s="2591"/>
      <c r="J47" s="2594"/>
      <c r="K47" s="1595"/>
      <c r="L47" s="2127"/>
      <c r="M47" s="2128"/>
      <c r="N47" s="2117"/>
      <c r="O47" s="2128"/>
      <c r="P47" s="3389" t="str">
        <f>A47</f>
        <v>成交单价（元/平方米）</v>
      </c>
      <c r="Q47" s="3389"/>
      <c r="R47" s="3498">
        <f>E47</f>
        <v>0</v>
      </c>
      <c r="S47" s="3498"/>
      <c r="T47" s="3498">
        <f>G47</f>
        <v>0</v>
      </c>
      <c r="U47" s="3498"/>
      <c r="V47" s="3498">
        <f>I47</f>
        <v>0</v>
      </c>
      <c r="W47" s="3498"/>
      <c r="X47" s="1544"/>
      <c r="Y47" s="1566"/>
      <c r="Z47" s="1544"/>
      <c r="AA47" s="1544"/>
      <c r="AB47" s="1544"/>
      <c r="AC47" s="1544"/>
    </row>
    <row r="48" spans="1:29" ht="15" thickBot="1">
      <c r="A48" s="614" t="s">
        <v>2759</v>
      </c>
      <c r="B48" s="886"/>
      <c r="C48" s="2595" t="e">
        <f>R49</f>
        <v>#DIV/0!</v>
      </c>
      <c r="D48" s="2596"/>
      <c r="E48" s="2597" t="e">
        <f>R48</f>
        <v>#DIV/0!</v>
      </c>
      <c r="F48" s="2597"/>
      <c r="G48" s="2595" t="e">
        <f>T48</f>
        <v>#DIV/0!</v>
      </c>
      <c r="H48" s="2596"/>
      <c r="I48" s="2597" t="e">
        <f>V48</f>
        <v>#DIV/0!</v>
      </c>
      <c r="J48" s="2596"/>
      <c r="K48" s="1596"/>
      <c r="L48" s="2127"/>
      <c r="M48" s="2128"/>
      <c r="N48" s="2117"/>
      <c r="O48" s="2128"/>
      <c r="P48" s="3389" t="str">
        <f>A48</f>
        <v>比较价格（元/平方米）</v>
      </c>
      <c r="Q48" s="3389"/>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44"/>
      <c r="Y48" s="1544"/>
      <c r="Z48" s="1544"/>
      <c r="AA48" s="1544"/>
      <c r="AB48" s="1544"/>
      <c r="AC48" s="1544"/>
    </row>
    <row r="49" spans="1:29" ht="15" thickBot="1">
      <c r="A49" s="620" t="s">
        <v>2930</v>
      </c>
      <c r="B49" s="621"/>
      <c r="C49" s="2598" t="e">
        <f>R49</f>
        <v>#DIV/0!</v>
      </c>
      <c r="D49" s="2598"/>
      <c r="E49" s="2598"/>
      <c r="F49" s="2598"/>
      <c r="G49" s="2598"/>
      <c r="H49" s="2598"/>
      <c r="I49" s="2598"/>
      <c r="J49" s="2598"/>
      <c r="K49" s="1597"/>
      <c r="L49" s="2127"/>
      <c r="M49" s="2128"/>
      <c r="N49" s="2117"/>
      <c r="O49" s="2128"/>
      <c r="P49" s="3411" t="str">
        <f>A49</f>
        <v>估价对象XX用房的比较价格（楼面单价，元/平方米）</v>
      </c>
      <c r="Q49" s="3412"/>
      <c r="R49" s="3497" t="e">
        <f>IF(F1="售价",ROUND(AVERAGE(R48:V48),0),ROUND(AVERAGE(R48:V48),1))</f>
        <v>#DIV/0!</v>
      </c>
      <c r="S49" s="3497"/>
      <c r="T49" s="3497"/>
      <c r="U49" s="3497"/>
      <c r="V49" s="3497"/>
      <c r="W49" s="3497"/>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1" customFormat="1" ht="14.4">
      <c r="A58" s="644" t="s">
        <v>529</v>
      </c>
      <c r="B58" s="645"/>
      <c r="C58" s="2755" t="str">
        <f>YEAR(C7)&amp;"-"&amp;MONTH(C7)</f>
        <v>2020-1</v>
      </c>
      <c r="D58" s="2757">
        <f>EDATE(C58,-1)</f>
        <v>43800</v>
      </c>
      <c r="E58" s="2757">
        <f t="shared" ref="E58:O58" si="16">EDATE(D58,-1)</f>
        <v>43770</v>
      </c>
      <c r="F58" s="2757">
        <f t="shared" si="16"/>
        <v>43739</v>
      </c>
      <c r="G58" s="2757">
        <f t="shared" si="16"/>
        <v>43709</v>
      </c>
      <c r="H58" s="2757">
        <f t="shared" si="16"/>
        <v>43678</v>
      </c>
      <c r="I58" s="2757">
        <f t="shared" si="16"/>
        <v>43647</v>
      </c>
      <c r="J58" s="2757">
        <f t="shared" si="16"/>
        <v>43617</v>
      </c>
      <c r="K58" s="2757">
        <f t="shared" si="16"/>
        <v>43586</v>
      </c>
      <c r="L58" s="2757">
        <f t="shared" si="16"/>
        <v>43556</v>
      </c>
      <c r="M58" s="2757">
        <f t="shared" si="16"/>
        <v>43525</v>
      </c>
      <c r="N58" s="2757">
        <f t="shared" si="16"/>
        <v>43497</v>
      </c>
      <c r="O58" s="2757">
        <f t="shared" si="16"/>
        <v>43466</v>
      </c>
      <c r="P58" s="2143"/>
      <c r="Q58" s="2144"/>
      <c r="R58" s="2144"/>
      <c r="S58" s="2144"/>
      <c r="T58" s="2144"/>
      <c r="U58" s="2144"/>
      <c r="V58" s="2144"/>
      <c r="W58" s="2144"/>
      <c r="X58" s="2144"/>
      <c r="Y58" s="2144"/>
      <c r="Z58" s="2144"/>
      <c r="AA58" s="2144"/>
      <c r="AB58" s="2144"/>
      <c r="AC58" s="2144"/>
    </row>
    <row r="59" spans="1:29" s="1214" customFormat="1">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4" customFormat="1" ht="1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4.4">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4.4"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9"/>
    </row>
    <row r="63" spans="1:29" ht="14.4">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4.4"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3" customFormat="1" ht="14.4"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4.4"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4.4"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4.4"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4.4"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4.4"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4.4">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 thickTop="1">
      <c r="A80" s="668"/>
      <c r="B80" s="1879" t="s">
        <v>2556</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 thickTop="1">
      <c r="A82" s="668"/>
      <c r="B82" s="2559" t="s">
        <v>2557</v>
      </c>
      <c r="C82" s="2560" t="s">
        <v>2558</v>
      </c>
      <c r="D82" s="2560" t="s">
        <v>2559</v>
      </c>
      <c r="E82" s="2560" t="s">
        <v>2560</v>
      </c>
      <c r="F82" s="2560" t="s">
        <v>2561</v>
      </c>
      <c r="G82" s="2560" t="s">
        <v>2562</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4" customFormat="1" ht="14.4"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4.4"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3" customFormat="1" ht="14.4"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4.4"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4.4"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4.4"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4.4"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4.4">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4.4"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7"/>
      <c r="B112" s="1879" t="s">
        <v>2555</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3"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3"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4.4"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4.4"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4.4"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4.4"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4.4"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4.4"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4"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502" t="s">
        <v>777</v>
      </c>
      <c r="C1" s="503" t="s">
        <v>720</v>
      </c>
      <c r="D1" s="848"/>
      <c r="E1" s="505"/>
      <c r="F1" s="2760"/>
      <c r="G1" s="1585" t="s">
        <v>721</v>
      </c>
      <c r="H1" s="505"/>
      <c r="I1" s="505"/>
      <c r="J1" s="505"/>
      <c r="K1" s="506"/>
      <c r="L1" s="1547"/>
      <c r="M1" s="1548"/>
      <c r="N1" s="1548"/>
      <c r="O1" s="1548"/>
      <c r="P1" s="2190"/>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2190"/>
      <c r="Q2" s="1549"/>
      <c r="R2" s="1549"/>
      <c r="S2" s="1549"/>
      <c r="T2" s="1549"/>
      <c r="U2" s="1549"/>
      <c r="V2" s="1549"/>
      <c r="W2" s="1549"/>
      <c r="X2" s="1549"/>
      <c r="Y2" s="1549"/>
      <c r="Z2" s="1549"/>
      <c r="AA2" s="1549"/>
      <c r="AB2" s="1549"/>
      <c r="AC2" s="1550"/>
    </row>
    <row r="3" spans="1:29" s="1330"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9"/>
      <c r="R3" s="1549"/>
      <c r="S3" s="1549"/>
      <c r="T3" s="1549"/>
      <c r="U3" s="1549"/>
      <c r="V3" s="1549"/>
      <c r="W3" s="1549"/>
      <c r="X3" s="1549"/>
      <c r="Y3" s="1549"/>
      <c r="Z3" s="1549"/>
      <c r="AA3" s="1549"/>
      <c r="AB3" s="1549"/>
      <c r="AC3" s="1550"/>
    </row>
    <row r="4" spans="1:29" ht="14.4">
      <c r="A4" s="511" t="s">
        <v>521</v>
      </c>
      <c r="B4" s="512"/>
      <c r="C4" s="3395" t="s">
        <v>522</v>
      </c>
      <c r="D4" s="3396"/>
      <c r="E4" s="3420" t="s">
        <v>523</v>
      </c>
      <c r="F4" s="3421"/>
      <c r="G4" s="3395" t="s">
        <v>524</v>
      </c>
      <c r="H4" s="3396"/>
      <c r="I4" s="3395" t="s">
        <v>525</v>
      </c>
      <c r="J4" s="3396"/>
      <c r="K4" s="513" t="s">
        <v>526</v>
      </c>
      <c r="L4" s="2116"/>
      <c r="M4" s="2117"/>
      <c r="N4" s="2117"/>
      <c r="O4" s="2117"/>
      <c r="P4" s="3500" t="s">
        <v>527</v>
      </c>
      <c r="Q4" s="3398"/>
      <c r="R4" s="3383" t="s">
        <v>523</v>
      </c>
      <c r="S4" s="3384"/>
      <c r="T4" s="3383" t="s">
        <v>524</v>
      </c>
      <c r="U4" s="3384"/>
      <c r="V4" s="3403" t="s">
        <v>525</v>
      </c>
      <c r="W4" s="3403"/>
      <c r="X4" s="1552"/>
      <c r="Y4" s="3383" t="s">
        <v>527</v>
      </c>
      <c r="Z4" s="3384"/>
      <c r="AA4" s="3378" t="s">
        <v>523</v>
      </c>
      <c r="AB4" s="3378" t="s">
        <v>524</v>
      </c>
      <c r="AC4" s="3378" t="s">
        <v>525</v>
      </c>
    </row>
    <row r="5" spans="1:29">
      <c r="A5" s="514"/>
      <c r="B5" s="515"/>
      <c r="C5" s="3408" t="s">
        <v>2924</v>
      </c>
      <c r="D5" s="3407"/>
      <c r="E5" s="3422" t="s">
        <v>2925</v>
      </c>
      <c r="F5" s="3423"/>
      <c r="G5" s="3408" t="s">
        <v>2926</v>
      </c>
      <c r="H5" s="3407"/>
      <c r="I5" s="3408" t="s">
        <v>2927</v>
      </c>
      <c r="J5" s="3407"/>
      <c r="K5" s="513"/>
      <c r="L5" s="2116"/>
      <c r="M5" s="2117"/>
      <c r="N5" s="2117"/>
      <c r="O5" s="2117"/>
      <c r="P5" s="3501"/>
      <c r="Q5" s="3400"/>
      <c r="R5" s="3385"/>
      <c r="S5" s="3386"/>
      <c r="T5" s="3385"/>
      <c r="U5" s="3386"/>
      <c r="V5" s="3403"/>
      <c r="W5" s="3403"/>
      <c r="X5" s="1552"/>
      <c r="Y5" s="3385"/>
      <c r="Z5" s="3386"/>
      <c r="AA5" s="3379"/>
      <c r="AB5" s="3379"/>
      <c r="AC5" s="3379"/>
    </row>
    <row r="6" spans="1:29" ht="15" thickBot="1">
      <c r="A6" s="516"/>
      <c r="B6" s="517"/>
      <c r="C6" s="3424" t="s">
        <v>2928</v>
      </c>
      <c r="D6" s="3405"/>
      <c r="E6" s="3425" t="s">
        <v>2928</v>
      </c>
      <c r="F6" s="3426"/>
      <c r="G6" s="3424" t="s">
        <v>2928</v>
      </c>
      <c r="H6" s="3405"/>
      <c r="I6" s="3424" t="s">
        <v>2928</v>
      </c>
      <c r="J6" s="3405"/>
      <c r="K6" s="513" t="s">
        <v>528</v>
      </c>
      <c r="L6" s="2116"/>
      <c r="M6" s="2117"/>
      <c r="N6" s="2117"/>
      <c r="O6" s="2117"/>
      <c r="P6" s="3502"/>
      <c r="Q6" s="3402"/>
      <c r="R6" s="3385"/>
      <c r="S6" s="3386"/>
      <c r="T6" s="3387"/>
      <c r="U6" s="3388"/>
      <c r="V6" s="3403"/>
      <c r="W6" s="3403"/>
      <c r="X6" s="1552"/>
      <c r="Y6" s="3387"/>
      <c r="Z6" s="3388"/>
      <c r="AA6" s="3380"/>
      <c r="AB6" s="3380"/>
      <c r="AC6" s="3380"/>
    </row>
    <row r="7" spans="1:29" s="1214" customFormat="1" ht="15" thickBot="1">
      <c r="A7" s="2865"/>
      <c r="B7" s="2872" t="s">
        <v>529</v>
      </c>
      <c r="C7" s="518">
        <f>'数据-取费表'!B2</f>
        <v>43840</v>
      </c>
      <c r="D7" s="519">
        <v>100</v>
      </c>
      <c r="E7" s="520"/>
      <c r="F7" s="521">
        <f>SUMIF(59:59,YEAR(E7)&amp;"-"&amp;MONTH(E7),60:60)</f>
        <v>0</v>
      </c>
      <c r="G7" s="520"/>
      <c r="H7" s="519">
        <f>SUMIF(59:59,YEAR(G7)&amp;"-"&amp;MONTH(G7),60:60)</f>
        <v>0</v>
      </c>
      <c r="I7" s="520"/>
      <c r="J7" s="519">
        <f>SUMIF(59:59,YEAR(I7)&amp;"-"&amp;MONTH(I7),60:60)</f>
        <v>0</v>
      </c>
      <c r="K7" s="523"/>
      <c r="L7" s="2118"/>
      <c r="M7" s="2119"/>
      <c r="N7" s="2119"/>
      <c r="O7" s="2119"/>
      <c r="P7" s="3390" t="s">
        <v>530</v>
      </c>
      <c r="Q7" s="3390"/>
      <c r="R7" s="1553" t="s">
        <v>8</v>
      </c>
      <c r="S7" s="1554">
        <f t="shared" ref="S7:S15" si="0">F7</f>
        <v>0</v>
      </c>
      <c r="T7" s="1553" t="s">
        <v>8</v>
      </c>
      <c r="U7" s="1554">
        <f t="shared" ref="U7:U15" si="1">H7</f>
        <v>0</v>
      </c>
      <c r="V7" s="1553" t="s">
        <v>8</v>
      </c>
      <c r="W7" s="1554">
        <f t="shared" ref="W7:W15" si="2">J7</f>
        <v>0</v>
      </c>
      <c r="X7" s="1555"/>
      <c r="Y7" s="3381" t="s">
        <v>530</v>
      </c>
      <c r="Z7" s="3382"/>
      <c r="AA7" s="1556" t="e">
        <f>D7/F7</f>
        <v>#DIV/0!</v>
      </c>
      <c r="AB7" s="1556" t="e">
        <f>D7/H7</f>
        <v>#DIV/0!</v>
      </c>
      <c r="AC7" s="1556" t="e">
        <f>D7/J7</f>
        <v>#DIV/0!</v>
      </c>
    </row>
    <row r="8" spans="1:29" s="1214" customFormat="1" ht="1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390" t="s">
        <v>533</v>
      </c>
      <c r="Q8" s="3382"/>
      <c r="R8" s="1553" t="s">
        <v>8</v>
      </c>
      <c r="S8" s="1554">
        <f t="shared" si="0"/>
        <v>0</v>
      </c>
      <c r="T8" s="1553" t="s">
        <v>8</v>
      </c>
      <c r="U8" s="1554">
        <f t="shared" si="1"/>
        <v>0</v>
      </c>
      <c r="V8" s="1553" t="s">
        <v>8</v>
      </c>
      <c r="W8" s="1554">
        <f t="shared" si="2"/>
        <v>0</v>
      </c>
      <c r="X8" s="1555"/>
      <c r="Y8" s="3381" t="s">
        <v>533</v>
      </c>
      <c r="Z8" s="3382"/>
      <c r="AA8" s="1556" t="e">
        <f t="shared" ref="AA8:AA47" si="3">D8/F8</f>
        <v>#DIV/0!</v>
      </c>
      <c r="AB8" s="1556" t="e">
        <f t="shared" ref="AB8:AB47" si="4">D8/H8</f>
        <v>#DIV/0!</v>
      </c>
      <c r="AC8" s="1556" t="e">
        <f t="shared" ref="AC8:AC47" si="5">D8/J8</f>
        <v>#DIV/0!</v>
      </c>
    </row>
    <row r="9" spans="1:29" s="1214" customFormat="1" ht="14.4">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389" t="s">
        <v>535</v>
      </c>
      <c r="Q9" s="1145" t="str">
        <f t="shared" ref="Q9:Q15" si="6">B9</f>
        <v>用途</v>
      </c>
      <c r="R9" s="1553" t="s">
        <v>8</v>
      </c>
      <c r="S9" s="1554">
        <f t="shared" si="0"/>
        <v>100</v>
      </c>
      <c r="T9" s="1553" t="s">
        <v>8</v>
      </c>
      <c r="U9" s="1554">
        <f t="shared" si="1"/>
        <v>100</v>
      </c>
      <c r="V9" s="1553" t="s">
        <v>8</v>
      </c>
      <c r="W9" s="1554">
        <f t="shared" si="2"/>
        <v>100</v>
      </c>
      <c r="X9" s="1555"/>
      <c r="Y9" s="3346" t="s">
        <v>536</v>
      </c>
      <c r="Z9" s="1144" t="str">
        <f t="shared" ref="Z9:Z15" si="7">Q9</f>
        <v>用途</v>
      </c>
      <c r="AA9" s="1556">
        <f t="shared" si="3"/>
        <v>1</v>
      </c>
      <c r="AB9" s="1556">
        <f t="shared" si="4"/>
        <v>1</v>
      </c>
      <c r="AC9" s="1556">
        <f t="shared" si="5"/>
        <v>1</v>
      </c>
    </row>
    <row r="10" spans="1:29" s="1332" customFormat="1" ht="28.8">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389"/>
      <c r="Q10" s="1145" t="str">
        <f t="shared" si="6"/>
        <v>土地使用年限（年）</v>
      </c>
      <c r="R10" s="1553" t="s">
        <v>8</v>
      </c>
      <c r="S10" s="1554">
        <f t="shared" si="0"/>
        <v>100</v>
      </c>
      <c r="T10" s="1553" t="s">
        <v>8</v>
      </c>
      <c r="U10" s="1554">
        <f t="shared" si="1"/>
        <v>100</v>
      </c>
      <c r="V10" s="1553" t="s">
        <v>8</v>
      </c>
      <c r="W10" s="1554">
        <f t="shared" si="2"/>
        <v>100</v>
      </c>
      <c r="X10" s="1555"/>
      <c r="Y10" s="3346"/>
      <c r="Z10" s="1144"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89"/>
      <c r="Q11" s="1145" t="str">
        <f t="shared" si="6"/>
        <v>容积率</v>
      </c>
      <c r="R11" s="1553" t="s">
        <v>8</v>
      </c>
      <c r="S11" s="1554" t="e">
        <f t="shared" si="0"/>
        <v>#N/A</v>
      </c>
      <c r="T11" s="1553" t="s">
        <v>8</v>
      </c>
      <c r="U11" s="1554" t="e">
        <f t="shared" si="1"/>
        <v>#N/A</v>
      </c>
      <c r="V11" s="1553" t="s">
        <v>8</v>
      </c>
      <c r="W11" s="1554" t="e">
        <f t="shared" si="2"/>
        <v>#N/A</v>
      </c>
      <c r="X11" s="1555"/>
      <c r="Y11" s="3346"/>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389"/>
      <c r="Q12" s="1145">
        <f t="shared" si="6"/>
        <v>111</v>
      </c>
      <c r="R12" s="1553" t="s">
        <v>8</v>
      </c>
      <c r="S12" s="1554">
        <f t="shared" si="0"/>
        <v>100</v>
      </c>
      <c r="T12" s="1553" t="s">
        <v>8</v>
      </c>
      <c r="U12" s="1554">
        <f t="shared" si="1"/>
        <v>100</v>
      </c>
      <c r="V12" s="1553" t="s">
        <v>8</v>
      </c>
      <c r="W12" s="1554">
        <f t="shared" si="2"/>
        <v>100</v>
      </c>
      <c r="X12" s="1555"/>
      <c r="Y12" s="3346"/>
      <c r="Z12" s="1144">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389"/>
      <c r="Q13" s="1145">
        <f t="shared" si="6"/>
        <v>111</v>
      </c>
      <c r="R13" s="1553" t="s">
        <v>8</v>
      </c>
      <c r="S13" s="1554">
        <f t="shared" si="0"/>
        <v>100</v>
      </c>
      <c r="T13" s="1553" t="s">
        <v>8</v>
      </c>
      <c r="U13" s="1554">
        <f t="shared" si="1"/>
        <v>100</v>
      </c>
      <c r="V13" s="1553" t="s">
        <v>8</v>
      </c>
      <c r="W13" s="1554">
        <f t="shared" si="2"/>
        <v>100</v>
      </c>
      <c r="X13" s="1555"/>
      <c r="Y13" s="3346"/>
      <c r="Z13" s="1144">
        <f t="shared" si="7"/>
        <v>111</v>
      </c>
      <c r="AA13" s="1556">
        <f t="shared" si="3"/>
        <v>1</v>
      </c>
      <c r="AB13" s="1556">
        <f t="shared" si="4"/>
        <v>1</v>
      </c>
      <c r="AC13" s="1556">
        <f t="shared" si="5"/>
        <v>1</v>
      </c>
    </row>
    <row r="14" spans="1:29" ht="15.6" thickBot="1">
      <c r="A14" s="2871"/>
      <c r="B14" s="2877">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389"/>
      <c r="Q14" s="1145">
        <f t="shared" si="6"/>
        <v>111</v>
      </c>
      <c r="R14" s="1553" t="s">
        <v>8</v>
      </c>
      <c r="S14" s="1554">
        <f t="shared" si="0"/>
        <v>100</v>
      </c>
      <c r="T14" s="1553" t="s">
        <v>8</v>
      </c>
      <c r="U14" s="1554">
        <f t="shared" si="1"/>
        <v>100</v>
      </c>
      <c r="V14" s="1553" t="s">
        <v>8</v>
      </c>
      <c r="W14" s="1554">
        <f t="shared" si="2"/>
        <v>100</v>
      </c>
      <c r="X14" s="1555"/>
      <c r="Y14" s="3346"/>
      <c r="Z14" s="1144">
        <f t="shared" si="7"/>
        <v>111</v>
      </c>
      <c r="AA14" s="1556">
        <f t="shared" si="3"/>
        <v>1</v>
      </c>
      <c r="AB14" s="1556">
        <f t="shared" si="4"/>
        <v>1</v>
      </c>
      <c r="AC14" s="1556">
        <f t="shared" si="5"/>
        <v>1</v>
      </c>
    </row>
    <row r="15" spans="1:29" ht="15">
      <c r="A15" s="2863" t="s">
        <v>2753</v>
      </c>
      <c r="B15" s="546" t="s">
        <v>542</v>
      </c>
      <c r="C15" s="547" t="str">
        <f>估价对象房地状况!C5</f>
        <v>一般</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391" t="s">
        <v>540</v>
      </c>
      <c r="Q15" s="1557" t="str">
        <f t="shared" si="6"/>
        <v>办公集聚程度</v>
      </c>
      <c r="R15" s="1558" t="s">
        <v>8</v>
      </c>
      <c r="S15" s="1559">
        <f t="shared" si="0"/>
        <v>100</v>
      </c>
      <c r="T15" s="1558" t="s">
        <v>8</v>
      </c>
      <c r="U15" s="1559">
        <f t="shared" si="1"/>
        <v>100</v>
      </c>
      <c r="V15" s="1558" t="s">
        <v>8</v>
      </c>
      <c r="W15" s="1559">
        <f t="shared" si="2"/>
        <v>100</v>
      </c>
      <c r="X15" s="1552"/>
      <c r="Y15" s="3391"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5"/>
      <c r="M16" s="2117"/>
      <c r="N16" s="2117"/>
      <c r="O16" s="2117"/>
      <c r="P16" s="3392"/>
      <c r="Q16" s="1557"/>
      <c r="R16" s="1558"/>
      <c r="S16" s="1559"/>
      <c r="T16" s="1558"/>
      <c r="U16" s="1559"/>
      <c r="V16" s="1558"/>
      <c r="W16" s="1559"/>
      <c r="X16" s="1552"/>
      <c r="Y16" s="3392"/>
      <c r="Z16" s="1560"/>
      <c r="AA16" s="1561">
        <v>1</v>
      </c>
      <c r="AB16" s="1561">
        <v>1</v>
      </c>
      <c r="AC16" s="1561">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392"/>
      <c r="Q17" s="1557" t="str">
        <f>B17</f>
        <v>交通便捷度</v>
      </c>
      <c r="R17" s="1558" t="s">
        <v>8</v>
      </c>
      <c r="S17" s="1559">
        <f>F17</f>
        <v>100</v>
      </c>
      <c r="T17" s="1558" t="s">
        <v>8</v>
      </c>
      <c r="U17" s="1559">
        <f>H17</f>
        <v>100</v>
      </c>
      <c r="V17" s="1558" t="s">
        <v>8</v>
      </c>
      <c r="W17" s="1559">
        <f>J17</f>
        <v>100</v>
      </c>
      <c r="X17" s="1552"/>
      <c r="Y17" s="3392"/>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5"/>
      <c r="M18" s="2117"/>
      <c r="N18" s="2117"/>
      <c r="O18" s="2117"/>
      <c r="P18" s="3392"/>
      <c r="Q18" s="1557"/>
      <c r="R18" s="1558"/>
      <c r="S18" s="1559"/>
      <c r="T18" s="1558"/>
      <c r="U18" s="1559"/>
      <c r="V18" s="1558"/>
      <c r="W18" s="1559"/>
      <c r="X18" s="1552"/>
      <c r="Y18" s="3392"/>
      <c r="Z18" s="1560"/>
      <c r="AA18" s="1561">
        <v>1</v>
      </c>
      <c r="AB18" s="1561">
        <v>1</v>
      </c>
      <c r="AC18" s="1561">
        <v>1</v>
      </c>
    </row>
    <row r="19" spans="1:29" ht="15">
      <c r="A19" s="531"/>
      <c r="B19" s="2565" t="s">
        <v>2545</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392"/>
      <c r="Q19" s="1557" t="str">
        <f>B19</f>
        <v>公共配套设施</v>
      </c>
      <c r="R19" s="1558" t="s">
        <v>8</v>
      </c>
      <c r="S19" s="1559">
        <f>F19</f>
        <v>100</v>
      </c>
      <c r="T19" s="1558" t="s">
        <v>8</v>
      </c>
      <c r="U19" s="1559">
        <f>H19</f>
        <v>100</v>
      </c>
      <c r="V19" s="1558" t="s">
        <v>8</v>
      </c>
      <c r="W19" s="1559">
        <f>J19</f>
        <v>100</v>
      </c>
      <c r="X19" s="1552"/>
      <c r="Y19" s="3392"/>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5"/>
      <c r="M20" s="2117"/>
      <c r="N20" s="2117"/>
      <c r="O20" s="2117"/>
      <c r="P20" s="3392"/>
      <c r="Q20" s="1557"/>
      <c r="R20" s="1558"/>
      <c r="S20" s="1559"/>
      <c r="T20" s="1558"/>
      <c r="U20" s="1559"/>
      <c r="V20" s="1558"/>
      <c r="W20" s="1559"/>
      <c r="X20" s="1552"/>
      <c r="Y20" s="3392"/>
      <c r="Z20" s="1560"/>
      <c r="AA20" s="1561">
        <v>1</v>
      </c>
      <c r="AB20" s="1561">
        <v>1</v>
      </c>
      <c r="AC20" s="1561">
        <v>1</v>
      </c>
    </row>
    <row r="21" spans="1:29" ht="15">
      <c r="A21" s="531"/>
      <c r="B21" s="2553" t="s">
        <v>2557</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392"/>
      <c r="Q21" s="2541" t="str">
        <f>B21</f>
        <v>基础设施水平</v>
      </c>
      <c r="R21" s="1558" t="s">
        <v>8</v>
      </c>
      <c r="S21" s="1559">
        <f>F21</f>
        <v>100</v>
      </c>
      <c r="T21" s="1558" t="s">
        <v>8</v>
      </c>
      <c r="U21" s="1559">
        <f>H21</f>
        <v>100</v>
      </c>
      <c r="V21" s="1558" t="s">
        <v>8</v>
      </c>
      <c r="W21" s="1559">
        <f>J21</f>
        <v>100</v>
      </c>
      <c r="X21" s="2543"/>
      <c r="Y21" s="3392"/>
      <c r="Z21" s="2542"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4"/>
      <c r="L22" s="2125"/>
      <c r="M22" s="2117"/>
      <c r="N22" s="2117"/>
      <c r="O22" s="2117"/>
      <c r="P22" s="3392"/>
      <c r="Q22" s="2541"/>
      <c r="R22" s="1558"/>
      <c r="S22" s="1559"/>
      <c r="T22" s="1558"/>
      <c r="U22" s="1559"/>
      <c r="V22" s="1558"/>
      <c r="W22" s="1559"/>
      <c r="X22" s="2543"/>
      <c r="Y22" s="3392"/>
      <c r="Z22" s="2542"/>
      <c r="AA22" s="1561">
        <v>1</v>
      </c>
      <c r="AB22" s="1561">
        <v>1</v>
      </c>
      <c r="AC22" s="1561">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392"/>
      <c r="Q23" s="1557" t="str">
        <f>B23</f>
        <v>环境质量</v>
      </c>
      <c r="R23" s="1558" t="s">
        <v>8</v>
      </c>
      <c r="S23" s="1559">
        <f>F23</f>
        <v>100</v>
      </c>
      <c r="T23" s="1558" t="s">
        <v>8</v>
      </c>
      <c r="U23" s="1559">
        <f>H23</f>
        <v>100</v>
      </c>
      <c r="V23" s="1558" t="s">
        <v>8</v>
      </c>
      <c r="W23" s="1559">
        <f>J23</f>
        <v>100</v>
      </c>
      <c r="X23" s="1552"/>
      <c r="Y23" s="3392"/>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5"/>
      <c r="M24" s="2117"/>
      <c r="N24" s="2117"/>
      <c r="O24" s="2117"/>
      <c r="P24" s="3392"/>
      <c r="Q24" s="1557"/>
      <c r="R24" s="1558"/>
      <c r="S24" s="1559"/>
      <c r="T24" s="1558"/>
      <c r="U24" s="1559"/>
      <c r="V24" s="1558"/>
      <c r="W24" s="1559"/>
      <c r="X24" s="1552"/>
      <c r="Y24" s="3392"/>
      <c r="Z24" s="1560"/>
      <c r="AA24" s="1561">
        <v>1</v>
      </c>
      <c r="AB24" s="1561">
        <v>1</v>
      </c>
      <c r="AC24" s="1561">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392"/>
      <c r="Q25" s="1557" t="str">
        <f>B25</f>
        <v>毗邻道路的类型与等级</v>
      </c>
      <c r="R25" s="1558" t="s">
        <v>8</v>
      </c>
      <c r="S25" s="1559">
        <f>F25</f>
        <v>100</v>
      </c>
      <c r="T25" s="1558" t="s">
        <v>8</v>
      </c>
      <c r="U25" s="1559">
        <f>H25</f>
        <v>100</v>
      </c>
      <c r="V25" s="1558" t="s">
        <v>8</v>
      </c>
      <c r="W25" s="1559">
        <f>J25</f>
        <v>100</v>
      </c>
      <c r="X25" s="1552"/>
      <c r="Y25" s="3392"/>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5"/>
      <c r="M26" s="2117"/>
      <c r="N26" s="2117"/>
      <c r="O26" s="2117"/>
      <c r="P26" s="3392"/>
      <c r="Q26" s="1557"/>
      <c r="R26" s="1558"/>
      <c r="S26" s="1559"/>
      <c r="T26" s="1558"/>
      <c r="U26" s="1559"/>
      <c r="V26" s="1558"/>
      <c r="W26" s="1559"/>
      <c r="X26" s="1552"/>
      <c r="Y26" s="3392"/>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392"/>
      <c r="Q27" s="1557" t="str">
        <f t="shared" ref="Q27:Q47" si="11">B27</f>
        <v>楼层</v>
      </c>
      <c r="R27" s="1558" t="s">
        <v>8</v>
      </c>
      <c r="S27" s="1559">
        <f>F27</f>
        <v>100</v>
      </c>
      <c r="T27" s="1558" t="s">
        <v>8</v>
      </c>
      <c r="U27" s="1559">
        <f>H27</f>
        <v>100</v>
      </c>
      <c r="V27" s="1558" t="s">
        <v>8</v>
      </c>
      <c r="W27" s="1559">
        <f>J27</f>
        <v>100</v>
      </c>
      <c r="X27" s="1552"/>
      <c r="Y27" s="3392"/>
      <c r="Z27" s="1560" t="str">
        <f>Q27</f>
        <v>楼层</v>
      </c>
      <c r="AA27" s="1561">
        <f t="shared" si="3"/>
        <v>1</v>
      </c>
      <c r="AB27" s="1561">
        <f t="shared" si="4"/>
        <v>1</v>
      </c>
      <c r="AC27" s="1561">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392"/>
      <c r="Q28" s="1145" t="str">
        <f t="shared" si="11"/>
        <v>朝向</v>
      </c>
      <c r="R28" s="1553" t="s">
        <v>8</v>
      </c>
      <c r="S28" s="1554">
        <f>F28</f>
        <v>100</v>
      </c>
      <c r="T28" s="1553" t="s">
        <v>8</v>
      </c>
      <c r="U28" s="1554">
        <f>H28</f>
        <v>100</v>
      </c>
      <c r="V28" s="1553" t="s">
        <v>8</v>
      </c>
      <c r="W28" s="1554">
        <f>J28</f>
        <v>100</v>
      </c>
      <c r="X28" s="1555"/>
      <c r="Y28" s="3392"/>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392"/>
      <c r="Q29" s="1557">
        <f t="shared" si="11"/>
        <v>111</v>
      </c>
      <c r="R29" s="1558" t="s">
        <v>8</v>
      </c>
      <c r="S29" s="1559">
        <f t="shared" ref="S29:S47" si="12">F29</f>
        <v>100</v>
      </c>
      <c r="T29" s="1558" t="s">
        <v>8</v>
      </c>
      <c r="U29" s="1559">
        <f t="shared" ref="U29:U47" si="13">H29</f>
        <v>100</v>
      </c>
      <c r="V29" s="1558" t="s">
        <v>8</v>
      </c>
      <c r="W29" s="1559">
        <f t="shared" ref="W29:W47" si="14">J29</f>
        <v>100</v>
      </c>
      <c r="X29" s="1552"/>
      <c r="Y29" s="3392"/>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392"/>
      <c r="Q30" s="1557">
        <f t="shared" si="11"/>
        <v>111</v>
      </c>
      <c r="R30" s="1558" t="s">
        <v>8</v>
      </c>
      <c r="S30" s="1559">
        <f t="shared" si="12"/>
        <v>100</v>
      </c>
      <c r="T30" s="1558" t="s">
        <v>8</v>
      </c>
      <c r="U30" s="1559">
        <f t="shared" si="13"/>
        <v>100</v>
      </c>
      <c r="V30" s="1558" t="s">
        <v>8</v>
      </c>
      <c r="W30" s="1559">
        <f t="shared" si="14"/>
        <v>100</v>
      </c>
      <c r="X30" s="1552"/>
      <c r="Y30" s="3392"/>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392"/>
      <c r="Q31" s="1557">
        <f t="shared" si="11"/>
        <v>111</v>
      </c>
      <c r="R31" s="1558" t="s">
        <v>8</v>
      </c>
      <c r="S31" s="1559">
        <f t="shared" si="12"/>
        <v>100</v>
      </c>
      <c r="T31" s="1558" t="s">
        <v>8</v>
      </c>
      <c r="U31" s="1559">
        <f t="shared" si="13"/>
        <v>100</v>
      </c>
      <c r="V31" s="1558" t="s">
        <v>8</v>
      </c>
      <c r="W31" s="1559">
        <f t="shared" si="14"/>
        <v>100</v>
      </c>
      <c r="X31" s="1552"/>
      <c r="Y31" s="3392"/>
      <c r="Z31" s="1560">
        <f t="shared" si="15"/>
        <v>111</v>
      </c>
      <c r="AA31" s="1561">
        <f t="shared" si="3"/>
        <v>1</v>
      </c>
      <c r="AB31" s="1561">
        <f t="shared" si="4"/>
        <v>1</v>
      </c>
      <c r="AC31" s="1561">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392"/>
      <c r="Q32" s="1557">
        <f t="shared" si="11"/>
        <v>111</v>
      </c>
      <c r="R32" s="1558" t="s">
        <v>8</v>
      </c>
      <c r="S32" s="1559">
        <f t="shared" si="12"/>
        <v>100</v>
      </c>
      <c r="T32" s="1558" t="s">
        <v>8</v>
      </c>
      <c r="U32" s="1559">
        <f t="shared" si="13"/>
        <v>100</v>
      </c>
      <c r="V32" s="1558" t="s">
        <v>8</v>
      </c>
      <c r="W32" s="1559">
        <f t="shared" si="14"/>
        <v>100</v>
      </c>
      <c r="X32" s="1552"/>
      <c r="Y32" s="3392"/>
      <c r="Z32" s="1560">
        <f t="shared" si="15"/>
        <v>111</v>
      </c>
      <c r="AA32" s="1561">
        <f t="shared" si="3"/>
        <v>1</v>
      </c>
      <c r="AB32" s="1561">
        <f t="shared" si="4"/>
        <v>1</v>
      </c>
      <c r="AC32" s="1561">
        <f t="shared" si="5"/>
        <v>1</v>
      </c>
    </row>
    <row r="33" spans="1:29" ht="15">
      <c r="A33" s="2860" t="s">
        <v>2754</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393" t="s">
        <v>550</v>
      </c>
      <c r="Q33" s="1557" t="str">
        <f t="shared" si="11"/>
        <v>建筑类型</v>
      </c>
      <c r="R33" s="1558" t="s">
        <v>8</v>
      </c>
      <c r="S33" s="1559">
        <f t="shared" si="12"/>
        <v>100</v>
      </c>
      <c r="T33" s="1558" t="s">
        <v>8</v>
      </c>
      <c r="U33" s="1559">
        <f t="shared" si="13"/>
        <v>100</v>
      </c>
      <c r="V33" s="1558" t="s">
        <v>8</v>
      </c>
      <c r="W33" s="1559">
        <f t="shared" si="14"/>
        <v>100</v>
      </c>
      <c r="X33" s="1552"/>
      <c r="Y33" s="3394" t="s">
        <v>550</v>
      </c>
      <c r="Z33" s="1560" t="str">
        <f t="shared" si="15"/>
        <v>建筑类型</v>
      </c>
      <c r="AA33" s="1561">
        <f t="shared" si="3"/>
        <v>1</v>
      </c>
      <c r="AB33" s="1561">
        <f t="shared" si="4"/>
        <v>1</v>
      </c>
      <c r="AC33" s="1561">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394"/>
      <c r="Q34" s="1589" t="str">
        <f t="shared" si="11"/>
        <v>项目建筑规模</v>
      </c>
      <c r="R34" s="1562" t="s">
        <v>8</v>
      </c>
      <c r="S34" s="1563" t="e">
        <f t="shared" si="12"/>
        <v>#N/A</v>
      </c>
      <c r="T34" s="1562" t="s">
        <v>8</v>
      </c>
      <c r="U34" s="1563" t="e">
        <f t="shared" si="13"/>
        <v>#N/A</v>
      </c>
      <c r="V34" s="1562" t="s">
        <v>8</v>
      </c>
      <c r="W34" s="1563" t="e">
        <f t="shared" si="14"/>
        <v>#N/A</v>
      </c>
      <c r="X34" s="1564"/>
      <c r="Y34" s="3394"/>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394"/>
      <c r="Q35" s="1557" t="str">
        <f t="shared" si="11"/>
        <v>建筑结构</v>
      </c>
      <c r="R35" s="1558" t="s">
        <v>8</v>
      </c>
      <c r="S35" s="1559">
        <f t="shared" si="12"/>
        <v>100</v>
      </c>
      <c r="T35" s="1558" t="s">
        <v>8</v>
      </c>
      <c r="U35" s="1559">
        <f t="shared" si="13"/>
        <v>100</v>
      </c>
      <c r="V35" s="1558" t="s">
        <v>8</v>
      </c>
      <c r="W35" s="1559">
        <f t="shared" si="14"/>
        <v>100</v>
      </c>
      <c r="X35" s="1552"/>
      <c r="Y35" s="3394"/>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394"/>
      <c r="Q36" s="1557" t="str">
        <f t="shared" si="11"/>
        <v>公共部分装修</v>
      </c>
      <c r="R36" s="1558" t="s">
        <v>8</v>
      </c>
      <c r="S36" s="1559">
        <f t="shared" si="12"/>
        <v>100</v>
      </c>
      <c r="T36" s="1558" t="s">
        <v>8</v>
      </c>
      <c r="U36" s="1559">
        <f t="shared" si="13"/>
        <v>100</v>
      </c>
      <c r="V36" s="1558" t="s">
        <v>8</v>
      </c>
      <c r="W36" s="1559">
        <f t="shared" si="14"/>
        <v>100</v>
      </c>
      <c r="X36" s="1552"/>
      <c r="Y36" s="3394"/>
      <c r="Z36" s="1560" t="str">
        <f t="shared" si="15"/>
        <v>公共部分装修</v>
      </c>
      <c r="AA36" s="1561">
        <f t="shared" si="3"/>
        <v>1</v>
      </c>
      <c r="AB36" s="1561">
        <f t="shared" si="4"/>
        <v>1</v>
      </c>
      <c r="AC36" s="1561">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394"/>
      <c r="Q37" s="1557" t="str">
        <f t="shared" si="11"/>
        <v>成新度</v>
      </c>
      <c r="R37" s="1558" t="s">
        <v>8</v>
      </c>
      <c r="S37" s="1559" t="e">
        <f t="shared" si="12"/>
        <v>#N/A</v>
      </c>
      <c r="T37" s="1558" t="s">
        <v>8</v>
      </c>
      <c r="U37" s="1559" t="e">
        <f t="shared" si="13"/>
        <v>#N/A</v>
      </c>
      <c r="V37" s="1558" t="s">
        <v>8</v>
      </c>
      <c r="W37" s="1559" t="e">
        <f t="shared" si="14"/>
        <v>#N/A</v>
      </c>
      <c r="X37" s="1552"/>
      <c r="Y37" s="3394"/>
      <c r="Z37" s="1560" t="str">
        <f t="shared" si="15"/>
        <v>成新度</v>
      </c>
      <c r="AA37" s="1561" t="e">
        <f t="shared" si="3"/>
        <v>#N/A</v>
      </c>
      <c r="AB37" s="1561" t="e">
        <f t="shared" si="4"/>
        <v>#N/A</v>
      </c>
      <c r="AC37" s="1561"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394"/>
      <c r="Q38" s="1145" t="str">
        <f t="shared" si="11"/>
        <v>写字楼等级</v>
      </c>
      <c r="R38" s="1553" t="s">
        <v>8</v>
      </c>
      <c r="S38" s="1554">
        <f t="shared" si="12"/>
        <v>100</v>
      </c>
      <c r="T38" s="1553" t="s">
        <v>8</v>
      </c>
      <c r="U38" s="1554">
        <f t="shared" si="13"/>
        <v>100</v>
      </c>
      <c r="V38" s="1553" t="s">
        <v>8</v>
      </c>
      <c r="W38" s="1554">
        <f t="shared" si="14"/>
        <v>100</v>
      </c>
      <c r="X38" s="1555"/>
      <c r="Y38" s="3394"/>
      <c r="Z38" s="1144"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394" t="s">
        <v>550</v>
      </c>
      <c r="Q39" s="1557" t="str">
        <f t="shared" si="11"/>
        <v>物业管理</v>
      </c>
      <c r="R39" s="1558" t="s">
        <v>8</v>
      </c>
      <c r="S39" s="1559">
        <f t="shared" si="12"/>
        <v>100</v>
      </c>
      <c r="T39" s="1558" t="s">
        <v>8</v>
      </c>
      <c r="U39" s="1559">
        <f t="shared" si="13"/>
        <v>100</v>
      </c>
      <c r="V39" s="1558" t="s">
        <v>8</v>
      </c>
      <c r="W39" s="1559">
        <f t="shared" si="14"/>
        <v>100</v>
      </c>
      <c r="X39" s="1552"/>
      <c r="Y39" s="3394" t="s">
        <v>550</v>
      </c>
      <c r="Z39" s="1560" t="str">
        <f t="shared" si="15"/>
        <v>物业管理</v>
      </c>
      <c r="AA39" s="1561">
        <f t="shared" si="3"/>
        <v>1</v>
      </c>
      <c r="AB39" s="1561">
        <f t="shared" si="4"/>
        <v>1</v>
      </c>
      <c r="AC39" s="1561">
        <f t="shared" si="5"/>
        <v>1</v>
      </c>
    </row>
    <row r="40" spans="1:29" ht="15">
      <c r="A40" s="593"/>
      <c r="B40" s="1878"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394"/>
      <c r="Q40" s="1557" t="str">
        <f t="shared" si="11"/>
        <v>市政基础设施</v>
      </c>
      <c r="R40" s="1558" t="s">
        <v>8</v>
      </c>
      <c r="S40" s="1559">
        <f t="shared" si="12"/>
        <v>100</v>
      </c>
      <c r="T40" s="1558" t="s">
        <v>8</v>
      </c>
      <c r="U40" s="1559">
        <f t="shared" si="13"/>
        <v>100</v>
      </c>
      <c r="V40" s="1558" t="s">
        <v>8</v>
      </c>
      <c r="W40" s="1559">
        <f t="shared" si="14"/>
        <v>100</v>
      </c>
      <c r="X40" s="1552"/>
      <c r="Y40" s="3394"/>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394"/>
      <c r="Q41" s="1557" t="str">
        <f t="shared" si="11"/>
        <v>层高</v>
      </c>
      <c r="R41" s="1558" t="s">
        <v>8</v>
      </c>
      <c r="S41" s="1559">
        <f t="shared" si="12"/>
        <v>100</v>
      </c>
      <c r="T41" s="1558" t="s">
        <v>8</v>
      </c>
      <c r="U41" s="1559">
        <f t="shared" si="13"/>
        <v>100</v>
      </c>
      <c r="V41" s="1558" t="s">
        <v>8</v>
      </c>
      <c r="W41" s="1559">
        <f t="shared" si="14"/>
        <v>100</v>
      </c>
      <c r="X41" s="1552"/>
      <c r="Y41" s="3394"/>
      <c r="Z41" s="1560" t="str">
        <f t="shared" si="15"/>
        <v>层高</v>
      </c>
      <c r="AA41" s="1561">
        <f t="shared" si="3"/>
        <v>1</v>
      </c>
      <c r="AB41" s="1561">
        <f t="shared" si="4"/>
        <v>1</v>
      </c>
      <c r="AC41" s="1561">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394"/>
      <c r="Q42" s="1589" t="str">
        <f t="shared" si="11"/>
        <v>单套建筑面积</v>
      </c>
      <c r="R42" s="1562" t="s">
        <v>8</v>
      </c>
      <c r="S42" s="1563">
        <f t="shared" si="12"/>
        <v>100</v>
      </c>
      <c r="T42" s="1562" t="s">
        <v>8</v>
      </c>
      <c r="U42" s="1563">
        <f t="shared" si="13"/>
        <v>100</v>
      </c>
      <c r="V42" s="1562" t="s">
        <v>8</v>
      </c>
      <c r="W42" s="1563">
        <f t="shared" si="14"/>
        <v>100</v>
      </c>
      <c r="X42" s="1564"/>
      <c r="Y42" s="3394"/>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394"/>
      <c r="Q43" s="1557" t="str">
        <f t="shared" si="11"/>
        <v>内部装修</v>
      </c>
      <c r="R43" s="1558" t="s">
        <v>8</v>
      </c>
      <c r="S43" s="1559">
        <f t="shared" si="12"/>
        <v>100</v>
      </c>
      <c r="T43" s="1558" t="s">
        <v>8</v>
      </c>
      <c r="U43" s="1559">
        <f t="shared" si="13"/>
        <v>100</v>
      </c>
      <c r="V43" s="1558" t="s">
        <v>8</v>
      </c>
      <c r="W43" s="1559">
        <f t="shared" si="14"/>
        <v>100</v>
      </c>
      <c r="X43" s="1552"/>
      <c r="Y43" s="3394"/>
      <c r="Z43" s="1560" t="str">
        <f t="shared" si="15"/>
        <v>内部装修</v>
      </c>
      <c r="AA43" s="1561">
        <f t="shared" si="3"/>
        <v>1</v>
      </c>
      <c r="AB43" s="1561">
        <f t="shared" si="4"/>
        <v>1</v>
      </c>
      <c r="AC43" s="1561">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394"/>
      <c r="Q44" s="1557" t="str">
        <f t="shared" si="11"/>
        <v>内部装修维护情况</v>
      </c>
      <c r="R44" s="1558" t="s">
        <v>8</v>
      </c>
      <c r="S44" s="1559">
        <f t="shared" si="12"/>
        <v>100</v>
      </c>
      <c r="T44" s="1558" t="s">
        <v>8</v>
      </c>
      <c r="U44" s="1559">
        <f t="shared" si="13"/>
        <v>100</v>
      </c>
      <c r="V44" s="1558" t="s">
        <v>8</v>
      </c>
      <c r="W44" s="1559">
        <f t="shared" si="14"/>
        <v>100</v>
      </c>
      <c r="X44" s="1552"/>
      <c r="Y44" s="3394"/>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394"/>
      <c r="Q45" s="1145">
        <f t="shared" si="11"/>
        <v>111</v>
      </c>
      <c r="R45" s="1553" t="s">
        <v>8</v>
      </c>
      <c r="S45" s="1554">
        <f t="shared" si="12"/>
        <v>100</v>
      </c>
      <c r="T45" s="1553" t="s">
        <v>8</v>
      </c>
      <c r="U45" s="1554">
        <f t="shared" si="13"/>
        <v>100</v>
      </c>
      <c r="V45" s="1553" t="s">
        <v>8</v>
      </c>
      <c r="W45" s="1554">
        <f t="shared" si="14"/>
        <v>100</v>
      </c>
      <c r="X45" s="1555"/>
      <c r="Y45" s="3394"/>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394"/>
      <c r="Q46" s="1557">
        <f t="shared" si="11"/>
        <v>111</v>
      </c>
      <c r="R46" s="1558" t="s">
        <v>8</v>
      </c>
      <c r="S46" s="1559">
        <f t="shared" si="12"/>
        <v>100</v>
      </c>
      <c r="T46" s="1558" t="s">
        <v>8</v>
      </c>
      <c r="U46" s="1559">
        <f t="shared" si="13"/>
        <v>100</v>
      </c>
      <c r="V46" s="1558" t="s">
        <v>8</v>
      </c>
      <c r="W46" s="1559">
        <f t="shared" si="14"/>
        <v>100</v>
      </c>
      <c r="X46" s="1552"/>
      <c r="Y46" s="3394"/>
      <c r="Z46" s="1560">
        <f t="shared" si="15"/>
        <v>111</v>
      </c>
      <c r="AA46" s="1561">
        <f t="shared" si="3"/>
        <v>1</v>
      </c>
      <c r="AB46" s="1561">
        <f t="shared" si="4"/>
        <v>1</v>
      </c>
      <c r="AC46" s="1561">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499"/>
      <c r="Q47" s="1557">
        <f t="shared" si="11"/>
        <v>111</v>
      </c>
      <c r="R47" s="1558" t="s">
        <v>8</v>
      </c>
      <c r="S47" s="1559">
        <f t="shared" si="12"/>
        <v>100</v>
      </c>
      <c r="T47" s="1558" t="s">
        <v>8</v>
      </c>
      <c r="U47" s="1559">
        <f t="shared" si="13"/>
        <v>100</v>
      </c>
      <c r="V47" s="1558" t="s">
        <v>8</v>
      </c>
      <c r="W47" s="1559">
        <f t="shared" si="14"/>
        <v>100</v>
      </c>
      <c r="X47" s="1552"/>
      <c r="Y47" s="3499"/>
      <c r="Z47" s="1560">
        <f t="shared" si="15"/>
        <v>111</v>
      </c>
      <c r="AA47" s="1561">
        <f t="shared" si="3"/>
        <v>1</v>
      </c>
      <c r="AB47" s="1561">
        <f t="shared" si="4"/>
        <v>1</v>
      </c>
      <c r="AC47" s="1561">
        <f t="shared" si="5"/>
        <v>1</v>
      </c>
    </row>
    <row r="48" spans="1:29" ht="14.4">
      <c r="A48" s="606" t="s">
        <v>736</v>
      </c>
      <c r="B48" s="885"/>
      <c r="C48" s="2589" t="s">
        <v>1</v>
      </c>
      <c r="D48" s="2590"/>
      <c r="E48" s="2591"/>
      <c r="F48" s="2592"/>
      <c r="G48" s="2593"/>
      <c r="H48" s="2594"/>
      <c r="I48" s="2591"/>
      <c r="J48" s="2594"/>
      <c r="K48" s="1595"/>
      <c r="L48" s="2127"/>
      <c r="M48" s="2117"/>
      <c r="N48" s="2117"/>
      <c r="O48" s="2117"/>
      <c r="P48" s="3412" t="str">
        <f>A48</f>
        <v>成交单价（元/平方米）</v>
      </c>
      <c r="Q48" s="3389"/>
      <c r="R48" s="3498">
        <f>E48</f>
        <v>0</v>
      </c>
      <c r="S48" s="3498"/>
      <c r="T48" s="3498">
        <f>G48</f>
        <v>0</v>
      </c>
      <c r="U48" s="3498"/>
      <c r="V48" s="3498">
        <f>I48</f>
        <v>0</v>
      </c>
      <c r="W48" s="3498"/>
      <c r="X48" s="1544"/>
      <c r="Y48" s="1566"/>
      <c r="Z48" s="1544"/>
      <c r="AA48" s="1544"/>
      <c r="AB48" s="1544"/>
      <c r="AC48" s="1544"/>
    </row>
    <row r="49" spans="1:29" ht="15" thickBot="1">
      <c r="A49" s="614" t="s">
        <v>2759</v>
      </c>
      <c r="B49" s="886"/>
      <c r="C49" s="2595" t="e">
        <f>R50</f>
        <v>#DIV/0!</v>
      </c>
      <c r="D49" s="2596"/>
      <c r="E49" s="2597" t="e">
        <f>R49</f>
        <v>#DIV/0!</v>
      </c>
      <c r="F49" s="2597"/>
      <c r="G49" s="2595" t="e">
        <f>T49</f>
        <v>#DIV/0!</v>
      </c>
      <c r="H49" s="2596"/>
      <c r="I49" s="2597" t="e">
        <f>V49</f>
        <v>#DIV/0!</v>
      </c>
      <c r="J49" s="2596"/>
      <c r="K49" s="1596"/>
      <c r="L49" s="2127"/>
      <c r="M49" s="2117"/>
      <c r="N49" s="2117"/>
      <c r="O49" s="2117"/>
      <c r="P49" s="3412" t="str">
        <f>A49</f>
        <v>比较价格（元/平方米）</v>
      </c>
      <c r="Q49" s="3389"/>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44"/>
      <c r="Y49" s="1544"/>
      <c r="Z49" s="1544"/>
      <c r="AA49" s="1544"/>
      <c r="AB49" s="1544"/>
      <c r="AC49" s="1544"/>
    </row>
    <row r="50" spans="1:29" ht="15" thickBot="1">
      <c r="A50" s="620" t="s">
        <v>2930</v>
      </c>
      <c r="B50" s="621"/>
      <c r="C50" s="2598" t="e">
        <f>R50</f>
        <v>#DIV/0!</v>
      </c>
      <c r="D50" s="2598"/>
      <c r="E50" s="2598"/>
      <c r="F50" s="2598"/>
      <c r="G50" s="2598"/>
      <c r="H50" s="2598"/>
      <c r="I50" s="2598"/>
      <c r="J50" s="2598"/>
      <c r="K50" s="1597"/>
      <c r="L50" s="2127"/>
      <c r="M50" s="2117"/>
      <c r="N50" s="2117"/>
      <c r="O50" s="2117"/>
      <c r="P50" s="3503" t="str">
        <f>A50</f>
        <v>估价对象XX用房的比较价格（楼面单价，元/平方米）</v>
      </c>
      <c r="Q50" s="3412"/>
      <c r="R50" s="3497" t="e">
        <f>IF(F1="售价",ROUND(AVERAGE(R49:V49),0),ROUND(AVERAGE(R49:V49),1))</f>
        <v>#DIV/0!</v>
      </c>
      <c r="S50" s="3497"/>
      <c r="T50" s="3497"/>
      <c r="U50" s="3497"/>
      <c r="V50" s="3497"/>
      <c r="W50" s="3497"/>
      <c r="X50" s="1544"/>
      <c r="Y50" s="1544"/>
      <c r="Z50" s="1544"/>
      <c r="AA50" s="1544"/>
      <c r="AB50" s="1544"/>
      <c r="AC50" s="1544"/>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69" t="s">
        <v>574</v>
      </c>
      <c r="B58" s="1544"/>
      <c r="C58" s="1568"/>
      <c r="D58" s="1568"/>
      <c r="E58" s="1568"/>
      <c r="F58" s="1570"/>
      <c r="G58" s="1570"/>
      <c r="H58" s="1568"/>
      <c r="I58" s="1568"/>
      <c r="J58" s="1568"/>
      <c r="K58" s="1571"/>
      <c r="L58" s="1567"/>
      <c r="M58" s="1568"/>
      <c r="N58" s="1568"/>
      <c r="O58" s="1568"/>
      <c r="P58" s="2193"/>
      <c r="Q58" s="2141"/>
      <c r="R58" s="2128"/>
      <c r="S58" s="2128"/>
      <c r="T58" s="2128"/>
      <c r="U58" s="2128"/>
      <c r="V58" s="2128"/>
      <c r="W58" s="2128"/>
      <c r="X58" s="2128"/>
      <c r="Y58" s="2128"/>
      <c r="Z58" s="2128"/>
      <c r="AA58" s="2128"/>
      <c r="AB58" s="2128"/>
      <c r="AC58" s="2128"/>
    </row>
    <row r="59" spans="1:29" s="1341" customFormat="1" ht="14.4">
      <c r="A59" s="644" t="s">
        <v>529</v>
      </c>
      <c r="B59" s="645"/>
      <c r="C59" s="2755" t="str">
        <f>YEAR(C7)&amp;"-"&amp;MONTH(C7)</f>
        <v>2020-1</v>
      </c>
      <c r="D59" s="2757">
        <f>EDATE(C59,-1)</f>
        <v>43800</v>
      </c>
      <c r="E59" s="2757">
        <f t="shared" ref="E59:O59" si="16">EDATE(D59,-1)</f>
        <v>43770</v>
      </c>
      <c r="F59" s="2757">
        <f t="shared" si="16"/>
        <v>43739</v>
      </c>
      <c r="G59" s="2757">
        <f t="shared" si="16"/>
        <v>43709</v>
      </c>
      <c r="H59" s="2757">
        <f t="shared" si="16"/>
        <v>43678</v>
      </c>
      <c r="I59" s="2757">
        <f t="shared" si="16"/>
        <v>43647</v>
      </c>
      <c r="J59" s="2757">
        <f t="shared" si="16"/>
        <v>43617</v>
      </c>
      <c r="K59" s="2757">
        <f t="shared" si="16"/>
        <v>43586</v>
      </c>
      <c r="L59" s="2757">
        <f t="shared" si="16"/>
        <v>43556</v>
      </c>
      <c r="M59" s="2757">
        <f t="shared" si="16"/>
        <v>43525</v>
      </c>
      <c r="N59" s="2757">
        <f t="shared" si="16"/>
        <v>43497</v>
      </c>
      <c r="O59" s="2757">
        <f t="shared" si="16"/>
        <v>43466</v>
      </c>
      <c r="P59" s="2194"/>
      <c r="Q59" s="2144"/>
      <c r="R59" s="2144"/>
      <c r="S59" s="2144"/>
      <c r="T59" s="2144"/>
      <c r="U59" s="2144"/>
      <c r="V59" s="2144"/>
      <c r="W59" s="2144"/>
      <c r="X59" s="2144"/>
      <c r="Y59" s="2144"/>
      <c r="Z59" s="2144"/>
      <c r="AA59" s="2144"/>
      <c r="AB59" s="2144"/>
      <c r="AC59" s="2144"/>
    </row>
    <row r="60" spans="1:29" s="1214" customFormat="1">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4" customFormat="1" ht="1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4" customFormat="1" ht="14.4">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4" customFormat="1" ht="14.4"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ht="14.4">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4.4"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3" customFormat="1" ht="14.4"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3" customFormat="1" ht="14.4"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3" customFormat="1" ht="14.4"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3" customFormat="1" ht="14.4"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3" customFormat="1" ht="14.4"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3" customFormat="1" ht="14.4"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ht="14.4">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 thickTop="1">
      <c r="A81" s="668"/>
      <c r="B81" s="1879" t="s">
        <v>2556</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 thickTop="1">
      <c r="A83" s="668"/>
      <c r="B83" s="2559" t="s">
        <v>2557</v>
      </c>
      <c r="C83" s="2560" t="s">
        <v>2558</v>
      </c>
      <c r="D83" s="2560" t="s">
        <v>2559</v>
      </c>
      <c r="E83" s="2560" t="s">
        <v>2560</v>
      </c>
      <c r="F83" s="2560" t="s">
        <v>2561</v>
      </c>
      <c r="G83" s="2560" t="s">
        <v>2562</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4" customFormat="1" ht="29.4"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4" customFormat="1" ht="14.4"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4"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3" customFormat="1" ht="14.4"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3"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4.4"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4.4"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4.4"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4.4"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4.4"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4.4"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4.4"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ht="14.4">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3" customFormat="1" ht="14.4"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3"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2555</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3" customFormat="1" ht="14.4"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3" customFormat="1" ht="14.4"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3" customFormat="1" ht="14.4"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4.4"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4.4"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4.4"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4.4"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502" t="s">
        <v>788</v>
      </c>
      <c r="C1" s="503" t="s">
        <v>720</v>
      </c>
      <c r="D1" s="848"/>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467</v>
      </c>
      <c r="B2" s="849" t="e">
        <f>ROUND(B3*D3/10000,0)</f>
        <v>#DIV/0!</v>
      </c>
      <c r="C2" s="2110"/>
      <c r="D2" s="2110"/>
      <c r="E2" s="2111"/>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427"/>
    </row>
    <row r="3" spans="1:29" s="1330"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4.4">
      <c r="A4" s="511" t="s">
        <v>521</v>
      </c>
      <c r="B4" s="512"/>
      <c r="C4" s="3395" t="s">
        <v>522</v>
      </c>
      <c r="D4" s="3396"/>
      <c r="E4" s="3420" t="s">
        <v>523</v>
      </c>
      <c r="F4" s="3421"/>
      <c r="G4" s="3395" t="s">
        <v>524</v>
      </c>
      <c r="H4" s="3396"/>
      <c r="I4" s="3395" t="s">
        <v>525</v>
      </c>
      <c r="J4" s="3396"/>
      <c r="K4" s="513" t="s">
        <v>526</v>
      </c>
      <c r="L4" s="2116"/>
      <c r="M4" s="2117"/>
      <c r="N4" s="2117"/>
      <c r="O4" s="2117"/>
      <c r="P4" s="3397" t="s">
        <v>527</v>
      </c>
      <c r="Q4" s="3398"/>
      <c r="R4" s="3383" t="s">
        <v>523</v>
      </c>
      <c r="S4" s="3384"/>
      <c r="T4" s="3383" t="s">
        <v>524</v>
      </c>
      <c r="U4" s="3384"/>
      <c r="V4" s="3403" t="s">
        <v>525</v>
      </c>
      <c r="W4" s="3403"/>
      <c r="X4" s="1552"/>
      <c r="Y4" s="3383" t="s">
        <v>527</v>
      </c>
      <c r="Z4" s="3384"/>
      <c r="AA4" s="3378" t="s">
        <v>523</v>
      </c>
      <c r="AB4" s="3379" t="s">
        <v>524</v>
      </c>
      <c r="AC4" s="3378" t="s">
        <v>525</v>
      </c>
    </row>
    <row r="5" spans="1:29">
      <c r="A5" s="514"/>
      <c r="B5" s="515"/>
      <c r="C5" s="3408" t="s">
        <v>2924</v>
      </c>
      <c r="D5" s="3407"/>
      <c r="E5" s="3422" t="s">
        <v>2925</v>
      </c>
      <c r="F5" s="3423"/>
      <c r="G5" s="3408" t="s">
        <v>2926</v>
      </c>
      <c r="H5" s="3407"/>
      <c r="I5" s="3408" t="s">
        <v>2927</v>
      </c>
      <c r="J5" s="3407"/>
      <c r="K5" s="513"/>
      <c r="L5" s="2116"/>
      <c r="M5" s="2117"/>
      <c r="N5" s="2117"/>
      <c r="O5" s="2117"/>
      <c r="P5" s="3399"/>
      <c r="Q5" s="3400"/>
      <c r="R5" s="3385"/>
      <c r="S5" s="3386"/>
      <c r="T5" s="3385"/>
      <c r="U5" s="3386"/>
      <c r="V5" s="3403"/>
      <c r="W5" s="3403"/>
      <c r="X5" s="1552"/>
      <c r="Y5" s="3385"/>
      <c r="Z5" s="3386"/>
      <c r="AA5" s="3379"/>
      <c r="AB5" s="3379"/>
      <c r="AC5" s="3379"/>
    </row>
    <row r="6" spans="1:29" ht="15" thickBot="1">
      <c r="A6" s="516"/>
      <c r="B6" s="517"/>
      <c r="C6" s="3424" t="s">
        <v>2928</v>
      </c>
      <c r="D6" s="3405"/>
      <c r="E6" s="3425" t="s">
        <v>2928</v>
      </c>
      <c r="F6" s="3426"/>
      <c r="G6" s="3424" t="s">
        <v>2928</v>
      </c>
      <c r="H6" s="3405"/>
      <c r="I6" s="3424" t="s">
        <v>2928</v>
      </c>
      <c r="J6" s="3405"/>
      <c r="K6" s="513" t="s">
        <v>528</v>
      </c>
      <c r="L6" s="2116"/>
      <c r="M6" s="2117"/>
      <c r="N6" s="2117"/>
      <c r="O6" s="2117"/>
      <c r="P6" s="3401"/>
      <c r="Q6" s="3402"/>
      <c r="R6" s="3385"/>
      <c r="S6" s="3386"/>
      <c r="T6" s="3387"/>
      <c r="U6" s="3388"/>
      <c r="V6" s="3403"/>
      <c r="W6" s="3403"/>
      <c r="X6" s="1552"/>
      <c r="Y6" s="3387"/>
      <c r="Z6" s="3388"/>
      <c r="AA6" s="3380"/>
      <c r="AB6" s="3380"/>
      <c r="AC6" s="3380"/>
    </row>
    <row r="7" spans="1:29" s="1214" customFormat="1" ht="15" thickBot="1">
      <c r="A7" s="2865"/>
      <c r="B7" s="2872" t="s">
        <v>529</v>
      </c>
      <c r="C7" s="518">
        <f>'数据-取费表'!B2</f>
        <v>43840</v>
      </c>
      <c r="D7" s="519">
        <v>100</v>
      </c>
      <c r="E7" s="520"/>
      <c r="F7" s="521">
        <f>SUMIF(52:52,YEAR(E7)&amp;"-"&amp;MONTH(E7),53:53)</f>
        <v>0</v>
      </c>
      <c r="G7" s="520"/>
      <c r="H7" s="519">
        <f>SUMIF(52:52,YEAR(G7)&amp;"-"&amp;MONTH(G7),53:53)</f>
        <v>0</v>
      </c>
      <c r="I7" s="520"/>
      <c r="J7" s="519">
        <f>SUMIF(52:52,YEAR(I7)&amp;"-"&amp;MONTH(I7),53:53)</f>
        <v>0</v>
      </c>
      <c r="K7" s="523"/>
      <c r="L7" s="2118"/>
      <c r="M7" s="2119"/>
      <c r="N7" s="2119"/>
      <c r="O7" s="2119"/>
      <c r="P7" s="3381" t="s">
        <v>530</v>
      </c>
      <c r="Q7" s="3390"/>
      <c r="R7" s="1553" t="s">
        <v>8</v>
      </c>
      <c r="S7" s="1554">
        <f t="shared" ref="S7:S15" si="0">F7</f>
        <v>0</v>
      </c>
      <c r="T7" s="1553" t="s">
        <v>8</v>
      </c>
      <c r="U7" s="1554">
        <f t="shared" ref="U7:U15" si="1">H7</f>
        <v>0</v>
      </c>
      <c r="V7" s="1553" t="s">
        <v>8</v>
      </c>
      <c r="W7" s="1554">
        <f t="shared" ref="W7:W15" si="2">J7</f>
        <v>0</v>
      </c>
      <c r="X7" s="1555"/>
      <c r="Y7" s="3381" t="s">
        <v>530</v>
      </c>
      <c r="Z7" s="3382"/>
      <c r="AA7" s="1556" t="e">
        <f>D7/F7</f>
        <v>#DIV/0!</v>
      </c>
      <c r="AB7" s="1556" t="e">
        <f>D7/H7</f>
        <v>#DIV/0!</v>
      </c>
      <c r="AC7" s="1556" t="e">
        <f>D7/J7</f>
        <v>#DIV/0!</v>
      </c>
    </row>
    <row r="8" spans="1:29" s="1214" customFormat="1" ht="1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381" t="s">
        <v>533</v>
      </c>
      <c r="Q8" s="3382"/>
      <c r="R8" s="1553" t="s">
        <v>8</v>
      </c>
      <c r="S8" s="1554">
        <f t="shared" si="0"/>
        <v>0</v>
      </c>
      <c r="T8" s="1553" t="s">
        <v>8</v>
      </c>
      <c r="U8" s="1554">
        <f t="shared" si="1"/>
        <v>0</v>
      </c>
      <c r="V8" s="1553" t="s">
        <v>8</v>
      </c>
      <c r="W8" s="1554">
        <f t="shared" si="2"/>
        <v>0</v>
      </c>
      <c r="X8" s="1555"/>
      <c r="Y8" s="3381" t="s">
        <v>533</v>
      </c>
      <c r="Z8" s="3382"/>
      <c r="AA8" s="1556" t="e">
        <f t="shared" ref="AA8:AA40" si="3">D8/F8</f>
        <v>#DIV/0!</v>
      </c>
      <c r="AB8" s="1556" t="e">
        <f t="shared" ref="AB8:AB40" si="4">D8/H8</f>
        <v>#DIV/0!</v>
      </c>
      <c r="AC8" s="1556" t="e">
        <f t="shared" ref="AC8:AC40" si="5">D8/J8</f>
        <v>#DIV/0!</v>
      </c>
    </row>
    <row r="9" spans="1:29" s="1214" customFormat="1" ht="14.4">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389" t="s">
        <v>535</v>
      </c>
      <c r="Q9" s="1145" t="str">
        <f t="shared" ref="Q9:Q15" si="6">B9</f>
        <v>用途</v>
      </c>
      <c r="R9" s="1553" t="s">
        <v>8</v>
      </c>
      <c r="S9" s="1554">
        <f t="shared" si="0"/>
        <v>100</v>
      </c>
      <c r="T9" s="1553" t="s">
        <v>8</v>
      </c>
      <c r="U9" s="1554">
        <f t="shared" si="1"/>
        <v>100</v>
      </c>
      <c r="V9" s="1553" t="s">
        <v>8</v>
      </c>
      <c r="W9" s="1554">
        <f t="shared" si="2"/>
        <v>100</v>
      </c>
      <c r="X9" s="1555"/>
      <c r="Y9" s="3346" t="s">
        <v>536</v>
      </c>
      <c r="Z9" s="1144" t="str">
        <f t="shared" ref="Z9:Z15" si="7">Q9</f>
        <v>用途</v>
      </c>
      <c r="AA9" s="1556">
        <f t="shared" si="3"/>
        <v>1</v>
      </c>
      <c r="AB9" s="1556">
        <f t="shared" si="4"/>
        <v>1</v>
      </c>
      <c r="AC9" s="1556">
        <f t="shared" si="5"/>
        <v>1</v>
      </c>
    </row>
    <row r="10" spans="1:29" s="1332" customFormat="1" ht="28.8">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389"/>
      <c r="Q10" s="1145" t="str">
        <f t="shared" si="6"/>
        <v>土地使用年限（年）</v>
      </c>
      <c r="R10" s="1553" t="s">
        <v>8</v>
      </c>
      <c r="S10" s="1554">
        <f t="shared" si="0"/>
        <v>100</v>
      </c>
      <c r="T10" s="1553" t="s">
        <v>8</v>
      </c>
      <c r="U10" s="1554">
        <f t="shared" si="1"/>
        <v>100</v>
      </c>
      <c r="V10" s="1553" t="s">
        <v>8</v>
      </c>
      <c r="W10" s="1554">
        <f t="shared" si="2"/>
        <v>100</v>
      </c>
      <c r="X10" s="1555"/>
      <c r="Y10" s="3346"/>
      <c r="Z10" s="1144"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89"/>
      <c r="Q11" s="1145" t="str">
        <f t="shared" si="6"/>
        <v>容积率</v>
      </c>
      <c r="R11" s="1553" t="s">
        <v>8</v>
      </c>
      <c r="S11" s="1554" t="e">
        <f t="shared" si="0"/>
        <v>#N/A</v>
      </c>
      <c r="T11" s="1553" t="s">
        <v>8</v>
      </c>
      <c r="U11" s="1554" t="e">
        <f t="shared" si="1"/>
        <v>#N/A</v>
      </c>
      <c r="V11" s="1553" t="s">
        <v>8</v>
      </c>
      <c r="W11" s="1554" t="e">
        <f t="shared" si="2"/>
        <v>#N/A</v>
      </c>
      <c r="X11" s="1555"/>
      <c r="Y11" s="3346"/>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389"/>
      <c r="Q12" s="1145">
        <f t="shared" si="6"/>
        <v>111</v>
      </c>
      <c r="R12" s="1553" t="s">
        <v>8</v>
      </c>
      <c r="S12" s="1554">
        <f t="shared" si="0"/>
        <v>100</v>
      </c>
      <c r="T12" s="1553" t="s">
        <v>8</v>
      </c>
      <c r="U12" s="1554">
        <f t="shared" si="1"/>
        <v>100</v>
      </c>
      <c r="V12" s="1553" t="s">
        <v>8</v>
      </c>
      <c r="W12" s="1554">
        <f t="shared" si="2"/>
        <v>100</v>
      </c>
      <c r="X12" s="1555"/>
      <c r="Y12" s="3346"/>
      <c r="Z12" s="1144">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389"/>
      <c r="Q13" s="1145">
        <f t="shared" si="6"/>
        <v>111</v>
      </c>
      <c r="R13" s="1553" t="s">
        <v>8</v>
      </c>
      <c r="S13" s="1554">
        <f t="shared" si="0"/>
        <v>100</v>
      </c>
      <c r="T13" s="1553" t="s">
        <v>8</v>
      </c>
      <c r="U13" s="1554">
        <f t="shared" si="1"/>
        <v>100</v>
      </c>
      <c r="V13" s="1553" t="s">
        <v>8</v>
      </c>
      <c r="W13" s="1554">
        <f t="shared" si="2"/>
        <v>100</v>
      </c>
      <c r="X13" s="1555"/>
      <c r="Y13" s="3346"/>
      <c r="Z13" s="1144">
        <f t="shared" si="7"/>
        <v>111</v>
      </c>
      <c r="AA13" s="1556">
        <f t="shared" si="3"/>
        <v>1</v>
      </c>
      <c r="AB13" s="1556">
        <f t="shared" si="4"/>
        <v>1</v>
      </c>
      <c r="AC13" s="1556">
        <f t="shared" si="5"/>
        <v>1</v>
      </c>
    </row>
    <row r="14" spans="1:29" ht="15.6" thickBot="1">
      <c r="A14" s="2871"/>
      <c r="B14" s="2877">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389"/>
      <c r="Q14" s="1145">
        <f t="shared" si="6"/>
        <v>111</v>
      </c>
      <c r="R14" s="1553" t="s">
        <v>8</v>
      </c>
      <c r="S14" s="1554">
        <f t="shared" si="0"/>
        <v>100</v>
      </c>
      <c r="T14" s="1553" t="s">
        <v>8</v>
      </c>
      <c r="U14" s="1554">
        <f t="shared" si="1"/>
        <v>100</v>
      </c>
      <c r="V14" s="1553" t="s">
        <v>8</v>
      </c>
      <c r="W14" s="1554">
        <f t="shared" si="2"/>
        <v>100</v>
      </c>
      <c r="X14" s="1555"/>
      <c r="Y14" s="3346"/>
      <c r="Z14" s="1144">
        <f t="shared" si="7"/>
        <v>111</v>
      </c>
      <c r="AA14" s="1556">
        <f t="shared" si="3"/>
        <v>1</v>
      </c>
      <c r="AB14" s="1556">
        <f t="shared" si="4"/>
        <v>1</v>
      </c>
      <c r="AC14" s="1556">
        <f t="shared" si="5"/>
        <v>1</v>
      </c>
    </row>
    <row r="15" spans="1:29" ht="69">
      <c r="A15" s="2863" t="s">
        <v>2753</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391" t="s">
        <v>540</v>
      </c>
      <c r="Q15" s="1557" t="str">
        <f t="shared" si="6"/>
        <v>产业集聚程度</v>
      </c>
      <c r="R15" s="1558" t="s">
        <v>8</v>
      </c>
      <c r="S15" s="1559">
        <f t="shared" si="0"/>
        <v>100</v>
      </c>
      <c r="T15" s="1558" t="s">
        <v>8</v>
      </c>
      <c r="U15" s="1559">
        <f t="shared" si="1"/>
        <v>100</v>
      </c>
      <c r="V15" s="1558" t="s">
        <v>8</v>
      </c>
      <c r="W15" s="1559">
        <f t="shared" si="2"/>
        <v>100</v>
      </c>
      <c r="X15" s="1552"/>
      <c r="Y15" s="3391"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5"/>
      <c r="M16" s="2117"/>
      <c r="N16" s="2117"/>
      <c r="O16" s="2124"/>
      <c r="P16" s="3392"/>
      <c r="Q16" s="1557"/>
      <c r="R16" s="1558"/>
      <c r="S16" s="1559"/>
      <c r="T16" s="1558"/>
      <c r="U16" s="1559"/>
      <c r="V16" s="1558"/>
      <c r="W16" s="1559"/>
      <c r="X16" s="1552"/>
      <c r="Y16" s="3392"/>
      <c r="Z16" s="1560"/>
      <c r="AA16" s="1561">
        <v>1</v>
      </c>
      <c r="AB16" s="1561">
        <v>1</v>
      </c>
      <c r="AC16" s="1561">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392"/>
      <c r="Q17" s="1557" t="str">
        <f>B17</f>
        <v>交通便捷度</v>
      </c>
      <c r="R17" s="1558" t="s">
        <v>8</v>
      </c>
      <c r="S17" s="1559">
        <f>F17</f>
        <v>100</v>
      </c>
      <c r="T17" s="1558" t="s">
        <v>8</v>
      </c>
      <c r="U17" s="1559">
        <f>H17</f>
        <v>100</v>
      </c>
      <c r="V17" s="1558" t="s">
        <v>8</v>
      </c>
      <c r="W17" s="1559">
        <f>J17</f>
        <v>100</v>
      </c>
      <c r="X17" s="1552"/>
      <c r="Y17" s="3392"/>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5"/>
      <c r="M18" s="2117"/>
      <c r="N18" s="2117"/>
      <c r="O18" s="2124"/>
      <c r="P18" s="3392"/>
      <c r="Q18" s="1557"/>
      <c r="R18" s="1558"/>
      <c r="S18" s="1559"/>
      <c r="T18" s="1558"/>
      <c r="U18" s="1559"/>
      <c r="V18" s="1558"/>
      <c r="W18" s="1559"/>
      <c r="X18" s="1552"/>
      <c r="Y18" s="3392"/>
      <c r="Z18" s="1560"/>
      <c r="AA18" s="1561">
        <v>1</v>
      </c>
      <c r="AB18" s="1561">
        <v>1</v>
      </c>
      <c r="AC18" s="1561">
        <v>1</v>
      </c>
    </row>
    <row r="19" spans="1:29" ht="41.4">
      <c r="A19" s="531"/>
      <c r="B19" s="2565"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392"/>
      <c r="Q19" s="1557" t="str">
        <f>B19</f>
        <v>公共配套设施</v>
      </c>
      <c r="R19" s="1558" t="s">
        <v>8</v>
      </c>
      <c r="S19" s="1559">
        <f>F19</f>
        <v>100</v>
      </c>
      <c r="T19" s="1558" t="s">
        <v>8</v>
      </c>
      <c r="U19" s="1559">
        <f>H19</f>
        <v>100</v>
      </c>
      <c r="V19" s="1558" t="s">
        <v>8</v>
      </c>
      <c r="W19" s="1559">
        <f>J19</f>
        <v>100</v>
      </c>
      <c r="X19" s="1552"/>
      <c r="Y19" s="3392"/>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5"/>
      <c r="M20" s="2117"/>
      <c r="N20" s="2117"/>
      <c r="O20" s="2124"/>
      <c r="P20" s="3392"/>
      <c r="Q20" s="1557"/>
      <c r="R20" s="1558"/>
      <c r="S20" s="1559"/>
      <c r="T20" s="1558"/>
      <c r="U20" s="1559"/>
      <c r="V20" s="1558"/>
      <c r="W20" s="1559"/>
      <c r="X20" s="1552"/>
      <c r="Y20" s="3392"/>
      <c r="Z20" s="1560"/>
      <c r="AA20" s="1561">
        <v>1</v>
      </c>
      <c r="AB20" s="1561">
        <v>1</v>
      </c>
      <c r="AC20" s="1561">
        <v>1</v>
      </c>
    </row>
    <row r="21" spans="1:29" ht="41.4">
      <c r="A21" s="531"/>
      <c r="B21" s="2553"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392"/>
      <c r="Q21" s="2541" t="str">
        <f>B21</f>
        <v>基础设施水平</v>
      </c>
      <c r="R21" s="1558" t="s">
        <v>8</v>
      </c>
      <c r="S21" s="1559">
        <f>F21</f>
        <v>100</v>
      </c>
      <c r="T21" s="1558" t="s">
        <v>8</v>
      </c>
      <c r="U21" s="1559">
        <f>H21</f>
        <v>100</v>
      </c>
      <c r="V21" s="1558" t="s">
        <v>8</v>
      </c>
      <c r="W21" s="1559">
        <f>J21</f>
        <v>100</v>
      </c>
      <c r="X21" s="2543"/>
      <c r="Y21" s="3392"/>
      <c r="Z21" s="2542"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4"/>
      <c r="L22" s="2125"/>
      <c r="M22" s="2117"/>
      <c r="N22" s="2117"/>
      <c r="O22" s="2124"/>
      <c r="P22" s="3392"/>
      <c r="Q22" s="2541"/>
      <c r="R22" s="1558"/>
      <c r="S22" s="1559"/>
      <c r="T22" s="1558"/>
      <c r="U22" s="1559"/>
      <c r="V22" s="1558"/>
      <c r="W22" s="1559"/>
      <c r="X22" s="2543"/>
      <c r="Y22" s="3392"/>
      <c r="Z22" s="2542"/>
      <c r="AA22" s="1561">
        <v>1</v>
      </c>
      <c r="AB22" s="1561">
        <v>1</v>
      </c>
      <c r="AC22" s="1561">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392"/>
      <c r="Q23" s="1557" t="str">
        <f>B23</f>
        <v>环境质量</v>
      </c>
      <c r="R23" s="1558" t="s">
        <v>8</v>
      </c>
      <c r="S23" s="1559">
        <f>F23</f>
        <v>100</v>
      </c>
      <c r="T23" s="1558" t="s">
        <v>8</v>
      </c>
      <c r="U23" s="1559">
        <f>H23</f>
        <v>100</v>
      </c>
      <c r="V23" s="1558" t="s">
        <v>8</v>
      </c>
      <c r="W23" s="1559">
        <f>J23</f>
        <v>100</v>
      </c>
      <c r="X23" s="1552"/>
      <c r="Y23" s="3392"/>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5"/>
      <c r="M24" s="2117"/>
      <c r="N24" s="2117"/>
      <c r="O24" s="2124"/>
      <c r="P24" s="3392"/>
      <c r="Q24" s="1557"/>
      <c r="R24" s="1558"/>
      <c r="S24" s="1559"/>
      <c r="T24" s="1558"/>
      <c r="U24" s="1559"/>
      <c r="V24" s="1558"/>
      <c r="W24" s="1559"/>
      <c r="X24" s="1552"/>
      <c r="Y24" s="3392"/>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392"/>
      <c r="Q25" s="1557">
        <f>B25</f>
        <v>111</v>
      </c>
      <c r="R25" s="1558" t="s">
        <v>8</v>
      </c>
      <c r="S25" s="1559">
        <f>F25</f>
        <v>100</v>
      </c>
      <c r="T25" s="1558" t="s">
        <v>8</v>
      </c>
      <c r="U25" s="1559">
        <f>H25</f>
        <v>100</v>
      </c>
      <c r="V25" s="1558" t="s">
        <v>8</v>
      </c>
      <c r="W25" s="1559">
        <f>J25</f>
        <v>100</v>
      </c>
      <c r="X25" s="1552"/>
      <c r="Y25" s="3392"/>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392"/>
      <c r="Q26" s="1557">
        <f t="shared" ref="Q26:Q40" si="11">B26</f>
        <v>111</v>
      </c>
      <c r="R26" s="1558" t="s">
        <v>8</v>
      </c>
      <c r="S26" s="1559">
        <f>F26</f>
        <v>100</v>
      </c>
      <c r="T26" s="1558" t="s">
        <v>8</v>
      </c>
      <c r="U26" s="1559">
        <f>H26</f>
        <v>100</v>
      </c>
      <c r="V26" s="1558" t="s">
        <v>8</v>
      </c>
      <c r="W26" s="1559">
        <f>J26</f>
        <v>100</v>
      </c>
      <c r="X26" s="1552"/>
      <c r="Y26" s="3392"/>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392"/>
      <c r="Q27" s="1145">
        <f t="shared" si="11"/>
        <v>111</v>
      </c>
      <c r="R27" s="1553" t="s">
        <v>8</v>
      </c>
      <c r="S27" s="1554">
        <f>F27</f>
        <v>100</v>
      </c>
      <c r="T27" s="1553" t="s">
        <v>8</v>
      </c>
      <c r="U27" s="1554">
        <f>H27</f>
        <v>100</v>
      </c>
      <c r="V27" s="1553" t="s">
        <v>8</v>
      </c>
      <c r="W27" s="1554">
        <f>J27</f>
        <v>100</v>
      </c>
      <c r="X27" s="1555"/>
      <c r="Y27" s="3392"/>
      <c r="Z27" s="1144">
        <f>Q27</f>
        <v>111</v>
      </c>
      <c r="AA27" s="1561">
        <f>D27/F27</f>
        <v>1</v>
      </c>
      <c r="AB27" s="1561">
        <f>D27/H27</f>
        <v>1</v>
      </c>
      <c r="AC27" s="1561">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392"/>
      <c r="Q28" s="1557">
        <f t="shared" si="11"/>
        <v>111</v>
      </c>
      <c r="R28" s="1558" t="s">
        <v>8</v>
      </c>
      <c r="S28" s="1559">
        <f t="shared" ref="S28:S40" si="12">F28</f>
        <v>100</v>
      </c>
      <c r="T28" s="1558" t="s">
        <v>8</v>
      </c>
      <c r="U28" s="1559">
        <f t="shared" ref="U28:U40" si="13">H28</f>
        <v>100</v>
      </c>
      <c r="V28" s="1558" t="s">
        <v>8</v>
      </c>
      <c r="W28" s="1559">
        <f t="shared" ref="W28:W40" si="14">J28</f>
        <v>100</v>
      </c>
      <c r="X28" s="1552"/>
      <c r="Y28" s="3392"/>
      <c r="Z28" s="1560">
        <f t="shared" ref="Z28:Z40" si="15">Q28</f>
        <v>111</v>
      </c>
      <c r="AA28" s="1561">
        <f t="shared" si="3"/>
        <v>1</v>
      </c>
      <c r="AB28" s="1561">
        <f t="shared" si="4"/>
        <v>1</v>
      </c>
      <c r="AC28" s="1561">
        <f t="shared" si="5"/>
        <v>1</v>
      </c>
    </row>
    <row r="29" spans="1:29" ht="15">
      <c r="A29" s="2860" t="s">
        <v>2754</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393" t="s">
        <v>550</v>
      </c>
      <c r="Q29" s="1557" t="str">
        <f t="shared" si="11"/>
        <v>建筑类型</v>
      </c>
      <c r="R29" s="1558" t="s">
        <v>8</v>
      </c>
      <c r="S29" s="1559">
        <f t="shared" si="12"/>
        <v>100</v>
      </c>
      <c r="T29" s="1558" t="s">
        <v>8</v>
      </c>
      <c r="U29" s="1559">
        <f t="shared" si="13"/>
        <v>100</v>
      </c>
      <c r="V29" s="1558" t="s">
        <v>8</v>
      </c>
      <c r="W29" s="1559">
        <f t="shared" si="14"/>
        <v>100</v>
      </c>
      <c r="X29" s="1552"/>
      <c r="Y29" s="3394" t="s">
        <v>550</v>
      </c>
      <c r="Z29" s="1560" t="str">
        <f t="shared" si="15"/>
        <v>建筑类型</v>
      </c>
      <c r="AA29" s="1561">
        <f t="shared" si="3"/>
        <v>1</v>
      </c>
      <c r="AB29" s="1561">
        <f t="shared" si="4"/>
        <v>1</v>
      </c>
      <c r="AC29" s="1561">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394"/>
      <c r="Q30" s="1589" t="str">
        <f t="shared" si="11"/>
        <v>项目建筑规模</v>
      </c>
      <c r="R30" s="1562" t="s">
        <v>8</v>
      </c>
      <c r="S30" s="1563" t="e">
        <f t="shared" si="12"/>
        <v>#N/A</v>
      </c>
      <c r="T30" s="1562" t="s">
        <v>8</v>
      </c>
      <c r="U30" s="1563" t="e">
        <f t="shared" si="13"/>
        <v>#N/A</v>
      </c>
      <c r="V30" s="1562" t="s">
        <v>8</v>
      </c>
      <c r="W30" s="1563" t="e">
        <f t="shared" si="14"/>
        <v>#N/A</v>
      </c>
      <c r="X30" s="1564"/>
      <c r="Y30" s="3394"/>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394"/>
      <c r="Q31" s="1557" t="str">
        <f t="shared" si="11"/>
        <v>建筑结构</v>
      </c>
      <c r="R31" s="1558" t="s">
        <v>8</v>
      </c>
      <c r="S31" s="1559">
        <f t="shared" si="12"/>
        <v>100</v>
      </c>
      <c r="T31" s="1558" t="s">
        <v>8</v>
      </c>
      <c r="U31" s="1559">
        <f t="shared" si="13"/>
        <v>100</v>
      </c>
      <c r="V31" s="1558" t="s">
        <v>8</v>
      </c>
      <c r="W31" s="1559">
        <f t="shared" si="14"/>
        <v>100</v>
      </c>
      <c r="X31" s="1552"/>
      <c r="Y31" s="3394"/>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394"/>
      <c r="Q32" s="1557" t="str">
        <f t="shared" si="11"/>
        <v>公共部分装修</v>
      </c>
      <c r="R32" s="1558" t="s">
        <v>8</v>
      </c>
      <c r="S32" s="1559">
        <f t="shared" si="12"/>
        <v>100</v>
      </c>
      <c r="T32" s="1558" t="s">
        <v>8</v>
      </c>
      <c r="U32" s="1559">
        <f t="shared" si="13"/>
        <v>100</v>
      </c>
      <c r="V32" s="1558" t="s">
        <v>8</v>
      </c>
      <c r="W32" s="1559">
        <f t="shared" si="14"/>
        <v>100</v>
      </c>
      <c r="X32" s="1552"/>
      <c r="Y32" s="3394"/>
      <c r="Z32" s="1560" t="str">
        <f t="shared" si="15"/>
        <v>公共部分装修</v>
      </c>
      <c r="AA32" s="1561">
        <f t="shared" si="3"/>
        <v>1</v>
      </c>
      <c r="AB32" s="1561">
        <f t="shared" si="4"/>
        <v>1</v>
      </c>
      <c r="AC32" s="1561">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394"/>
      <c r="Q33" s="1557" t="str">
        <f t="shared" si="11"/>
        <v>成新度</v>
      </c>
      <c r="R33" s="1558" t="s">
        <v>8</v>
      </c>
      <c r="S33" s="1559" t="e">
        <f t="shared" si="12"/>
        <v>#N/A</v>
      </c>
      <c r="T33" s="1558" t="s">
        <v>8</v>
      </c>
      <c r="U33" s="1559" t="e">
        <f t="shared" si="13"/>
        <v>#N/A</v>
      </c>
      <c r="V33" s="1558" t="s">
        <v>8</v>
      </c>
      <c r="W33" s="1559" t="e">
        <f t="shared" si="14"/>
        <v>#N/A</v>
      </c>
      <c r="X33" s="1552"/>
      <c r="Y33" s="3394"/>
      <c r="Z33" s="1560" t="str">
        <f t="shared" si="15"/>
        <v>成新度</v>
      </c>
      <c r="AA33" s="1561" t="e">
        <f t="shared" si="3"/>
        <v>#N/A</v>
      </c>
      <c r="AB33" s="1561" t="e">
        <f t="shared" si="4"/>
        <v>#N/A</v>
      </c>
      <c r="AC33" s="1561"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394"/>
      <c r="Q34" s="1145" t="str">
        <f t="shared" si="11"/>
        <v>物业管理</v>
      </c>
      <c r="R34" s="1553" t="s">
        <v>8</v>
      </c>
      <c r="S34" s="1554">
        <f t="shared" si="12"/>
        <v>100</v>
      </c>
      <c r="T34" s="1553" t="s">
        <v>8</v>
      </c>
      <c r="U34" s="1554">
        <f t="shared" si="13"/>
        <v>100</v>
      </c>
      <c r="V34" s="1553" t="s">
        <v>8</v>
      </c>
      <c r="W34" s="1554">
        <f t="shared" si="14"/>
        <v>100</v>
      </c>
      <c r="X34" s="1555"/>
      <c r="Y34" s="3394"/>
      <c r="Z34" s="1144" t="str">
        <f t="shared" si="15"/>
        <v>物业管理</v>
      </c>
      <c r="AA34" s="1556">
        <f t="shared" si="3"/>
        <v>1</v>
      </c>
      <c r="AB34" s="1556">
        <f t="shared" si="4"/>
        <v>1</v>
      </c>
      <c r="AC34" s="1556">
        <f t="shared" si="5"/>
        <v>1</v>
      </c>
    </row>
    <row r="35" spans="1:29" ht="15">
      <c r="A35" s="593"/>
      <c r="B35" s="1878"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394" t="s">
        <v>550</v>
      </c>
      <c r="Q35" s="1557" t="str">
        <f t="shared" si="11"/>
        <v>市政基础设施</v>
      </c>
      <c r="R35" s="1558" t="s">
        <v>8</v>
      </c>
      <c r="S35" s="1559">
        <f t="shared" si="12"/>
        <v>100</v>
      </c>
      <c r="T35" s="1558" t="s">
        <v>8</v>
      </c>
      <c r="U35" s="1559">
        <f t="shared" si="13"/>
        <v>100</v>
      </c>
      <c r="V35" s="1558" t="s">
        <v>8</v>
      </c>
      <c r="W35" s="1559">
        <f t="shared" si="14"/>
        <v>100</v>
      </c>
      <c r="X35" s="1552"/>
      <c r="Y35" s="3394"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394"/>
      <c r="Q36" s="1557" t="str">
        <f t="shared" si="11"/>
        <v>内部装修</v>
      </c>
      <c r="R36" s="1558" t="s">
        <v>8</v>
      </c>
      <c r="S36" s="1559">
        <f t="shared" si="12"/>
        <v>100</v>
      </c>
      <c r="T36" s="1558" t="s">
        <v>8</v>
      </c>
      <c r="U36" s="1559">
        <f t="shared" si="13"/>
        <v>100</v>
      </c>
      <c r="V36" s="1558" t="s">
        <v>8</v>
      </c>
      <c r="W36" s="1559">
        <f t="shared" si="14"/>
        <v>100</v>
      </c>
      <c r="X36" s="1552"/>
      <c r="Y36" s="3394"/>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394"/>
      <c r="Q37" s="1557" t="str">
        <f t="shared" si="11"/>
        <v>内部装修状况</v>
      </c>
      <c r="R37" s="1558" t="s">
        <v>8</v>
      </c>
      <c r="S37" s="1559">
        <f t="shared" si="12"/>
        <v>100</v>
      </c>
      <c r="T37" s="1558" t="s">
        <v>8</v>
      </c>
      <c r="U37" s="1559">
        <f t="shared" si="13"/>
        <v>100</v>
      </c>
      <c r="V37" s="1558" t="s">
        <v>8</v>
      </c>
      <c r="W37" s="1559">
        <f t="shared" si="14"/>
        <v>100</v>
      </c>
      <c r="X37" s="1552"/>
      <c r="Y37" s="3394"/>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394"/>
      <c r="Q38" s="1589">
        <f t="shared" si="11"/>
        <v>111</v>
      </c>
      <c r="R38" s="1562" t="s">
        <v>8</v>
      </c>
      <c r="S38" s="1563">
        <f t="shared" si="12"/>
        <v>100</v>
      </c>
      <c r="T38" s="1562" t="s">
        <v>8</v>
      </c>
      <c r="U38" s="1563">
        <f t="shared" si="13"/>
        <v>100</v>
      </c>
      <c r="V38" s="1562" t="s">
        <v>8</v>
      </c>
      <c r="W38" s="1563">
        <f t="shared" si="14"/>
        <v>100</v>
      </c>
      <c r="X38" s="1564"/>
      <c r="Y38" s="3394"/>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394"/>
      <c r="Q39" s="1557">
        <f t="shared" si="11"/>
        <v>111</v>
      </c>
      <c r="R39" s="1558" t="s">
        <v>8</v>
      </c>
      <c r="S39" s="1559">
        <f t="shared" si="12"/>
        <v>100</v>
      </c>
      <c r="T39" s="1558" t="s">
        <v>8</v>
      </c>
      <c r="U39" s="1559">
        <f t="shared" si="13"/>
        <v>100</v>
      </c>
      <c r="V39" s="1558" t="s">
        <v>8</v>
      </c>
      <c r="W39" s="1559">
        <f t="shared" si="14"/>
        <v>100</v>
      </c>
      <c r="X39" s="1552"/>
      <c r="Y39" s="3394"/>
      <c r="Z39" s="1560">
        <f t="shared" si="15"/>
        <v>111</v>
      </c>
      <c r="AA39" s="1561">
        <f t="shared" si="3"/>
        <v>1</v>
      </c>
      <c r="AB39" s="1561">
        <f t="shared" si="4"/>
        <v>1</v>
      </c>
      <c r="AC39" s="1561">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499"/>
      <c r="Q40" s="1557">
        <f t="shared" si="11"/>
        <v>111</v>
      </c>
      <c r="R40" s="1558" t="s">
        <v>8</v>
      </c>
      <c r="S40" s="1559">
        <f t="shared" si="12"/>
        <v>100</v>
      </c>
      <c r="T40" s="1558" t="s">
        <v>8</v>
      </c>
      <c r="U40" s="1559">
        <f t="shared" si="13"/>
        <v>100</v>
      </c>
      <c r="V40" s="1558" t="s">
        <v>8</v>
      </c>
      <c r="W40" s="1559">
        <f t="shared" si="14"/>
        <v>100</v>
      </c>
      <c r="X40" s="1552"/>
      <c r="Y40" s="3499"/>
      <c r="Z40" s="1560">
        <f t="shared" si="15"/>
        <v>111</v>
      </c>
      <c r="AA40" s="1561">
        <f t="shared" si="3"/>
        <v>1</v>
      </c>
      <c r="AB40" s="1561">
        <f t="shared" si="4"/>
        <v>1</v>
      </c>
      <c r="AC40" s="1561">
        <f t="shared" si="5"/>
        <v>1</v>
      </c>
    </row>
    <row r="41" spans="1:29" ht="14.4">
      <c r="A41" s="606" t="s">
        <v>736</v>
      </c>
      <c r="B41" s="885"/>
      <c r="C41" s="2589" t="s">
        <v>1</v>
      </c>
      <c r="D41" s="2590"/>
      <c r="E41" s="2591"/>
      <c r="F41" s="2592"/>
      <c r="G41" s="2593"/>
      <c r="H41" s="2594"/>
      <c r="I41" s="2591"/>
      <c r="J41" s="2594"/>
      <c r="K41" s="1595"/>
      <c r="L41" s="2127"/>
      <c r="M41" s="2128"/>
      <c r="N41" s="2117"/>
      <c r="O41" s="2128"/>
      <c r="P41" s="3389" t="str">
        <f>A41</f>
        <v>成交单价（元/平方米）</v>
      </c>
      <c r="Q41" s="3389"/>
      <c r="R41" s="3498">
        <f>E41</f>
        <v>0</v>
      </c>
      <c r="S41" s="3498"/>
      <c r="T41" s="3498">
        <f>G41</f>
        <v>0</v>
      </c>
      <c r="U41" s="3498"/>
      <c r="V41" s="3498">
        <f>I41</f>
        <v>0</v>
      </c>
      <c r="W41" s="3498"/>
      <c r="X41" s="1544"/>
      <c r="Y41" s="1566"/>
      <c r="Z41" s="1544"/>
      <c r="AA41" s="1544"/>
      <c r="AB41" s="1544"/>
      <c r="AC41" s="1544"/>
    </row>
    <row r="42" spans="1:29" ht="15" thickBot="1">
      <c r="A42" s="614" t="s">
        <v>2759</v>
      </c>
      <c r="B42" s="886"/>
      <c r="C42" s="2595" t="e">
        <f>R43</f>
        <v>#DIV/0!</v>
      </c>
      <c r="D42" s="2596"/>
      <c r="E42" s="2597" t="e">
        <f>R42</f>
        <v>#DIV/0!</v>
      </c>
      <c r="F42" s="2597"/>
      <c r="G42" s="2595" t="e">
        <f>T42</f>
        <v>#DIV/0!</v>
      </c>
      <c r="H42" s="2596"/>
      <c r="I42" s="2597" t="e">
        <f>V42</f>
        <v>#DIV/0!</v>
      </c>
      <c r="J42" s="2596"/>
      <c r="K42" s="1596"/>
      <c r="L42" s="2127"/>
      <c r="M42" s="2128"/>
      <c r="N42" s="2117"/>
      <c r="O42" s="2128"/>
      <c r="P42" s="3389" t="str">
        <f>A42</f>
        <v>比较价格（元/平方米）</v>
      </c>
      <c r="Q42" s="3389"/>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44"/>
      <c r="Y42" s="1544"/>
      <c r="Z42" s="1544"/>
      <c r="AA42" s="1544"/>
      <c r="AB42" s="1544"/>
      <c r="AC42" s="1544"/>
    </row>
    <row r="43" spans="1:29" ht="15" thickBot="1">
      <c r="A43" s="620" t="s">
        <v>2930</v>
      </c>
      <c r="B43" s="621"/>
      <c r="C43" s="2598" t="e">
        <f>R43</f>
        <v>#DIV/0!</v>
      </c>
      <c r="D43" s="2598"/>
      <c r="E43" s="2598"/>
      <c r="F43" s="2598"/>
      <c r="G43" s="2598"/>
      <c r="H43" s="2598"/>
      <c r="I43" s="2598"/>
      <c r="J43" s="2598"/>
      <c r="K43" s="1597"/>
      <c r="L43" s="2127"/>
      <c r="M43" s="2128"/>
      <c r="N43" s="2128"/>
      <c r="O43" s="2128"/>
      <c r="P43" s="3411" t="str">
        <f>A43</f>
        <v>估价对象XX用房的比较价格（楼面单价，元/平方米）</v>
      </c>
      <c r="Q43" s="3412"/>
      <c r="R43" s="3497" t="e">
        <f>IF(F1="售价",ROUND(AVERAGE(R42:V42),0),ROUND(AVERAGE(R42:V42),1))</f>
        <v>#DIV/0!</v>
      </c>
      <c r="S43" s="3497"/>
      <c r="T43" s="3497"/>
      <c r="U43" s="3497"/>
      <c r="V43" s="3497"/>
      <c r="W43" s="3497"/>
      <c r="X43" s="1544"/>
      <c r="Y43" s="1544"/>
      <c r="Z43" s="1544"/>
      <c r="AA43" s="1544"/>
      <c r="AB43" s="1544"/>
      <c r="AC43" s="1544"/>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69" t="s">
        <v>574</v>
      </c>
      <c r="B51" s="1544"/>
      <c r="C51" s="1568"/>
      <c r="D51" s="1568"/>
      <c r="E51" s="1568"/>
      <c r="F51" s="1570"/>
      <c r="G51" s="1570"/>
      <c r="H51" s="1568"/>
      <c r="I51" s="1568"/>
      <c r="J51" s="1568"/>
      <c r="K51" s="1571"/>
      <c r="L51" s="1567"/>
      <c r="M51" s="1568"/>
      <c r="N51" s="1568"/>
      <c r="O51" s="1568"/>
      <c r="P51" s="2140"/>
      <c r="Q51" s="2141"/>
      <c r="R51" s="2128"/>
      <c r="S51" s="2128"/>
      <c r="T51" s="2128"/>
      <c r="U51" s="2128"/>
      <c r="V51" s="2128"/>
      <c r="W51" s="2128"/>
      <c r="X51" s="2128"/>
      <c r="Y51" s="2128"/>
      <c r="Z51" s="2128"/>
      <c r="AA51" s="2128"/>
      <c r="AB51" s="2128"/>
      <c r="AC51" s="2128"/>
    </row>
    <row r="52" spans="1:29" s="1341" customFormat="1" ht="14.4">
      <c r="A52" s="644" t="s">
        <v>529</v>
      </c>
      <c r="B52" s="645"/>
      <c r="C52" s="2755" t="str">
        <f>YEAR(C7)&amp;"-"&amp;MONTH(C7)</f>
        <v>2020-1</v>
      </c>
      <c r="D52" s="2757">
        <f>EDATE(C52,-1)</f>
        <v>43800</v>
      </c>
      <c r="E52" s="2757">
        <f t="shared" ref="E52:O52" si="16">EDATE(D52,-1)</f>
        <v>43770</v>
      </c>
      <c r="F52" s="2757">
        <f t="shared" si="16"/>
        <v>43739</v>
      </c>
      <c r="G52" s="2757">
        <f t="shared" si="16"/>
        <v>43709</v>
      </c>
      <c r="H52" s="2757">
        <f t="shared" si="16"/>
        <v>43678</v>
      </c>
      <c r="I52" s="2757">
        <f t="shared" si="16"/>
        <v>43647</v>
      </c>
      <c r="J52" s="2757">
        <f t="shared" si="16"/>
        <v>43617</v>
      </c>
      <c r="K52" s="2757">
        <f t="shared" si="16"/>
        <v>43586</v>
      </c>
      <c r="L52" s="2757">
        <f t="shared" si="16"/>
        <v>43556</v>
      </c>
      <c r="M52" s="2757">
        <f t="shared" si="16"/>
        <v>43525</v>
      </c>
      <c r="N52" s="2757">
        <f t="shared" si="16"/>
        <v>43497</v>
      </c>
      <c r="O52" s="2757">
        <f t="shared" si="16"/>
        <v>43466</v>
      </c>
      <c r="P52" s="2143"/>
      <c r="Q52" s="2144"/>
      <c r="R52" s="2144"/>
      <c r="S52" s="2144"/>
      <c r="T52" s="2144"/>
      <c r="U52" s="2144"/>
      <c r="V52" s="2144"/>
      <c r="W52" s="2144"/>
      <c r="X52" s="2144"/>
      <c r="Y52" s="2144"/>
      <c r="Z52" s="2144"/>
      <c r="AA52" s="2144"/>
      <c r="AB52" s="2144"/>
      <c r="AC52" s="2144"/>
    </row>
    <row r="53" spans="1:29" s="1214" customFormat="1">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4" customFormat="1" ht="1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4" customFormat="1" ht="14.4">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4" customFormat="1" ht="14.4"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ht="14.4">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4.4"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3" customFormat="1" ht="14.4"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3" customFormat="1" ht="14.4"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3" customFormat="1" ht="14.4"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3" customFormat="1" ht="14.4"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3" customFormat="1" ht="14.4"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3" customFormat="1" ht="14.4"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ht="14.4">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 thickTop="1">
      <c r="A74" s="668"/>
      <c r="B74" s="1879" t="s">
        <v>2556</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 thickTop="1">
      <c r="A76" s="668"/>
      <c r="B76" s="2559" t="s">
        <v>2557</v>
      </c>
      <c r="C76" s="2560" t="s">
        <v>2558</v>
      </c>
      <c r="D76" s="2560" t="s">
        <v>2559</v>
      </c>
      <c r="E76" s="2560" t="s">
        <v>2560</v>
      </c>
      <c r="F76" s="2560" t="s">
        <v>2561</v>
      </c>
      <c r="G76" s="2560" t="s">
        <v>2562</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4" customFormat="1" ht="14.4"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4.4"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4" customFormat="1" ht="14.4"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4.4"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3" customFormat="1" ht="14.4"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4.4"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4.4"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4.4"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ht="14.4">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4.4"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3"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2555</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4.4"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3" customFormat="1" ht="14.4"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4.4"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4.4"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4.4"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921"/>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795</v>
      </c>
      <c r="B3" s="509" t="e">
        <f>IF(B37="元/平方米",C39,ROUND(B2*10000/D3,0))</f>
        <v>#DIV/0!</v>
      </c>
      <c r="C3" s="851" t="s">
        <v>796</v>
      </c>
      <c r="D3" s="850">
        <f>SUMIF('数据-汇总表'!$C19:$C33,D1,'数据-汇总表'!$E19:$E33)</f>
        <v>0</v>
      </c>
      <c r="E3" s="1831" t="s">
        <v>2076</v>
      </c>
      <c r="F3" s="850">
        <f>SUMIF('数据-取费表'!A5:A15,D1,'数据-取费表'!AH5:AH15)</f>
        <v>0</v>
      </c>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4.4">
      <c r="A4" s="511" t="s">
        <v>797</v>
      </c>
      <c r="B4" s="512"/>
      <c r="C4" s="3395" t="s">
        <v>798</v>
      </c>
      <c r="D4" s="3396"/>
      <c r="E4" s="3395" t="s">
        <v>799</v>
      </c>
      <c r="F4" s="3396"/>
      <c r="G4" s="3395" t="s">
        <v>800</v>
      </c>
      <c r="H4" s="3396"/>
      <c r="I4" s="3395" t="s">
        <v>801</v>
      </c>
      <c r="J4" s="3396"/>
      <c r="K4" s="513" t="s">
        <v>802</v>
      </c>
      <c r="L4" s="2116"/>
      <c r="M4" s="2117"/>
      <c r="N4" s="2117"/>
      <c r="O4" s="2117"/>
      <c r="P4" s="3397" t="s">
        <v>803</v>
      </c>
      <c r="Q4" s="3398"/>
      <c r="R4" s="3383" t="s">
        <v>799</v>
      </c>
      <c r="S4" s="3384"/>
      <c r="T4" s="3383" t="s">
        <v>800</v>
      </c>
      <c r="U4" s="3384"/>
      <c r="V4" s="3403" t="s">
        <v>801</v>
      </c>
      <c r="W4" s="3403"/>
      <c r="X4" s="1552"/>
      <c r="Y4" s="3383" t="s">
        <v>803</v>
      </c>
      <c r="Z4" s="3384"/>
      <c r="AA4" s="3378" t="s">
        <v>799</v>
      </c>
      <c r="AB4" s="3379" t="s">
        <v>800</v>
      </c>
      <c r="AC4" s="3378" t="s">
        <v>801</v>
      </c>
    </row>
    <row r="5" spans="1:29">
      <c r="A5" s="514"/>
      <c r="B5" s="515"/>
      <c r="C5" s="3408" t="s">
        <v>2924</v>
      </c>
      <c r="D5" s="3407"/>
      <c r="E5" s="3408" t="s">
        <v>2925</v>
      </c>
      <c r="F5" s="3407"/>
      <c r="G5" s="3408" t="s">
        <v>2926</v>
      </c>
      <c r="H5" s="3407"/>
      <c r="I5" s="3408" t="s">
        <v>2927</v>
      </c>
      <c r="J5" s="3407"/>
      <c r="K5" s="513"/>
      <c r="L5" s="2116"/>
      <c r="M5" s="2117"/>
      <c r="N5" s="2117"/>
      <c r="O5" s="2117"/>
      <c r="P5" s="3399"/>
      <c r="Q5" s="3400"/>
      <c r="R5" s="3385"/>
      <c r="S5" s="3386"/>
      <c r="T5" s="3385"/>
      <c r="U5" s="3386"/>
      <c r="V5" s="3403"/>
      <c r="W5" s="3403"/>
      <c r="X5" s="1552"/>
      <c r="Y5" s="3385"/>
      <c r="Z5" s="3386"/>
      <c r="AA5" s="3379"/>
      <c r="AB5" s="3379"/>
      <c r="AC5" s="3379"/>
    </row>
    <row r="6" spans="1:29" ht="15" thickBot="1">
      <c r="A6" s="516"/>
      <c r="B6" s="517"/>
      <c r="C6" s="3424" t="s">
        <v>2928</v>
      </c>
      <c r="D6" s="3405"/>
      <c r="E6" s="3504" t="s">
        <v>2928</v>
      </c>
      <c r="F6" s="3410"/>
      <c r="G6" s="3424" t="s">
        <v>2928</v>
      </c>
      <c r="H6" s="3405"/>
      <c r="I6" s="3424" t="s">
        <v>2928</v>
      </c>
      <c r="J6" s="3405"/>
      <c r="K6" s="513" t="s">
        <v>528</v>
      </c>
      <c r="L6" s="2116"/>
      <c r="M6" s="2117"/>
      <c r="N6" s="2117"/>
      <c r="O6" s="2117"/>
      <c r="P6" s="3401"/>
      <c r="Q6" s="3402"/>
      <c r="R6" s="3385"/>
      <c r="S6" s="3386"/>
      <c r="T6" s="3387"/>
      <c r="U6" s="3388"/>
      <c r="V6" s="3403"/>
      <c r="W6" s="3403"/>
      <c r="X6" s="1552"/>
      <c r="Y6" s="3387"/>
      <c r="Z6" s="3388"/>
      <c r="AA6" s="3380"/>
      <c r="AB6" s="3380"/>
      <c r="AC6" s="3380"/>
    </row>
    <row r="7" spans="1:29" s="1214" customFormat="1" ht="15" thickBot="1">
      <c r="A7" s="2865"/>
      <c r="B7" s="2872" t="s">
        <v>529</v>
      </c>
      <c r="C7" s="518">
        <f>'数据-取费表'!B2</f>
        <v>43840</v>
      </c>
      <c r="D7" s="519">
        <v>100</v>
      </c>
      <c r="E7" s="520"/>
      <c r="F7" s="521">
        <f>SUMIF(48:48,YEAR(E7)&amp;"-"&amp;MONTH(E7),49:49)</f>
        <v>0</v>
      </c>
      <c r="G7" s="522"/>
      <c r="H7" s="519">
        <f>SUMIF(48:48,YEAR(G7)&amp;"-"&amp;MONTH(G7),49:49)</f>
        <v>0</v>
      </c>
      <c r="I7" s="522"/>
      <c r="J7" s="519">
        <f>SUMIF(48:48,YEAR(I7)&amp;"-"&amp;MONTH(I7),49:49)</f>
        <v>0</v>
      </c>
      <c r="K7" s="523"/>
      <c r="L7" s="2118"/>
      <c r="M7" s="2119"/>
      <c r="N7" s="2119"/>
      <c r="O7" s="2119"/>
      <c r="P7" s="3381" t="s">
        <v>530</v>
      </c>
      <c r="Q7" s="3390"/>
      <c r="R7" s="1553" t="s">
        <v>8</v>
      </c>
      <c r="S7" s="1554">
        <f t="shared" ref="S7:S14" si="0">F7</f>
        <v>0</v>
      </c>
      <c r="T7" s="1553" t="s">
        <v>8</v>
      </c>
      <c r="U7" s="1554">
        <f t="shared" ref="U7:U14" si="1">H7</f>
        <v>0</v>
      </c>
      <c r="V7" s="1553" t="s">
        <v>8</v>
      </c>
      <c r="W7" s="1554">
        <f t="shared" ref="W7:W14" si="2">J7</f>
        <v>0</v>
      </c>
      <c r="X7" s="1555"/>
      <c r="Y7" s="3381" t="s">
        <v>530</v>
      </c>
      <c r="Z7" s="3382"/>
      <c r="AA7" s="1556" t="e">
        <f>D7/F7</f>
        <v>#DIV/0!</v>
      </c>
      <c r="AB7" s="1556" t="e">
        <f>D7/H7</f>
        <v>#DIV/0!</v>
      </c>
      <c r="AC7" s="1556" t="e">
        <f>D7/J7</f>
        <v>#DIV/0!</v>
      </c>
    </row>
    <row r="8" spans="1:29" s="1214" customFormat="1" ht="1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381" t="s">
        <v>533</v>
      </c>
      <c r="Q8" s="3382"/>
      <c r="R8" s="1553" t="s">
        <v>8</v>
      </c>
      <c r="S8" s="1554">
        <f t="shared" si="0"/>
        <v>0</v>
      </c>
      <c r="T8" s="1553" t="s">
        <v>8</v>
      </c>
      <c r="U8" s="1554">
        <f t="shared" si="1"/>
        <v>0</v>
      </c>
      <c r="V8" s="1553" t="s">
        <v>8</v>
      </c>
      <c r="W8" s="1554">
        <f t="shared" si="2"/>
        <v>0</v>
      </c>
      <c r="X8" s="1555"/>
      <c r="Y8" s="3381" t="s">
        <v>533</v>
      </c>
      <c r="Z8" s="3382"/>
      <c r="AA8" s="1556" t="e">
        <f t="shared" ref="AA8:AA36" si="3">D8/F8</f>
        <v>#DIV/0!</v>
      </c>
      <c r="AB8" s="1556" t="e">
        <f t="shared" ref="AB8:AB36" si="4">D8/H8</f>
        <v>#DIV/0!</v>
      </c>
      <c r="AC8" s="1556" t="e">
        <f t="shared" ref="AC8:AC36" si="5">D8/J8</f>
        <v>#DIV/0!</v>
      </c>
    </row>
    <row r="9" spans="1:29" s="1214" customFormat="1" ht="14.4">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389" t="s">
        <v>535</v>
      </c>
      <c r="Q9" s="1145" t="str">
        <f t="shared" ref="Q9:Q14" si="6">B9</f>
        <v>用途</v>
      </c>
      <c r="R9" s="1553" t="s">
        <v>8</v>
      </c>
      <c r="S9" s="1554">
        <f t="shared" si="0"/>
        <v>100</v>
      </c>
      <c r="T9" s="1553" t="s">
        <v>8</v>
      </c>
      <c r="U9" s="1554">
        <f t="shared" si="1"/>
        <v>100</v>
      </c>
      <c r="V9" s="1553" t="s">
        <v>8</v>
      </c>
      <c r="W9" s="1554">
        <f t="shared" si="2"/>
        <v>100</v>
      </c>
      <c r="X9" s="1555"/>
      <c r="Y9" s="3346" t="s">
        <v>536</v>
      </c>
      <c r="Z9" s="1144" t="str">
        <f t="shared" ref="Z9:Z14" si="7">Q9</f>
        <v>用途</v>
      </c>
      <c r="AA9" s="1556">
        <f t="shared" si="3"/>
        <v>1</v>
      </c>
      <c r="AB9" s="1556">
        <f t="shared" si="4"/>
        <v>1</v>
      </c>
      <c r="AC9" s="1556">
        <f t="shared" si="5"/>
        <v>1</v>
      </c>
    </row>
    <row r="10" spans="1:29" s="1332" customFormat="1" ht="28.8">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389"/>
      <c r="Q10" s="1145" t="str">
        <f t="shared" si="6"/>
        <v>土地使用年限（年）</v>
      </c>
      <c r="R10" s="1553" t="s">
        <v>8</v>
      </c>
      <c r="S10" s="1554">
        <f t="shared" si="0"/>
        <v>100</v>
      </c>
      <c r="T10" s="1553" t="s">
        <v>8</v>
      </c>
      <c r="U10" s="1554">
        <f t="shared" si="1"/>
        <v>100</v>
      </c>
      <c r="V10" s="1553" t="s">
        <v>8</v>
      </c>
      <c r="W10" s="1554">
        <f t="shared" si="2"/>
        <v>100</v>
      </c>
      <c r="X10" s="1555"/>
      <c r="Y10" s="3346"/>
      <c r="Z10" s="1144"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89"/>
      <c r="Q11" s="1145">
        <f t="shared" si="6"/>
        <v>111</v>
      </c>
      <c r="R11" s="1553" t="s">
        <v>8</v>
      </c>
      <c r="S11" s="1554">
        <f t="shared" si="0"/>
        <v>100</v>
      </c>
      <c r="T11" s="1553" t="s">
        <v>8</v>
      </c>
      <c r="U11" s="1554">
        <f t="shared" si="1"/>
        <v>100</v>
      </c>
      <c r="V11" s="1553" t="s">
        <v>8</v>
      </c>
      <c r="W11" s="1554">
        <f t="shared" si="2"/>
        <v>100</v>
      </c>
      <c r="X11" s="1555"/>
      <c r="Y11" s="3346"/>
      <c r="Z11" s="1144">
        <f t="shared" si="7"/>
        <v>111</v>
      </c>
      <c r="AA11" s="1556">
        <f t="shared" si="3"/>
        <v>1</v>
      </c>
      <c r="AB11" s="1556">
        <f t="shared" si="4"/>
        <v>1</v>
      </c>
      <c r="AC11" s="1556">
        <f t="shared" si="5"/>
        <v>1</v>
      </c>
    </row>
    <row r="12" spans="1:29" s="1214"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89"/>
      <c r="Q12" s="1145">
        <f t="shared" si="6"/>
        <v>111</v>
      </c>
      <c r="R12" s="1553" t="s">
        <v>8</v>
      </c>
      <c r="S12" s="1554">
        <f t="shared" si="0"/>
        <v>100</v>
      </c>
      <c r="T12" s="1553" t="s">
        <v>8</v>
      </c>
      <c r="U12" s="1554">
        <f t="shared" si="1"/>
        <v>100</v>
      </c>
      <c r="V12" s="1553" t="s">
        <v>8</v>
      </c>
      <c r="W12" s="1554">
        <f t="shared" si="2"/>
        <v>100</v>
      </c>
      <c r="X12" s="1555"/>
      <c r="Y12" s="3346"/>
      <c r="Z12" s="1144">
        <f t="shared" si="7"/>
        <v>111</v>
      </c>
      <c r="AA12" s="1556">
        <f>D12/F12</f>
        <v>1</v>
      </c>
      <c r="AB12" s="1556">
        <f>D12/H12</f>
        <v>1</v>
      </c>
      <c r="AC12" s="1556">
        <f>D12/J12</f>
        <v>1</v>
      </c>
    </row>
    <row r="13" spans="1:29" ht="15.6"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89"/>
      <c r="Q13" s="1145">
        <f t="shared" si="6"/>
        <v>111</v>
      </c>
      <c r="R13" s="1553" t="s">
        <v>8</v>
      </c>
      <c r="S13" s="1554">
        <f t="shared" si="0"/>
        <v>100</v>
      </c>
      <c r="T13" s="1553" t="s">
        <v>8</v>
      </c>
      <c r="U13" s="1554">
        <f t="shared" si="1"/>
        <v>100</v>
      </c>
      <c r="V13" s="1553" t="s">
        <v>8</v>
      </c>
      <c r="W13" s="1554">
        <f t="shared" si="2"/>
        <v>100</v>
      </c>
      <c r="X13" s="1555"/>
      <c r="Y13" s="3346"/>
      <c r="Z13" s="1144">
        <f t="shared" si="7"/>
        <v>111</v>
      </c>
      <c r="AA13" s="1556">
        <f t="shared" si="3"/>
        <v>1</v>
      </c>
      <c r="AB13" s="1556">
        <f t="shared" si="4"/>
        <v>1</v>
      </c>
      <c r="AC13" s="1556">
        <f t="shared" si="5"/>
        <v>1</v>
      </c>
    </row>
    <row r="14" spans="1:29" ht="15">
      <c r="A14" s="2863" t="s">
        <v>2753</v>
      </c>
      <c r="B14" s="546" t="s">
        <v>543</v>
      </c>
      <c r="C14" s="919"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391" t="s">
        <v>540</v>
      </c>
      <c r="Q14" s="1557" t="str">
        <f t="shared" si="6"/>
        <v>交通便捷度</v>
      </c>
      <c r="R14" s="1558" t="s">
        <v>8</v>
      </c>
      <c r="S14" s="1559">
        <f t="shared" si="0"/>
        <v>100</v>
      </c>
      <c r="T14" s="1558" t="s">
        <v>8</v>
      </c>
      <c r="U14" s="1559">
        <f t="shared" si="1"/>
        <v>100</v>
      </c>
      <c r="V14" s="1558" t="s">
        <v>8</v>
      </c>
      <c r="W14" s="1559">
        <f t="shared" si="2"/>
        <v>100</v>
      </c>
      <c r="X14" s="1552"/>
      <c r="Y14" s="3391" t="s">
        <v>540</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5"/>
      <c r="M15" s="2117"/>
      <c r="N15" s="2117"/>
      <c r="O15" s="2124"/>
      <c r="P15" s="3392"/>
      <c r="Q15" s="1557"/>
      <c r="R15" s="1558"/>
      <c r="S15" s="1559"/>
      <c r="T15" s="1558"/>
      <c r="U15" s="1559"/>
      <c r="V15" s="1558"/>
      <c r="W15" s="1559"/>
      <c r="X15" s="1552"/>
      <c r="Y15" s="3392"/>
      <c r="Z15" s="1560"/>
      <c r="AA15" s="1561">
        <v>1</v>
      </c>
      <c r="AB15" s="1561">
        <v>1</v>
      </c>
      <c r="AC15" s="1561">
        <v>1</v>
      </c>
    </row>
    <row r="16" spans="1:29" ht="15">
      <c r="A16" s="514"/>
      <c r="B16" s="2565" t="s">
        <v>2545</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392"/>
      <c r="Q16" s="1557" t="str">
        <f>B16</f>
        <v>公共配套设施</v>
      </c>
      <c r="R16" s="1558" t="s">
        <v>8</v>
      </c>
      <c r="S16" s="1559">
        <f>F16</f>
        <v>100</v>
      </c>
      <c r="T16" s="1558" t="s">
        <v>8</v>
      </c>
      <c r="U16" s="1559">
        <f>H16</f>
        <v>100</v>
      </c>
      <c r="V16" s="1558" t="s">
        <v>8</v>
      </c>
      <c r="W16" s="1559">
        <f>J16</f>
        <v>100</v>
      </c>
      <c r="X16" s="1552"/>
      <c r="Y16" s="3392"/>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5"/>
      <c r="M17" s="2117"/>
      <c r="N17" s="2117"/>
      <c r="O17" s="2124"/>
      <c r="P17" s="3392"/>
      <c r="Q17" s="1557"/>
      <c r="R17" s="1558"/>
      <c r="S17" s="1559"/>
      <c r="T17" s="1558"/>
      <c r="U17" s="1559"/>
      <c r="V17" s="1558"/>
      <c r="W17" s="1559"/>
      <c r="X17" s="1552"/>
      <c r="Y17" s="3392"/>
      <c r="Z17" s="1560"/>
      <c r="AA17" s="1561">
        <v>1</v>
      </c>
      <c r="AB17" s="1561">
        <v>1</v>
      </c>
      <c r="AC17" s="1561">
        <v>1</v>
      </c>
    </row>
    <row r="18" spans="1:29" ht="15">
      <c r="A18" s="514"/>
      <c r="B18" s="2553" t="s">
        <v>2557</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392"/>
      <c r="Q18" s="2541" t="str">
        <f>B18</f>
        <v>基础设施水平</v>
      </c>
      <c r="R18" s="1558" t="s">
        <v>8</v>
      </c>
      <c r="S18" s="1559">
        <f>F18</f>
        <v>100</v>
      </c>
      <c r="T18" s="1558" t="s">
        <v>8</v>
      </c>
      <c r="U18" s="1559">
        <f>H18</f>
        <v>100</v>
      </c>
      <c r="V18" s="1558" t="s">
        <v>8</v>
      </c>
      <c r="W18" s="1559">
        <f>J18</f>
        <v>100</v>
      </c>
      <c r="X18" s="2543"/>
      <c r="Y18" s="3392"/>
      <c r="Z18" s="2542"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4"/>
      <c r="L19" s="2125"/>
      <c r="M19" s="2117"/>
      <c r="N19" s="2117"/>
      <c r="O19" s="2124"/>
      <c r="P19" s="3392"/>
      <c r="Q19" s="2541"/>
      <c r="R19" s="1558"/>
      <c r="S19" s="1559"/>
      <c r="T19" s="1558"/>
      <c r="U19" s="1559"/>
      <c r="V19" s="1558"/>
      <c r="W19" s="1559"/>
      <c r="X19" s="2543"/>
      <c r="Y19" s="3392"/>
      <c r="Z19" s="2542"/>
      <c r="AA19" s="1561">
        <v>1</v>
      </c>
      <c r="AB19" s="1561">
        <v>1</v>
      </c>
      <c r="AC19" s="1561">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392"/>
      <c r="Q20" s="1557" t="str">
        <f>B20</f>
        <v>自然及人文环境</v>
      </c>
      <c r="R20" s="1558" t="s">
        <v>8</v>
      </c>
      <c r="S20" s="1559">
        <f>F20</f>
        <v>100</v>
      </c>
      <c r="T20" s="1558" t="s">
        <v>8</v>
      </c>
      <c r="U20" s="1559">
        <f>H20</f>
        <v>100</v>
      </c>
      <c r="V20" s="1558" t="s">
        <v>8</v>
      </c>
      <c r="W20" s="1559">
        <f>J20</f>
        <v>100</v>
      </c>
      <c r="X20" s="1552"/>
      <c r="Y20" s="3392"/>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5"/>
      <c r="M21" s="2117"/>
      <c r="N21" s="2117"/>
      <c r="O21" s="2124"/>
      <c r="P21" s="3392"/>
      <c r="Q21" s="1557"/>
      <c r="R21" s="1558"/>
      <c r="S21" s="1559"/>
      <c r="T21" s="1558"/>
      <c r="U21" s="1559"/>
      <c r="V21" s="1558"/>
      <c r="W21" s="1559"/>
      <c r="X21" s="1552"/>
      <c r="Y21" s="3392"/>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392"/>
      <c r="Q22" s="1557" t="str">
        <f>B22</f>
        <v>楼层</v>
      </c>
      <c r="R22" s="1558" t="s">
        <v>8</v>
      </c>
      <c r="S22" s="1559">
        <f>F22</f>
        <v>100</v>
      </c>
      <c r="T22" s="1558" t="s">
        <v>8</v>
      </c>
      <c r="U22" s="1559">
        <f>H22</f>
        <v>100</v>
      </c>
      <c r="V22" s="1558" t="s">
        <v>8</v>
      </c>
      <c r="W22" s="1559">
        <f>J22</f>
        <v>100</v>
      </c>
      <c r="X22" s="1552"/>
      <c r="Y22" s="3392"/>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392"/>
      <c r="Q23" s="1557">
        <f>B23</f>
        <v>111</v>
      </c>
      <c r="R23" s="1558" t="s">
        <v>8</v>
      </c>
      <c r="S23" s="1559">
        <f>F23</f>
        <v>100</v>
      </c>
      <c r="T23" s="1558" t="s">
        <v>8</v>
      </c>
      <c r="U23" s="1559">
        <f>H23</f>
        <v>100</v>
      </c>
      <c r="V23" s="1558" t="s">
        <v>8</v>
      </c>
      <c r="W23" s="1559">
        <f>J23</f>
        <v>100</v>
      </c>
      <c r="X23" s="1552"/>
      <c r="Y23" s="3392"/>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392"/>
      <c r="Q24" s="1557">
        <f t="shared" ref="Q24:Q36" si="11">B24</f>
        <v>111</v>
      </c>
      <c r="R24" s="1558" t="s">
        <v>8</v>
      </c>
      <c r="S24" s="1559">
        <f>F24</f>
        <v>100</v>
      </c>
      <c r="T24" s="1558" t="s">
        <v>8</v>
      </c>
      <c r="U24" s="1559">
        <f>H24</f>
        <v>100</v>
      </c>
      <c r="V24" s="1558" t="s">
        <v>8</v>
      </c>
      <c r="W24" s="1559">
        <f>J24</f>
        <v>100</v>
      </c>
      <c r="X24" s="1552"/>
      <c r="Y24" s="3392"/>
      <c r="Z24" s="1560">
        <f>Q24</f>
        <v>111</v>
      </c>
      <c r="AA24" s="1561">
        <f t="shared" si="3"/>
        <v>1</v>
      </c>
      <c r="AB24" s="1561">
        <f t="shared" si="4"/>
        <v>1</v>
      </c>
      <c r="AC24" s="1561">
        <f t="shared" si="5"/>
        <v>1</v>
      </c>
    </row>
    <row r="25" spans="1:29" s="1214"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392"/>
      <c r="Q25" s="1145">
        <f t="shared" si="11"/>
        <v>111</v>
      </c>
      <c r="R25" s="1553" t="s">
        <v>8</v>
      </c>
      <c r="S25" s="1554">
        <f>F25</f>
        <v>100</v>
      </c>
      <c r="T25" s="1553" t="s">
        <v>8</v>
      </c>
      <c r="U25" s="1554">
        <f>H25</f>
        <v>100</v>
      </c>
      <c r="V25" s="1553" t="s">
        <v>8</v>
      </c>
      <c r="W25" s="1554">
        <f>J25</f>
        <v>100</v>
      </c>
      <c r="X25" s="1555"/>
      <c r="Y25" s="3392"/>
      <c r="Z25" s="1144">
        <f>Q25</f>
        <v>111</v>
      </c>
      <c r="AA25" s="1561">
        <f>D25/F25</f>
        <v>1</v>
      </c>
      <c r="AB25" s="1561">
        <f>D25/H25</f>
        <v>1</v>
      </c>
      <c r="AC25" s="1561">
        <f>D25/J25</f>
        <v>1</v>
      </c>
    </row>
    <row r="26" spans="1:29" ht="15">
      <c r="A26" s="2860" t="s">
        <v>2754</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393"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4" t="s">
        <v>550</v>
      </c>
      <c r="Z26" s="1560" t="str">
        <f t="shared" ref="Z26:Z36" si="15">Q26</f>
        <v>配套类型</v>
      </c>
      <c r="AA26" s="1561">
        <f t="shared" si="3"/>
        <v>1</v>
      </c>
      <c r="AB26" s="1561">
        <f t="shared" si="4"/>
        <v>1</v>
      </c>
      <c r="AC26" s="1561">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394"/>
      <c r="Q27" s="1589" t="str">
        <f t="shared" si="11"/>
        <v>项目停车位配比</v>
      </c>
      <c r="R27" s="1562" t="s">
        <v>8</v>
      </c>
      <c r="S27" s="1563">
        <f t="shared" si="12"/>
        <v>100</v>
      </c>
      <c r="T27" s="1562" t="s">
        <v>8</v>
      </c>
      <c r="U27" s="1563">
        <f t="shared" si="13"/>
        <v>100</v>
      </c>
      <c r="V27" s="1562" t="s">
        <v>8</v>
      </c>
      <c r="W27" s="1563">
        <f t="shared" si="14"/>
        <v>100</v>
      </c>
      <c r="X27" s="1564"/>
      <c r="Y27" s="3394"/>
      <c r="Z27" s="1565" t="str">
        <f t="shared" si="15"/>
        <v>项目停车位配比</v>
      </c>
      <c r="AA27" s="1561">
        <f t="shared" si="3"/>
        <v>1</v>
      </c>
      <c r="AB27" s="1561">
        <f t="shared" si="4"/>
        <v>1</v>
      </c>
      <c r="AC27" s="1561">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394"/>
      <c r="Q28" s="1557" t="str">
        <f t="shared" si="11"/>
        <v>公共部分装修</v>
      </c>
      <c r="R28" s="1558" t="s">
        <v>8</v>
      </c>
      <c r="S28" s="1559">
        <f t="shared" si="12"/>
        <v>100</v>
      </c>
      <c r="T28" s="1558" t="s">
        <v>8</v>
      </c>
      <c r="U28" s="1559">
        <f t="shared" si="13"/>
        <v>100</v>
      </c>
      <c r="V28" s="1558" t="s">
        <v>8</v>
      </c>
      <c r="W28" s="1559">
        <f t="shared" si="14"/>
        <v>100</v>
      </c>
      <c r="X28" s="1552"/>
      <c r="Y28" s="3394"/>
      <c r="Z28" s="1560" t="str">
        <f t="shared" si="15"/>
        <v>公共部分装修</v>
      </c>
      <c r="AA28" s="1561">
        <f t="shared" si="3"/>
        <v>1</v>
      </c>
      <c r="AB28" s="1561">
        <f t="shared" si="4"/>
        <v>1</v>
      </c>
      <c r="AC28" s="1561">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394"/>
      <c r="Q29" s="1557" t="str">
        <f t="shared" si="11"/>
        <v>成新率</v>
      </c>
      <c r="R29" s="1558" t="s">
        <v>8</v>
      </c>
      <c r="S29" s="1559" t="e">
        <f t="shared" si="12"/>
        <v>#N/A</v>
      </c>
      <c r="T29" s="1558" t="s">
        <v>8</v>
      </c>
      <c r="U29" s="1559" t="e">
        <f t="shared" si="13"/>
        <v>#N/A</v>
      </c>
      <c r="V29" s="1558" t="s">
        <v>8</v>
      </c>
      <c r="W29" s="1559" t="e">
        <f t="shared" si="14"/>
        <v>#N/A</v>
      </c>
      <c r="X29" s="1552"/>
      <c r="Y29" s="3394"/>
      <c r="Z29" s="1560" t="str">
        <f t="shared" si="15"/>
        <v>成新率</v>
      </c>
      <c r="AA29" s="1561" t="e">
        <f t="shared" si="3"/>
        <v>#N/A</v>
      </c>
      <c r="AB29" s="1561" t="e">
        <f t="shared" si="4"/>
        <v>#N/A</v>
      </c>
      <c r="AC29" s="1561"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394"/>
      <c r="Q30" s="1557" t="str">
        <f t="shared" si="11"/>
        <v>物业等级</v>
      </c>
      <c r="R30" s="1558" t="s">
        <v>8</v>
      </c>
      <c r="S30" s="1559">
        <f t="shared" si="12"/>
        <v>100</v>
      </c>
      <c r="T30" s="1558" t="s">
        <v>8</v>
      </c>
      <c r="U30" s="1559">
        <f t="shared" si="13"/>
        <v>100</v>
      </c>
      <c r="V30" s="1558" t="s">
        <v>8</v>
      </c>
      <c r="W30" s="1559">
        <f t="shared" si="14"/>
        <v>100</v>
      </c>
      <c r="X30" s="1552"/>
      <c r="Y30" s="3394"/>
      <c r="Z30" s="1560" t="str">
        <f t="shared" si="15"/>
        <v>物业等级</v>
      </c>
      <c r="AA30" s="1561">
        <f t="shared" si="3"/>
        <v>1</v>
      </c>
      <c r="AB30" s="1561">
        <f t="shared" si="4"/>
        <v>1</v>
      </c>
      <c r="AC30" s="1561">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394"/>
      <c r="Q31" s="1145" t="str">
        <f t="shared" si="11"/>
        <v>停车位面积</v>
      </c>
      <c r="R31" s="1553" t="s">
        <v>8</v>
      </c>
      <c r="S31" s="1554" t="e">
        <f t="shared" si="12"/>
        <v>#N/A</v>
      </c>
      <c r="T31" s="1553" t="s">
        <v>8</v>
      </c>
      <c r="U31" s="1554" t="e">
        <f t="shared" si="13"/>
        <v>#N/A</v>
      </c>
      <c r="V31" s="1553" t="s">
        <v>8</v>
      </c>
      <c r="W31" s="1554" t="e">
        <f t="shared" si="14"/>
        <v>#N/A</v>
      </c>
      <c r="X31" s="1555"/>
      <c r="Y31" s="3394"/>
      <c r="Z31" s="1144" t="str">
        <f t="shared" si="15"/>
        <v>停车位面积</v>
      </c>
      <c r="AA31" s="1556" t="e">
        <f t="shared" si="3"/>
        <v>#N/A</v>
      </c>
      <c r="AB31" s="1556" t="e">
        <f t="shared" si="4"/>
        <v>#N/A</v>
      </c>
      <c r="AC31" s="1556"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394" t="s">
        <v>550</v>
      </c>
      <c r="Q32" s="1557" t="str">
        <f t="shared" si="11"/>
        <v>车位类型</v>
      </c>
      <c r="R32" s="1558" t="s">
        <v>8</v>
      </c>
      <c r="S32" s="1559">
        <f t="shared" si="12"/>
        <v>100</v>
      </c>
      <c r="T32" s="1558" t="s">
        <v>8</v>
      </c>
      <c r="U32" s="1559">
        <f t="shared" si="13"/>
        <v>100</v>
      </c>
      <c r="V32" s="1558" t="s">
        <v>8</v>
      </c>
      <c r="W32" s="1559">
        <f t="shared" si="14"/>
        <v>100</v>
      </c>
      <c r="X32" s="1552"/>
      <c r="Y32" s="3394" t="s">
        <v>550</v>
      </c>
      <c r="Z32" s="1560" t="str">
        <f t="shared" si="15"/>
        <v>车位类型</v>
      </c>
      <c r="AA32" s="1561">
        <f t="shared" si="3"/>
        <v>1</v>
      </c>
      <c r="AB32" s="1561">
        <f t="shared" si="4"/>
        <v>1</v>
      </c>
      <c r="AC32" s="1561">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394"/>
      <c r="Q33" s="1557" t="str">
        <f t="shared" si="11"/>
        <v>是否直接入户</v>
      </c>
      <c r="R33" s="1558" t="s">
        <v>8</v>
      </c>
      <c r="S33" s="1559">
        <f t="shared" si="12"/>
        <v>100</v>
      </c>
      <c r="T33" s="1558" t="s">
        <v>8</v>
      </c>
      <c r="U33" s="1559">
        <f t="shared" si="13"/>
        <v>100</v>
      </c>
      <c r="V33" s="1558" t="s">
        <v>8</v>
      </c>
      <c r="W33" s="1559">
        <f t="shared" si="14"/>
        <v>100</v>
      </c>
      <c r="X33" s="1552"/>
      <c r="Y33" s="3394"/>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394"/>
      <c r="Q34" s="1557">
        <f t="shared" si="11"/>
        <v>111</v>
      </c>
      <c r="R34" s="1558" t="s">
        <v>8</v>
      </c>
      <c r="S34" s="1559">
        <f t="shared" si="12"/>
        <v>100</v>
      </c>
      <c r="T34" s="1558" t="s">
        <v>8</v>
      </c>
      <c r="U34" s="1559">
        <f t="shared" si="13"/>
        <v>100</v>
      </c>
      <c r="V34" s="1558" t="s">
        <v>8</v>
      </c>
      <c r="W34" s="1559">
        <f t="shared" si="14"/>
        <v>100</v>
      </c>
      <c r="X34" s="1552"/>
      <c r="Y34" s="3394"/>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394"/>
      <c r="Q35" s="1589">
        <f t="shared" si="11"/>
        <v>111</v>
      </c>
      <c r="R35" s="1562" t="s">
        <v>8</v>
      </c>
      <c r="S35" s="1563">
        <f t="shared" si="12"/>
        <v>100</v>
      </c>
      <c r="T35" s="1562" t="s">
        <v>8</v>
      </c>
      <c r="U35" s="1563">
        <f t="shared" si="13"/>
        <v>100</v>
      </c>
      <c r="V35" s="1562" t="s">
        <v>8</v>
      </c>
      <c r="W35" s="1563">
        <f t="shared" si="14"/>
        <v>100</v>
      </c>
      <c r="X35" s="1564"/>
      <c r="Y35" s="3394"/>
      <c r="Z35" s="1565">
        <f t="shared" si="15"/>
        <v>111</v>
      </c>
      <c r="AA35" s="1561">
        <f t="shared" si="3"/>
        <v>1</v>
      </c>
      <c r="AB35" s="1561">
        <f t="shared" si="4"/>
        <v>1</v>
      </c>
      <c r="AC35" s="1561">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394"/>
      <c r="Q36" s="1557">
        <f t="shared" si="11"/>
        <v>111</v>
      </c>
      <c r="R36" s="1558" t="s">
        <v>8</v>
      </c>
      <c r="S36" s="1559">
        <f t="shared" si="12"/>
        <v>100</v>
      </c>
      <c r="T36" s="1558" t="s">
        <v>8</v>
      </c>
      <c r="U36" s="1559">
        <f t="shared" si="13"/>
        <v>100</v>
      </c>
      <c r="V36" s="1558" t="s">
        <v>8</v>
      </c>
      <c r="W36" s="1559">
        <f t="shared" si="14"/>
        <v>100</v>
      </c>
      <c r="X36" s="1552"/>
      <c r="Y36" s="3394"/>
      <c r="Z36" s="1560">
        <f t="shared" si="15"/>
        <v>111</v>
      </c>
      <c r="AA36" s="1561">
        <f t="shared" si="3"/>
        <v>1</v>
      </c>
      <c r="AB36" s="1561">
        <f t="shared" si="4"/>
        <v>1</v>
      </c>
      <c r="AC36" s="1561">
        <f t="shared" si="5"/>
        <v>1</v>
      </c>
    </row>
    <row r="37" spans="1:29" ht="14.4">
      <c r="A37" s="1829" t="s">
        <v>2077</v>
      </c>
      <c r="B37" s="1830" t="s">
        <v>2078</v>
      </c>
      <c r="C37" s="2589" t="s">
        <v>1</v>
      </c>
      <c r="D37" s="2590"/>
      <c r="E37" s="2591"/>
      <c r="F37" s="2592"/>
      <c r="G37" s="2593"/>
      <c r="H37" s="2594"/>
      <c r="I37" s="2591"/>
      <c r="J37" s="2594"/>
      <c r="K37" s="1595"/>
      <c r="L37" s="2127"/>
      <c r="M37" s="2128"/>
      <c r="N37" s="2117"/>
      <c r="O37" s="2128"/>
      <c r="P37" s="3389" t="str">
        <f>A37</f>
        <v>成交单价</v>
      </c>
      <c r="Q37" s="3389"/>
      <c r="R37" s="3498">
        <f>E37</f>
        <v>0</v>
      </c>
      <c r="S37" s="3498"/>
      <c r="T37" s="3498">
        <f>G37</f>
        <v>0</v>
      </c>
      <c r="U37" s="3498"/>
      <c r="V37" s="3498">
        <f>I37</f>
        <v>0</v>
      </c>
      <c r="W37" s="3498"/>
      <c r="X37" s="1544"/>
      <c r="Y37" s="1566"/>
      <c r="Z37" s="1544"/>
      <c r="AA37" s="1544"/>
      <c r="AB37" s="1544"/>
      <c r="AC37" s="1544"/>
    </row>
    <row r="38" spans="1:29" ht="15" thickBot="1">
      <c r="A38" s="614" t="s">
        <v>2759</v>
      </c>
      <c r="B38" s="886"/>
      <c r="C38" s="2595" t="e">
        <f>R39</f>
        <v>#DIV/0!</v>
      </c>
      <c r="D38" s="2596"/>
      <c r="E38" s="2597" t="e">
        <f>R38</f>
        <v>#DIV/0!</v>
      </c>
      <c r="F38" s="2597"/>
      <c r="G38" s="2595" t="e">
        <f>T38</f>
        <v>#DIV/0!</v>
      </c>
      <c r="H38" s="2596"/>
      <c r="I38" s="2597" t="e">
        <f>V38</f>
        <v>#DIV/0!</v>
      </c>
      <c r="J38" s="2596"/>
      <c r="K38" s="1596"/>
      <c r="L38" s="2127"/>
      <c r="M38" s="2128"/>
      <c r="N38" s="2128"/>
      <c r="O38" s="2128"/>
      <c r="P38" s="3389" t="str">
        <f>A38</f>
        <v>比较价格（元/平方米）</v>
      </c>
      <c r="Q38" s="3389"/>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44"/>
      <c r="Y38" s="1544"/>
      <c r="Z38" s="1544"/>
      <c r="AA38" s="1544"/>
      <c r="AB38" s="1544"/>
      <c r="AC38" s="1544"/>
    </row>
    <row r="39" spans="1:29" ht="15" thickBot="1">
      <c r="A39" s="620" t="s">
        <v>2930</v>
      </c>
      <c r="B39" s="621"/>
      <c r="C39" s="2598" t="e">
        <f>R39</f>
        <v>#DIV/0!</v>
      </c>
      <c r="D39" s="2598"/>
      <c r="E39" s="2598"/>
      <c r="F39" s="2598"/>
      <c r="G39" s="2598"/>
      <c r="H39" s="2598"/>
      <c r="I39" s="2598"/>
      <c r="J39" s="2598"/>
      <c r="K39" s="1597"/>
      <c r="L39" s="2127"/>
      <c r="M39" s="2128"/>
      <c r="N39" s="2128"/>
      <c r="O39" s="2128"/>
      <c r="P39" s="3411" t="str">
        <f>A39</f>
        <v>估价对象XX用房的比较价格（楼面单价，元/平方米）</v>
      </c>
      <c r="Q39" s="3412"/>
      <c r="R39" s="3497" t="e">
        <f>IF(F1="售价",ROUND(AVERAGE(R38:V38),0),ROUND(AVERAGE(R38:V38),1))</f>
        <v>#DIV/0!</v>
      </c>
      <c r="S39" s="3497"/>
      <c r="T39" s="3497"/>
      <c r="U39" s="3497"/>
      <c r="V39" s="3497"/>
      <c r="W39" s="3497"/>
      <c r="X39" s="1544"/>
      <c r="Y39" s="1544"/>
      <c r="Z39" s="1544"/>
      <c r="AA39" s="1544"/>
      <c r="AB39" s="1544"/>
      <c r="AC39" s="1544"/>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69" t="s">
        <v>574</v>
      </c>
      <c r="B47" s="1544"/>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4.4">
      <c r="A48" s="644" t="s">
        <v>529</v>
      </c>
      <c r="B48" s="645"/>
      <c r="C48" s="2755" t="str">
        <f>YEAR(C7)&amp;"-"&amp;MONTH(C7)</f>
        <v>2020-1</v>
      </c>
      <c r="D48" s="2757">
        <f>EDATE(C48,-1)</f>
        <v>43800</v>
      </c>
      <c r="E48" s="2757">
        <f t="shared" ref="E48:O48" si="16">EDATE(D48,-1)</f>
        <v>43770</v>
      </c>
      <c r="F48" s="2757">
        <f t="shared" si="16"/>
        <v>43739</v>
      </c>
      <c r="G48" s="2757">
        <f t="shared" si="16"/>
        <v>43709</v>
      </c>
      <c r="H48" s="2757">
        <f t="shared" si="16"/>
        <v>43678</v>
      </c>
      <c r="I48" s="2757">
        <f t="shared" si="16"/>
        <v>43647</v>
      </c>
      <c r="J48" s="2757">
        <f t="shared" si="16"/>
        <v>43617</v>
      </c>
      <c r="K48" s="2757">
        <f t="shared" si="16"/>
        <v>43586</v>
      </c>
      <c r="L48" s="2757">
        <f t="shared" si="16"/>
        <v>43556</v>
      </c>
      <c r="M48" s="2757">
        <f t="shared" si="16"/>
        <v>43525</v>
      </c>
      <c r="N48" s="2757">
        <f t="shared" si="16"/>
        <v>43497</v>
      </c>
      <c r="O48" s="2757">
        <f t="shared" si="16"/>
        <v>43466</v>
      </c>
      <c r="P48" s="2143"/>
      <c r="Q48" s="2144"/>
      <c r="R48" s="2144"/>
      <c r="S48" s="2144"/>
      <c r="T48" s="2144"/>
      <c r="U48" s="2144"/>
      <c r="V48" s="2144"/>
      <c r="W48" s="2144"/>
      <c r="X48" s="2144"/>
      <c r="Y48" s="2144"/>
      <c r="Z48" s="2144"/>
      <c r="AA48" s="2144"/>
      <c r="AB48" s="2144"/>
      <c r="AC48" s="2144"/>
    </row>
    <row r="49" spans="1:29" s="1214" customFormat="1">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4" customFormat="1" ht="1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4" customFormat="1" ht="14.4">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4" customFormat="1" ht="14.4"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ht="14.4">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4.4"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4.4"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4.4"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3" customFormat="1" ht="14.4"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3" customFormat="1" ht="14.4"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3" customFormat="1" ht="14.4"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3" customFormat="1" ht="14.4"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 thickTop="1">
      <c r="A65" s="668"/>
      <c r="B65" s="1879" t="s">
        <v>2556</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2559" t="s">
        <v>2557</v>
      </c>
      <c r="C67" s="2560" t="s">
        <v>2558</v>
      </c>
      <c r="D67" s="2560" t="s">
        <v>2559</v>
      </c>
      <c r="E67" s="2560" t="s">
        <v>2560</v>
      </c>
      <c r="F67" s="2560" t="s">
        <v>2561</v>
      </c>
      <c r="G67" s="2560" t="s">
        <v>2562</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4" customFormat="1" ht="14.4"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4.4"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4" customFormat="1" ht="14.4"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4" customFormat="1" ht="14.4"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3" customFormat="1" ht="14.4"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3" customFormat="1" ht="14.4"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9.4"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4.4"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4.4"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4.4"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4.4"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3" customFormat="1" ht="14.4"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3" customFormat="1" ht="14.4"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4.4"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4.4"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921"/>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ROUND(B3*D3/10000,0)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4.4">
      <c r="A4" s="511" t="s">
        <v>797</v>
      </c>
      <c r="B4" s="512"/>
      <c r="C4" s="3395" t="s">
        <v>798</v>
      </c>
      <c r="D4" s="3396"/>
      <c r="E4" s="3420" t="s">
        <v>799</v>
      </c>
      <c r="F4" s="3421"/>
      <c r="G4" s="3395" t="s">
        <v>800</v>
      </c>
      <c r="H4" s="3396"/>
      <c r="I4" s="3395" t="s">
        <v>801</v>
      </c>
      <c r="J4" s="3396"/>
      <c r="K4" s="513" t="s">
        <v>802</v>
      </c>
      <c r="L4" s="2116"/>
      <c r="M4" s="2117"/>
      <c r="N4" s="2117"/>
      <c r="O4" s="2117"/>
      <c r="P4" s="3397" t="s">
        <v>803</v>
      </c>
      <c r="Q4" s="3398"/>
      <c r="R4" s="3383" t="s">
        <v>799</v>
      </c>
      <c r="S4" s="3384"/>
      <c r="T4" s="3383" t="s">
        <v>800</v>
      </c>
      <c r="U4" s="3384"/>
      <c r="V4" s="3403" t="s">
        <v>801</v>
      </c>
      <c r="W4" s="3403"/>
      <c r="X4" s="1552"/>
      <c r="Y4" s="3383" t="s">
        <v>803</v>
      </c>
      <c r="Z4" s="3384"/>
      <c r="AA4" s="3378" t="s">
        <v>799</v>
      </c>
      <c r="AB4" s="3379" t="s">
        <v>800</v>
      </c>
      <c r="AC4" s="3378" t="s">
        <v>801</v>
      </c>
    </row>
    <row r="5" spans="1:29">
      <c r="A5" s="514"/>
      <c r="B5" s="515"/>
      <c r="C5" s="3408" t="s">
        <v>2924</v>
      </c>
      <c r="D5" s="3407"/>
      <c r="E5" s="3422" t="s">
        <v>2925</v>
      </c>
      <c r="F5" s="3423"/>
      <c r="G5" s="3408" t="s">
        <v>2926</v>
      </c>
      <c r="H5" s="3407"/>
      <c r="I5" s="3408" t="s">
        <v>2927</v>
      </c>
      <c r="J5" s="3407"/>
      <c r="K5" s="513"/>
      <c r="L5" s="2116"/>
      <c r="M5" s="2117"/>
      <c r="N5" s="2117"/>
      <c r="O5" s="2117"/>
      <c r="P5" s="3399"/>
      <c r="Q5" s="3400"/>
      <c r="R5" s="3385"/>
      <c r="S5" s="3386"/>
      <c r="T5" s="3385"/>
      <c r="U5" s="3386"/>
      <c r="V5" s="3403"/>
      <c r="W5" s="3403"/>
      <c r="X5" s="1552"/>
      <c r="Y5" s="3385"/>
      <c r="Z5" s="3386"/>
      <c r="AA5" s="3379"/>
      <c r="AB5" s="3379"/>
      <c r="AC5" s="3379"/>
    </row>
    <row r="6" spans="1:29" ht="15" thickBot="1">
      <c r="A6" s="516"/>
      <c r="B6" s="517"/>
      <c r="C6" s="3424" t="s">
        <v>2928</v>
      </c>
      <c r="D6" s="3405"/>
      <c r="E6" s="3425" t="s">
        <v>2928</v>
      </c>
      <c r="F6" s="3426"/>
      <c r="G6" s="3424" t="s">
        <v>2928</v>
      </c>
      <c r="H6" s="3405"/>
      <c r="I6" s="3424" t="s">
        <v>2928</v>
      </c>
      <c r="J6" s="3405"/>
      <c r="K6" s="513" t="s">
        <v>528</v>
      </c>
      <c r="L6" s="2116"/>
      <c r="M6" s="2117"/>
      <c r="N6" s="2117"/>
      <c r="O6" s="2117"/>
      <c r="P6" s="3401"/>
      <c r="Q6" s="3402"/>
      <c r="R6" s="3385"/>
      <c r="S6" s="3386"/>
      <c r="T6" s="3387"/>
      <c r="U6" s="3388"/>
      <c r="V6" s="3403"/>
      <c r="W6" s="3403"/>
      <c r="X6" s="1552"/>
      <c r="Y6" s="3387"/>
      <c r="Z6" s="3388"/>
      <c r="AA6" s="3380"/>
      <c r="AB6" s="3380"/>
      <c r="AC6" s="3380"/>
    </row>
    <row r="7" spans="1:29" s="1214" customFormat="1" ht="15" thickBot="1">
      <c r="A7" s="2865"/>
      <c r="B7" s="2872" t="s">
        <v>529</v>
      </c>
      <c r="C7" s="518">
        <f>'数据-取费表'!B2</f>
        <v>43840</v>
      </c>
      <c r="D7" s="519">
        <v>100</v>
      </c>
      <c r="E7" s="520"/>
      <c r="F7" s="521">
        <f>SUMIF(46:46,YEAR(E7)&amp;"-"&amp;MONTH(E7),47:47)</f>
        <v>0</v>
      </c>
      <c r="G7" s="522"/>
      <c r="H7" s="519">
        <f>SUMIF(46:46,YEAR(G7)&amp;"-"&amp;MONTH(G7),47:47)</f>
        <v>0</v>
      </c>
      <c r="I7" s="522"/>
      <c r="J7" s="519">
        <f>SUMIF(46:46,YEAR(I7)&amp;"-"&amp;MONTH(I7),47:47)</f>
        <v>0</v>
      </c>
      <c r="K7" s="523"/>
      <c r="L7" s="2118"/>
      <c r="M7" s="2119"/>
      <c r="N7" s="2119"/>
      <c r="O7" s="2119"/>
      <c r="P7" s="3381" t="s">
        <v>530</v>
      </c>
      <c r="Q7" s="3390"/>
      <c r="R7" s="1553" t="s">
        <v>8</v>
      </c>
      <c r="S7" s="1554">
        <f t="shared" ref="S7:S14" si="0">F7</f>
        <v>0</v>
      </c>
      <c r="T7" s="1553" t="s">
        <v>8</v>
      </c>
      <c r="U7" s="1554">
        <f t="shared" ref="U7:U14" si="1">H7</f>
        <v>0</v>
      </c>
      <c r="V7" s="1553" t="s">
        <v>8</v>
      </c>
      <c r="W7" s="1554">
        <f t="shared" ref="W7:W14" si="2">J7</f>
        <v>0</v>
      </c>
      <c r="X7" s="1555"/>
      <c r="Y7" s="3381" t="s">
        <v>530</v>
      </c>
      <c r="Z7" s="3382"/>
      <c r="AA7" s="1556" t="e">
        <f>D7/F7</f>
        <v>#DIV/0!</v>
      </c>
      <c r="AB7" s="1556" t="e">
        <f>D7/H7</f>
        <v>#DIV/0!</v>
      </c>
      <c r="AC7" s="1556" t="e">
        <f>D7/J7</f>
        <v>#DIV/0!</v>
      </c>
    </row>
    <row r="8" spans="1:29" s="1214" customFormat="1" ht="1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381" t="s">
        <v>533</v>
      </c>
      <c r="Q8" s="3382"/>
      <c r="R8" s="1553" t="s">
        <v>8</v>
      </c>
      <c r="S8" s="1554">
        <f t="shared" si="0"/>
        <v>0</v>
      </c>
      <c r="T8" s="1553" t="s">
        <v>8</v>
      </c>
      <c r="U8" s="1554">
        <f t="shared" si="1"/>
        <v>0</v>
      </c>
      <c r="V8" s="1553" t="s">
        <v>8</v>
      </c>
      <c r="W8" s="1554">
        <f t="shared" si="2"/>
        <v>0</v>
      </c>
      <c r="X8" s="1555"/>
      <c r="Y8" s="3381" t="s">
        <v>533</v>
      </c>
      <c r="Z8" s="3382"/>
      <c r="AA8" s="1556" t="e">
        <f t="shared" ref="AA8:AA34" si="3">D8/F8</f>
        <v>#DIV/0!</v>
      </c>
      <c r="AB8" s="1556" t="e">
        <f t="shared" ref="AB8:AB34" si="4">D8/H8</f>
        <v>#DIV/0!</v>
      </c>
      <c r="AC8" s="1556" t="e">
        <f t="shared" ref="AC8:AC34" si="5">D8/J8</f>
        <v>#DIV/0!</v>
      </c>
    </row>
    <row r="9" spans="1:29" s="1214" customFormat="1" ht="14.4">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389" t="s">
        <v>535</v>
      </c>
      <c r="Q9" s="1145" t="str">
        <f t="shared" ref="Q9:Q14" si="6">B9</f>
        <v>用途</v>
      </c>
      <c r="R9" s="1553" t="s">
        <v>8</v>
      </c>
      <c r="S9" s="1554">
        <f t="shared" si="0"/>
        <v>100</v>
      </c>
      <c r="T9" s="1553" t="s">
        <v>8</v>
      </c>
      <c r="U9" s="1554">
        <f t="shared" si="1"/>
        <v>100</v>
      </c>
      <c r="V9" s="1553" t="s">
        <v>8</v>
      </c>
      <c r="W9" s="1554">
        <f t="shared" si="2"/>
        <v>100</v>
      </c>
      <c r="X9" s="1555"/>
      <c r="Y9" s="3346" t="s">
        <v>536</v>
      </c>
      <c r="Z9" s="1144" t="str">
        <f t="shared" ref="Z9:Z14" si="7">Q9</f>
        <v>用途</v>
      </c>
      <c r="AA9" s="1556">
        <f t="shared" si="3"/>
        <v>1</v>
      </c>
      <c r="AB9" s="1556">
        <f t="shared" si="4"/>
        <v>1</v>
      </c>
      <c r="AC9" s="1556">
        <f t="shared" si="5"/>
        <v>1</v>
      </c>
    </row>
    <row r="10" spans="1:29" s="1332" customFormat="1" ht="28.8">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389"/>
      <c r="Q10" s="1145" t="str">
        <f t="shared" si="6"/>
        <v>土地使用年限（年）</v>
      </c>
      <c r="R10" s="1553" t="s">
        <v>8</v>
      </c>
      <c r="S10" s="1554">
        <f t="shared" si="0"/>
        <v>100</v>
      </c>
      <c r="T10" s="1553" t="s">
        <v>8</v>
      </c>
      <c r="U10" s="1554">
        <f t="shared" si="1"/>
        <v>100</v>
      </c>
      <c r="V10" s="1553" t="s">
        <v>8</v>
      </c>
      <c r="W10" s="1554">
        <f t="shared" si="2"/>
        <v>100</v>
      </c>
      <c r="X10" s="1555"/>
      <c r="Y10" s="3346"/>
      <c r="Z10" s="1144" t="str">
        <f t="shared" si="7"/>
        <v>土地使用年限（年）</v>
      </c>
      <c r="AA10" s="1556">
        <f t="shared" si="3"/>
        <v>1</v>
      </c>
      <c r="AB10" s="1556">
        <f t="shared" si="4"/>
        <v>1</v>
      </c>
      <c r="AC10" s="1556">
        <f t="shared" si="5"/>
        <v>1</v>
      </c>
    </row>
    <row r="11" spans="1:29" ht="15">
      <c r="A11" s="2870"/>
      <c r="B11" s="2876">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389"/>
      <c r="Q11" s="1145">
        <f t="shared" si="6"/>
        <v>111</v>
      </c>
      <c r="R11" s="1553" t="s">
        <v>8</v>
      </c>
      <c r="S11" s="1554">
        <f t="shared" si="0"/>
        <v>100</v>
      </c>
      <c r="T11" s="1553" t="s">
        <v>8</v>
      </c>
      <c r="U11" s="1554">
        <f t="shared" si="1"/>
        <v>100</v>
      </c>
      <c r="V11" s="1553" t="s">
        <v>8</v>
      </c>
      <c r="W11" s="1554">
        <f t="shared" si="2"/>
        <v>100</v>
      </c>
      <c r="X11" s="1555"/>
      <c r="Y11" s="3346"/>
      <c r="Z11" s="1144">
        <f t="shared" si="7"/>
        <v>111</v>
      </c>
      <c r="AA11" s="1556">
        <f t="shared" si="3"/>
        <v>1</v>
      </c>
      <c r="AB11" s="1556">
        <f t="shared" si="4"/>
        <v>1</v>
      </c>
      <c r="AC11" s="1556">
        <f t="shared" si="5"/>
        <v>1</v>
      </c>
    </row>
    <row r="12" spans="1:29" s="1214" customFormat="1" ht="15">
      <c r="A12" s="2870"/>
      <c r="B12" s="2876">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389"/>
      <c r="Q12" s="1145">
        <f t="shared" si="6"/>
        <v>111</v>
      </c>
      <c r="R12" s="1553" t="s">
        <v>8</v>
      </c>
      <c r="S12" s="1554">
        <f t="shared" si="0"/>
        <v>100</v>
      </c>
      <c r="T12" s="1553" t="s">
        <v>8</v>
      </c>
      <c r="U12" s="1554">
        <f t="shared" si="1"/>
        <v>100</v>
      </c>
      <c r="V12" s="1553" t="s">
        <v>8</v>
      </c>
      <c r="W12" s="1554">
        <f t="shared" si="2"/>
        <v>100</v>
      </c>
      <c r="X12" s="1555"/>
      <c r="Y12" s="3346"/>
      <c r="Z12" s="1144">
        <f t="shared" si="7"/>
        <v>111</v>
      </c>
      <c r="AA12" s="1556">
        <f>D12/F12</f>
        <v>1</v>
      </c>
      <c r="AB12" s="1556">
        <f>D12/H12</f>
        <v>1</v>
      </c>
      <c r="AC12" s="1556">
        <f>D12/J12</f>
        <v>1</v>
      </c>
    </row>
    <row r="13" spans="1:29" ht="15.6" thickBot="1">
      <c r="A13" s="2871"/>
      <c r="B13" s="2877">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389"/>
      <c r="Q13" s="1145">
        <f t="shared" si="6"/>
        <v>111</v>
      </c>
      <c r="R13" s="1553" t="s">
        <v>8</v>
      </c>
      <c r="S13" s="1554">
        <f t="shared" si="0"/>
        <v>100</v>
      </c>
      <c r="T13" s="1553" t="s">
        <v>8</v>
      </c>
      <c r="U13" s="1554">
        <f t="shared" si="1"/>
        <v>100</v>
      </c>
      <c r="V13" s="1553" t="s">
        <v>8</v>
      </c>
      <c r="W13" s="1554">
        <f t="shared" si="2"/>
        <v>100</v>
      </c>
      <c r="X13" s="1555"/>
      <c r="Y13" s="3346"/>
      <c r="Z13" s="1144">
        <f t="shared" si="7"/>
        <v>111</v>
      </c>
      <c r="AA13" s="1556">
        <f t="shared" si="3"/>
        <v>1</v>
      </c>
      <c r="AB13" s="1556">
        <f t="shared" si="4"/>
        <v>1</v>
      </c>
      <c r="AC13" s="1556">
        <f t="shared" si="5"/>
        <v>1</v>
      </c>
    </row>
    <row r="14" spans="1:29" ht="15">
      <c r="A14" s="2863" t="s">
        <v>2753</v>
      </c>
      <c r="B14" s="166" t="s">
        <v>543</v>
      </c>
      <c r="C14" s="919"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391" t="s">
        <v>540</v>
      </c>
      <c r="Q14" s="1557" t="str">
        <f t="shared" si="6"/>
        <v>交通便捷度</v>
      </c>
      <c r="R14" s="1558" t="s">
        <v>8</v>
      </c>
      <c r="S14" s="1559">
        <f t="shared" si="0"/>
        <v>100</v>
      </c>
      <c r="T14" s="1558" t="s">
        <v>8</v>
      </c>
      <c r="U14" s="1559">
        <f t="shared" si="1"/>
        <v>100</v>
      </c>
      <c r="V14" s="1558" t="s">
        <v>8</v>
      </c>
      <c r="W14" s="1559">
        <f t="shared" si="2"/>
        <v>100</v>
      </c>
      <c r="X14" s="1552"/>
      <c r="Y14" s="3391"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5"/>
      <c r="M15" s="2117"/>
      <c r="N15" s="2117"/>
      <c r="O15" s="2124"/>
      <c r="P15" s="3392"/>
      <c r="Q15" s="1557"/>
      <c r="R15" s="1558"/>
      <c r="S15" s="1559"/>
      <c r="T15" s="1558"/>
      <c r="U15" s="1559"/>
      <c r="V15" s="1558"/>
      <c r="W15" s="1559"/>
      <c r="X15" s="1552"/>
      <c r="Y15" s="3392"/>
      <c r="Z15" s="1560"/>
      <c r="AA15" s="1561">
        <v>1</v>
      </c>
      <c r="AB15" s="1561">
        <v>1</v>
      </c>
      <c r="AC15" s="1561">
        <v>1</v>
      </c>
    </row>
    <row r="16" spans="1:29" ht="15">
      <c r="A16" s="531"/>
      <c r="B16" s="2565" t="s">
        <v>2545</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392"/>
      <c r="Q16" s="1557" t="str">
        <f>B16</f>
        <v>公共配套设施</v>
      </c>
      <c r="R16" s="1558" t="s">
        <v>8</v>
      </c>
      <c r="S16" s="1559">
        <f>F16</f>
        <v>100</v>
      </c>
      <c r="T16" s="1558" t="s">
        <v>8</v>
      </c>
      <c r="U16" s="1559">
        <f>H16</f>
        <v>100</v>
      </c>
      <c r="V16" s="1558" t="s">
        <v>8</v>
      </c>
      <c r="W16" s="1559">
        <f>J16</f>
        <v>100</v>
      </c>
      <c r="X16" s="1552"/>
      <c r="Y16" s="3392"/>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5"/>
      <c r="M17" s="2117"/>
      <c r="N17" s="2117"/>
      <c r="O17" s="2124"/>
      <c r="P17" s="3392"/>
      <c r="Q17" s="1557"/>
      <c r="R17" s="1558"/>
      <c r="S17" s="1559"/>
      <c r="T17" s="1558"/>
      <c r="U17" s="1559"/>
      <c r="V17" s="1558"/>
      <c r="W17" s="1559"/>
      <c r="X17" s="1552"/>
      <c r="Y17" s="3392"/>
      <c r="Z17" s="1560"/>
      <c r="AA17" s="1561">
        <v>1</v>
      </c>
      <c r="AB17" s="1561">
        <v>1</v>
      </c>
      <c r="AC17" s="1561">
        <v>1</v>
      </c>
    </row>
    <row r="18" spans="1:29" ht="15">
      <c r="A18" s="531"/>
      <c r="B18" s="2553" t="s">
        <v>2557</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392"/>
      <c r="Q18" s="2541" t="str">
        <f>B18</f>
        <v>基础设施水平</v>
      </c>
      <c r="R18" s="1558" t="s">
        <v>8</v>
      </c>
      <c r="S18" s="1559">
        <f>F18</f>
        <v>100</v>
      </c>
      <c r="T18" s="1558" t="s">
        <v>8</v>
      </c>
      <c r="U18" s="1559">
        <f>H18</f>
        <v>100</v>
      </c>
      <c r="V18" s="1558" t="s">
        <v>8</v>
      </c>
      <c r="W18" s="1559">
        <f>J18</f>
        <v>100</v>
      </c>
      <c r="X18" s="2543"/>
      <c r="Y18" s="3392"/>
      <c r="Z18" s="2542"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4"/>
      <c r="L19" s="2125"/>
      <c r="M19" s="2117"/>
      <c r="N19" s="2117"/>
      <c r="O19" s="2124"/>
      <c r="P19" s="3392"/>
      <c r="Q19" s="2541"/>
      <c r="R19" s="1558"/>
      <c r="S19" s="1559"/>
      <c r="T19" s="1558"/>
      <c r="U19" s="1559"/>
      <c r="V19" s="1558"/>
      <c r="W19" s="1559"/>
      <c r="X19" s="2543"/>
      <c r="Y19" s="3392"/>
      <c r="Z19" s="2542"/>
      <c r="AA19" s="1561">
        <v>1</v>
      </c>
      <c r="AB19" s="1561">
        <v>1</v>
      </c>
      <c r="AC19" s="1561">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392"/>
      <c r="Q20" s="1557" t="str">
        <f>B20</f>
        <v>自然及人文环境</v>
      </c>
      <c r="R20" s="1558" t="s">
        <v>8</v>
      </c>
      <c r="S20" s="1559">
        <f>F20</f>
        <v>100</v>
      </c>
      <c r="T20" s="1558" t="s">
        <v>8</v>
      </c>
      <c r="U20" s="1559">
        <f>H20</f>
        <v>100</v>
      </c>
      <c r="V20" s="1558" t="s">
        <v>8</v>
      </c>
      <c r="W20" s="1559">
        <f>J20</f>
        <v>100</v>
      </c>
      <c r="X20" s="1552"/>
      <c r="Y20" s="3392"/>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5"/>
      <c r="M21" s="2117"/>
      <c r="N21" s="2117"/>
      <c r="O21" s="2124"/>
      <c r="P21" s="3392"/>
      <c r="Q21" s="1557"/>
      <c r="R21" s="1558"/>
      <c r="S21" s="1559"/>
      <c r="T21" s="1558"/>
      <c r="U21" s="1559"/>
      <c r="V21" s="1558"/>
      <c r="W21" s="1559"/>
      <c r="X21" s="1552"/>
      <c r="Y21" s="3392"/>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392"/>
      <c r="Q22" s="1557" t="str">
        <f>B22</f>
        <v>楼层</v>
      </c>
      <c r="R22" s="1558" t="s">
        <v>8</v>
      </c>
      <c r="S22" s="1559">
        <f>F22</f>
        <v>100</v>
      </c>
      <c r="T22" s="1558" t="s">
        <v>8</v>
      </c>
      <c r="U22" s="1559">
        <f>H22</f>
        <v>100</v>
      </c>
      <c r="V22" s="1558" t="s">
        <v>8</v>
      </c>
      <c r="W22" s="1559">
        <f>J22</f>
        <v>100</v>
      </c>
      <c r="X22" s="1552"/>
      <c r="Y22" s="3392"/>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392"/>
      <c r="Q23" s="1557">
        <f>B23</f>
        <v>111</v>
      </c>
      <c r="R23" s="1558" t="s">
        <v>8</v>
      </c>
      <c r="S23" s="1559">
        <f>F23</f>
        <v>100</v>
      </c>
      <c r="T23" s="1558" t="s">
        <v>8</v>
      </c>
      <c r="U23" s="1559">
        <f>H23</f>
        <v>100</v>
      </c>
      <c r="V23" s="1558" t="s">
        <v>8</v>
      </c>
      <c r="W23" s="1559">
        <f>J23</f>
        <v>100</v>
      </c>
      <c r="X23" s="1552"/>
      <c r="Y23" s="3392"/>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392"/>
      <c r="Q24" s="1557">
        <f t="shared" ref="Q24:Q34" si="11">B24</f>
        <v>111</v>
      </c>
      <c r="R24" s="1558" t="s">
        <v>8</v>
      </c>
      <c r="S24" s="1559">
        <f>F24</f>
        <v>100</v>
      </c>
      <c r="T24" s="1558" t="s">
        <v>8</v>
      </c>
      <c r="U24" s="1559">
        <f>H24</f>
        <v>100</v>
      </c>
      <c r="V24" s="1558" t="s">
        <v>8</v>
      </c>
      <c r="W24" s="1559">
        <f>J24</f>
        <v>100</v>
      </c>
      <c r="X24" s="1552"/>
      <c r="Y24" s="3392"/>
      <c r="Z24" s="1560">
        <f>Q24</f>
        <v>111</v>
      </c>
      <c r="AA24" s="1561">
        <f t="shared" si="3"/>
        <v>1</v>
      </c>
      <c r="AB24" s="1561">
        <f t="shared" si="4"/>
        <v>1</v>
      </c>
      <c r="AC24" s="1561">
        <f t="shared" si="5"/>
        <v>1</v>
      </c>
    </row>
    <row r="25" spans="1:29" s="1214"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392"/>
      <c r="Q25" s="1145">
        <f t="shared" si="11"/>
        <v>111</v>
      </c>
      <c r="R25" s="1553" t="s">
        <v>8</v>
      </c>
      <c r="S25" s="1554">
        <f>F25</f>
        <v>100</v>
      </c>
      <c r="T25" s="1553" t="s">
        <v>8</v>
      </c>
      <c r="U25" s="1554">
        <f>H25</f>
        <v>100</v>
      </c>
      <c r="V25" s="1553" t="s">
        <v>8</v>
      </c>
      <c r="W25" s="1554">
        <f>J25</f>
        <v>100</v>
      </c>
      <c r="X25" s="1555"/>
      <c r="Y25" s="3392"/>
      <c r="Z25" s="1144">
        <f>Q25</f>
        <v>111</v>
      </c>
      <c r="AA25" s="1561">
        <f>D25/F25</f>
        <v>1</v>
      </c>
      <c r="AB25" s="1561">
        <f>D25/H25</f>
        <v>1</v>
      </c>
      <c r="AC25" s="1561">
        <f>D25/J25</f>
        <v>1</v>
      </c>
    </row>
    <row r="26" spans="1:29" ht="15">
      <c r="A26" s="2860" t="s">
        <v>2754</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393"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4" t="s">
        <v>821</v>
      </c>
      <c r="Z26" s="1560" t="str">
        <f t="shared" ref="Z26:Z34" si="15">Q26</f>
        <v>公共部分装修</v>
      </c>
      <c r="AA26" s="1561">
        <f t="shared" si="3"/>
        <v>1</v>
      </c>
      <c r="AB26" s="1561">
        <f t="shared" si="4"/>
        <v>1</v>
      </c>
      <c r="AC26" s="1561">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394"/>
      <c r="Q27" s="1589" t="str">
        <f t="shared" si="11"/>
        <v>成新率</v>
      </c>
      <c r="R27" s="1562" t="s">
        <v>8</v>
      </c>
      <c r="S27" s="1563" t="e">
        <f t="shared" si="12"/>
        <v>#N/A</v>
      </c>
      <c r="T27" s="1562" t="s">
        <v>8</v>
      </c>
      <c r="U27" s="1563" t="e">
        <f t="shared" si="13"/>
        <v>#N/A</v>
      </c>
      <c r="V27" s="1562" t="s">
        <v>8</v>
      </c>
      <c r="W27" s="1563" t="e">
        <f t="shared" si="14"/>
        <v>#N/A</v>
      </c>
      <c r="X27" s="1564"/>
      <c r="Y27" s="3394"/>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394"/>
      <c r="Q28" s="1557" t="str">
        <f t="shared" si="11"/>
        <v>物业等级</v>
      </c>
      <c r="R28" s="1558" t="s">
        <v>8</v>
      </c>
      <c r="S28" s="1559">
        <f t="shared" si="12"/>
        <v>100</v>
      </c>
      <c r="T28" s="1558" t="s">
        <v>8</v>
      </c>
      <c r="U28" s="1559">
        <f t="shared" si="13"/>
        <v>100</v>
      </c>
      <c r="V28" s="1558" t="s">
        <v>8</v>
      </c>
      <c r="W28" s="1559">
        <f t="shared" si="14"/>
        <v>100</v>
      </c>
      <c r="X28" s="1552"/>
      <c r="Y28" s="3394"/>
      <c r="Z28" s="1560" t="str">
        <f t="shared" si="15"/>
        <v>物业等级</v>
      </c>
      <c r="AA28" s="1561">
        <f t="shared" si="3"/>
        <v>1</v>
      </c>
      <c r="AB28" s="1561">
        <f t="shared" si="4"/>
        <v>1</v>
      </c>
      <c r="AC28" s="1561">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394"/>
      <c r="Q29" s="1557" t="str">
        <f t="shared" si="11"/>
        <v>有无电梯</v>
      </c>
      <c r="R29" s="1558" t="s">
        <v>8</v>
      </c>
      <c r="S29" s="1559">
        <f t="shared" si="12"/>
        <v>100</v>
      </c>
      <c r="T29" s="1558" t="s">
        <v>8</v>
      </c>
      <c r="U29" s="1559">
        <f t="shared" si="13"/>
        <v>100</v>
      </c>
      <c r="V29" s="1558" t="s">
        <v>8</v>
      </c>
      <c r="W29" s="1559">
        <f t="shared" si="14"/>
        <v>100</v>
      </c>
      <c r="X29" s="1552"/>
      <c r="Y29" s="3394"/>
      <c r="Z29" s="1560" t="str">
        <f t="shared" si="15"/>
        <v>有无电梯</v>
      </c>
      <c r="AA29" s="1561">
        <f t="shared" si="3"/>
        <v>1</v>
      </c>
      <c r="AB29" s="1561">
        <f t="shared" si="4"/>
        <v>1</v>
      </c>
      <c r="AC29" s="1561">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394"/>
      <c r="Q30" s="1557" t="str">
        <f t="shared" si="11"/>
        <v>建筑面积</v>
      </c>
      <c r="R30" s="1558" t="s">
        <v>8</v>
      </c>
      <c r="S30" s="1559" t="e">
        <f t="shared" si="12"/>
        <v>#N/A</v>
      </c>
      <c r="T30" s="1558" t="s">
        <v>8</v>
      </c>
      <c r="U30" s="1559" t="e">
        <f t="shared" si="13"/>
        <v>#N/A</v>
      </c>
      <c r="V30" s="1558" t="s">
        <v>8</v>
      </c>
      <c r="W30" s="1559" t="e">
        <f t="shared" si="14"/>
        <v>#N/A</v>
      </c>
      <c r="X30" s="1552"/>
      <c r="Y30" s="3394"/>
      <c r="Z30" s="1560" t="str">
        <f t="shared" si="15"/>
        <v>建筑面积</v>
      </c>
      <c r="AA30" s="1561" t="e">
        <f t="shared" si="3"/>
        <v>#N/A</v>
      </c>
      <c r="AB30" s="1561" t="e">
        <f t="shared" si="4"/>
        <v>#N/A</v>
      </c>
      <c r="AC30" s="1561"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394"/>
      <c r="Q31" s="1145" t="str">
        <f t="shared" si="11"/>
        <v>是否封闭</v>
      </c>
      <c r="R31" s="1553" t="s">
        <v>8</v>
      </c>
      <c r="S31" s="1554">
        <f t="shared" si="12"/>
        <v>100</v>
      </c>
      <c r="T31" s="1553" t="s">
        <v>8</v>
      </c>
      <c r="U31" s="1554">
        <f t="shared" si="13"/>
        <v>100</v>
      </c>
      <c r="V31" s="1553" t="s">
        <v>8</v>
      </c>
      <c r="W31" s="1554">
        <f t="shared" si="14"/>
        <v>100</v>
      </c>
      <c r="X31" s="1555"/>
      <c r="Y31" s="3394"/>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394" t="s">
        <v>550</v>
      </c>
      <c r="Q32" s="1557">
        <f t="shared" si="11"/>
        <v>111</v>
      </c>
      <c r="R32" s="1558" t="s">
        <v>8</v>
      </c>
      <c r="S32" s="1559">
        <f t="shared" si="12"/>
        <v>100</v>
      </c>
      <c r="T32" s="1558" t="s">
        <v>8</v>
      </c>
      <c r="U32" s="1559">
        <f t="shared" si="13"/>
        <v>100</v>
      </c>
      <c r="V32" s="1558" t="s">
        <v>8</v>
      </c>
      <c r="W32" s="1559">
        <f t="shared" si="14"/>
        <v>100</v>
      </c>
      <c r="X32" s="1552"/>
      <c r="Y32" s="3394" t="s">
        <v>550</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394"/>
      <c r="Q33" s="1557">
        <f t="shared" si="11"/>
        <v>111</v>
      </c>
      <c r="R33" s="1558" t="s">
        <v>8</v>
      </c>
      <c r="S33" s="1559">
        <f t="shared" si="12"/>
        <v>100</v>
      </c>
      <c r="T33" s="1558" t="s">
        <v>8</v>
      </c>
      <c r="U33" s="1559">
        <f t="shared" si="13"/>
        <v>100</v>
      </c>
      <c r="V33" s="1558" t="s">
        <v>8</v>
      </c>
      <c r="W33" s="1559">
        <f t="shared" si="14"/>
        <v>100</v>
      </c>
      <c r="X33" s="1552"/>
      <c r="Y33" s="3394"/>
      <c r="Z33" s="1560">
        <f t="shared" si="15"/>
        <v>111</v>
      </c>
      <c r="AA33" s="1561">
        <f t="shared" si="3"/>
        <v>1</v>
      </c>
      <c r="AB33" s="1561">
        <f t="shared" si="4"/>
        <v>1</v>
      </c>
      <c r="AC33" s="1561">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394"/>
      <c r="Q34" s="1557">
        <f t="shared" si="11"/>
        <v>111</v>
      </c>
      <c r="R34" s="1558" t="s">
        <v>8</v>
      </c>
      <c r="S34" s="1559">
        <f t="shared" si="12"/>
        <v>100</v>
      </c>
      <c r="T34" s="1558" t="s">
        <v>8</v>
      </c>
      <c r="U34" s="1559">
        <f t="shared" si="13"/>
        <v>100</v>
      </c>
      <c r="V34" s="1558" t="s">
        <v>8</v>
      </c>
      <c r="W34" s="1559">
        <f t="shared" si="14"/>
        <v>100</v>
      </c>
      <c r="X34" s="1552"/>
      <c r="Y34" s="3394"/>
      <c r="Z34" s="1560">
        <f t="shared" si="15"/>
        <v>111</v>
      </c>
      <c r="AA34" s="1561">
        <f t="shared" si="3"/>
        <v>1</v>
      </c>
      <c r="AB34" s="1561">
        <f t="shared" si="4"/>
        <v>1</v>
      </c>
      <c r="AC34" s="1561">
        <f t="shared" si="5"/>
        <v>1</v>
      </c>
    </row>
    <row r="35" spans="1:29" ht="14.4">
      <c r="A35" s="606" t="s">
        <v>736</v>
      </c>
      <c r="B35" s="885"/>
      <c r="C35" s="2589" t="s">
        <v>1</v>
      </c>
      <c r="D35" s="2590"/>
      <c r="E35" s="2591"/>
      <c r="F35" s="2592"/>
      <c r="G35" s="2593"/>
      <c r="H35" s="2594"/>
      <c r="I35" s="2591"/>
      <c r="J35" s="2594"/>
      <c r="K35" s="1595"/>
      <c r="L35" s="2127"/>
      <c r="M35" s="2128"/>
      <c r="N35" s="2117"/>
      <c r="O35" s="2128"/>
      <c r="P35" s="3389" t="str">
        <f>A35</f>
        <v>成交单价（元/平方米）</v>
      </c>
      <c r="Q35" s="3389"/>
      <c r="R35" s="3498">
        <f>E35</f>
        <v>0</v>
      </c>
      <c r="S35" s="3498"/>
      <c r="T35" s="3498">
        <f>G35</f>
        <v>0</v>
      </c>
      <c r="U35" s="3498"/>
      <c r="V35" s="3498">
        <f>I35</f>
        <v>0</v>
      </c>
      <c r="W35" s="3498"/>
      <c r="X35" s="1544"/>
      <c r="Y35" s="1566"/>
      <c r="Z35" s="1544"/>
      <c r="AA35" s="1544"/>
      <c r="AB35" s="1544"/>
      <c r="AC35" s="1544"/>
    </row>
    <row r="36" spans="1:29" ht="15" thickBot="1">
      <c r="A36" s="614" t="s">
        <v>2759</v>
      </c>
      <c r="B36" s="886"/>
      <c r="C36" s="2595" t="e">
        <f>R37</f>
        <v>#DIV/0!</v>
      </c>
      <c r="D36" s="2596"/>
      <c r="E36" s="2597" t="e">
        <f>R36</f>
        <v>#DIV/0!</v>
      </c>
      <c r="F36" s="2597"/>
      <c r="G36" s="2595" t="e">
        <f>T36</f>
        <v>#DIV/0!</v>
      </c>
      <c r="H36" s="2596"/>
      <c r="I36" s="2597" t="e">
        <f>V36</f>
        <v>#DIV/0!</v>
      </c>
      <c r="J36" s="2596"/>
      <c r="K36" s="1596"/>
      <c r="L36" s="2127"/>
      <c r="M36" s="2128"/>
      <c r="N36" s="2117"/>
      <c r="O36" s="2128"/>
      <c r="P36" s="3389" t="str">
        <f>A36</f>
        <v>比较价格（元/平方米）</v>
      </c>
      <c r="Q36" s="3389"/>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44"/>
      <c r="Y36" s="1544"/>
      <c r="Z36" s="1544"/>
      <c r="AA36" s="1544"/>
      <c r="AB36" s="1544"/>
      <c r="AC36" s="1544"/>
    </row>
    <row r="37" spans="1:29" ht="15" thickBot="1">
      <c r="A37" s="620" t="s">
        <v>2930</v>
      </c>
      <c r="B37" s="621"/>
      <c r="C37" s="2598" t="e">
        <f>R37</f>
        <v>#DIV/0!</v>
      </c>
      <c r="D37" s="2598"/>
      <c r="E37" s="2598"/>
      <c r="F37" s="2598"/>
      <c r="G37" s="2598"/>
      <c r="H37" s="2598"/>
      <c r="I37" s="2598"/>
      <c r="J37" s="2598"/>
      <c r="K37" s="1597"/>
      <c r="L37" s="2127"/>
      <c r="M37" s="2128"/>
      <c r="N37" s="2128"/>
      <c r="O37" s="2128"/>
      <c r="P37" s="3411" t="str">
        <f>A37</f>
        <v>估价对象XX用房的比较价格（楼面单价，元/平方米）</v>
      </c>
      <c r="Q37" s="3412"/>
      <c r="R37" s="3497" t="e">
        <f>IF(F1="售价",ROUND(AVERAGE(R36:V36),0),ROUND(AVERAGE(R36:V36),1))</f>
        <v>#DIV/0!</v>
      </c>
      <c r="S37" s="3497"/>
      <c r="T37" s="3497"/>
      <c r="U37" s="3497"/>
      <c r="V37" s="3497"/>
      <c r="W37" s="3497"/>
      <c r="X37" s="1544"/>
      <c r="Y37" s="1544"/>
      <c r="Z37" s="1544"/>
      <c r="AA37" s="1544"/>
      <c r="AB37" s="1544"/>
      <c r="AC37" s="1544"/>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69" t="s">
        <v>574</v>
      </c>
      <c r="B45" s="1544"/>
      <c r="C45" s="1568"/>
      <c r="D45" s="1568"/>
      <c r="E45" s="1568"/>
      <c r="F45" s="1570"/>
      <c r="G45" s="1570"/>
      <c r="H45" s="1568"/>
      <c r="I45" s="1568"/>
      <c r="J45" s="1568"/>
      <c r="K45" s="1571"/>
      <c r="L45" s="1567"/>
      <c r="M45" s="1568"/>
      <c r="N45" s="1568"/>
      <c r="O45" s="1568"/>
      <c r="P45" s="2140"/>
      <c r="Q45" s="2141"/>
      <c r="R45" s="2128"/>
      <c r="S45" s="2128"/>
      <c r="T45" s="2128"/>
      <c r="U45" s="2128"/>
      <c r="V45" s="2128"/>
      <c r="W45" s="2128"/>
      <c r="X45" s="2128"/>
      <c r="Y45" s="2128"/>
      <c r="Z45" s="2128"/>
      <c r="AA45" s="2128"/>
      <c r="AB45" s="2128"/>
      <c r="AC45" s="2128"/>
    </row>
    <row r="46" spans="1:29" s="1341" customFormat="1" ht="14.4">
      <c r="A46" s="644" t="s">
        <v>529</v>
      </c>
      <c r="B46" s="645"/>
      <c r="C46" s="2755" t="str">
        <f>YEAR(C7)&amp;"-"&amp;MONTH(C7)</f>
        <v>2020-1</v>
      </c>
      <c r="D46" s="2757">
        <f>EDATE(C46,-1)</f>
        <v>43800</v>
      </c>
      <c r="E46" s="2757">
        <f t="shared" ref="E46:O46" si="16">EDATE(D46,-1)</f>
        <v>43770</v>
      </c>
      <c r="F46" s="2757">
        <f t="shared" si="16"/>
        <v>43739</v>
      </c>
      <c r="G46" s="2757">
        <f t="shared" si="16"/>
        <v>43709</v>
      </c>
      <c r="H46" s="2757">
        <f t="shared" si="16"/>
        <v>43678</v>
      </c>
      <c r="I46" s="2757">
        <f t="shared" si="16"/>
        <v>43647</v>
      </c>
      <c r="J46" s="2757">
        <f t="shared" si="16"/>
        <v>43617</v>
      </c>
      <c r="K46" s="2757">
        <f t="shared" si="16"/>
        <v>43586</v>
      </c>
      <c r="L46" s="2757">
        <f t="shared" si="16"/>
        <v>43556</v>
      </c>
      <c r="M46" s="2757">
        <f t="shared" si="16"/>
        <v>43525</v>
      </c>
      <c r="N46" s="2757">
        <f t="shared" si="16"/>
        <v>43497</v>
      </c>
      <c r="O46" s="2757">
        <f t="shared" si="16"/>
        <v>43466</v>
      </c>
      <c r="P46" s="2143"/>
      <c r="Q46" s="2144"/>
      <c r="R46" s="2144"/>
      <c r="S46" s="2144"/>
      <c r="T46" s="2144"/>
      <c r="U46" s="2144"/>
      <c r="V46" s="2144"/>
      <c r="W46" s="2144"/>
      <c r="X46" s="2144"/>
      <c r="Y46" s="2144"/>
      <c r="Z46" s="2144"/>
      <c r="AA46" s="2144"/>
      <c r="AB46" s="2144"/>
      <c r="AC46" s="2144"/>
    </row>
    <row r="47" spans="1:29" s="1214" customFormat="1">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4" customFormat="1" ht="1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4" customFormat="1" ht="14.4">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4" customFormat="1" ht="14.4"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ht="14.4">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4.4"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4.4"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4.4"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3" customFormat="1" ht="14.4"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3" customFormat="1" ht="14.4"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3" customFormat="1" ht="14.4"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3" customFormat="1" ht="14.4"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 thickTop="1">
      <c r="A63" s="668"/>
      <c r="B63" s="1879" t="s">
        <v>2556</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 thickTop="1">
      <c r="A65" s="668"/>
      <c r="B65" s="2559" t="s">
        <v>2557</v>
      </c>
      <c r="C65" s="2560" t="s">
        <v>2558</v>
      </c>
      <c r="D65" s="2560" t="s">
        <v>2559</v>
      </c>
      <c r="E65" s="2560" t="s">
        <v>2560</v>
      </c>
      <c r="F65" s="2560" t="s">
        <v>2561</v>
      </c>
      <c r="G65" s="2560" t="s">
        <v>2562</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4.4"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4" customFormat="1" ht="14.4"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4.4"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4" customFormat="1" ht="14.4"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4" customFormat="1" ht="14.4"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3" customFormat="1" ht="14.4"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3" customFormat="1" ht="14.4"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4.4"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3"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3" customFormat="1" ht="14.4"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4.4"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4.4"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4.4"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4.4"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4.4"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河南常绿卓屹置业有限公司：</v>
      </c>
    </row>
    <row r="4" spans="1:4" ht="34.799999999999997">
      <c r="A4" s="1774" t="str">
        <f>"受贵公司委托，我公司对"&amp;项目基本情况!K2&amp;项目基本情况!B9&amp;"进行了预评估。"</f>
        <v>受贵公司委托，我公司对河南省郑州市金水区金水区经一路东、明鸿路南出让国有建设用地使用权抵押价格进行了预评估。</v>
      </c>
    </row>
    <row r="5" spans="1:4" ht="17.399999999999999">
      <c r="A5" s="1777" t="s">
        <v>1905</v>
      </c>
    </row>
    <row r="6" spans="1:4" ht="87">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常绿卓屹置业有限公司使用的、位于河南省郑州市金水区金水区经一路东、明鸿路南出让国有建设用地使用权。根据《国有土地使用证》[]，估价对象（分摊）出让国有建设用地使用权面积为15094.79平方米。根据《建设工程规划许可证》[]、《出让合同》[]，估价对象规划建筑面积为69312.71平方米。</v>
      </c>
    </row>
    <row r="7" spans="1:4" ht="87">
      <c r="A7" s="2826" t="s">
        <v>2747</v>
      </c>
    </row>
    <row r="8" spans="1:4" ht="17.399999999999999">
      <c r="A8" s="1777" t="s">
        <v>1906</v>
      </c>
    </row>
    <row r="9" spans="1:4" ht="69.599999999999994">
      <c r="A9" s="1779" t="str">
        <f>IF(项目基本情况!B8="抵押",IF(项目基本情况!B5=项目基本情况!B6,定义!C51,定义!B51),定义!D51)</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2026</v>
      </c>
    </row>
    <row r="11" spans="1:4" ht="17.399999999999999">
      <c r="A11" s="1763" t="str">
        <f>TEXT(项目基本情况!D3,"yyyy年m月d日;;")&amp;IF(项目基本情况!B3=项目基本情况!D3,"（评估专业人员勘察现场之日）","")</f>
        <v>2020年1月10日</v>
      </c>
    </row>
    <row r="12" spans="1:4" ht="17.399999999999999">
      <c r="A12" s="1780" t="s">
        <v>2025</v>
      </c>
    </row>
    <row r="13" spans="1:4" ht="17.399999999999999">
      <c r="A13" s="1774" t="s">
        <v>2071</v>
      </c>
    </row>
    <row r="14" spans="1:4" ht="34.799999999999997">
      <c r="A14" s="1774" t="str">
        <f>"根据"&amp;项目基本情况!F12&amp;"，本次评估估价对象证载（地类）用途为"&amp;项目基本情况!B12&amp;"。"</f>
        <v>根据《国有土地使用证》[]，本次评估估价对象证载（地类）用途为城镇住宅用地。</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2072</v>
      </c>
    </row>
    <row r="17" spans="1:1" ht="69.599999999999994">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未平整，有待拆除建筑物。</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2073</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根据《国有土地使用证》[]，估价对象（分摊）出让国有建设用地使用权面积为15094.79平方米。根据《建设工程规划许可证》[]、《出让合同》[]，估价对象规划建筑面积为69312.71平方米。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2074</v>
      </c>
    </row>
    <row r="23" spans="1:1" ht="17.399999999999999">
      <c r="A23" s="2828" t="s">
        <v>2748</v>
      </c>
    </row>
    <row r="24" spans="1:1" ht="17.399999999999999">
      <c r="A24" s="1774" t="s">
        <v>2075</v>
      </c>
    </row>
    <row r="25" spans="1:1" ht="87">
      <c r="A25" s="1774" t="str">
        <f>定义!C53</f>
        <v>本次估价的“出让国有建设用地使用权价格”是指在估价对象土地所有权为国家所有，使用权性质为出让，在公开市场条件下、于估价期日2020年1月10日，在规划利用条件下、设定土地开发程度为红线外“七通”、宗地内场地平整，设定用途为，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IF(项目基本情况!E9="——","",定义!C57)</f>
        <v/>
      </c>
    </row>
    <row r="29" spans="1:1" ht="17.399999999999999">
      <c r="A29" s="1780" t="s">
        <v>2027</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7" t="s">
        <v>2303</v>
      </c>
      <c r="C1" s="3508" t="s">
        <v>2304</v>
      </c>
      <c r="D1" s="3509"/>
      <c r="E1" s="3509"/>
      <c r="F1" s="3509"/>
      <c r="G1" s="3509"/>
      <c r="H1" s="3509"/>
      <c r="I1" s="3509"/>
      <c r="J1" s="3509"/>
      <c r="K1" s="3509"/>
      <c r="L1" s="3509"/>
      <c r="M1" s="3509"/>
      <c r="N1" s="3509"/>
      <c r="O1" s="3509"/>
      <c r="P1" s="3509"/>
      <c r="Q1" s="3509"/>
      <c r="R1" s="3509"/>
      <c r="S1" s="3510"/>
      <c r="T1" s="2217" t="s">
        <v>2305</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7" t="s">
        <v>2923</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9" t="s">
        <v>2922</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9" t="s">
        <v>2921</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8"/>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7" t="s">
        <v>2934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7"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7"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2307</v>
      </c>
      <c r="B17" s="2261" t="s">
        <v>2308</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6">
      <c r="A20" s="958"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6">
      <c r="A21" s="958"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05" t="s">
        <v>20</v>
      </c>
      <c r="D22" s="3506"/>
      <c r="E22" s="3506"/>
      <c r="F22" s="3506"/>
      <c r="G22" s="3506"/>
      <c r="H22" s="3506"/>
      <c r="I22" s="3506"/>
      <c r="J22" s="3506"/>
      <c r="K22" s="3506"/>
      <c r="L22" s="3506"/>
      <c r="M22" s="3506"/>
      <c r="N22" s="3506"/>
      <c r="O22" s="3506"/>
      <c r="P22" s="3506"/>
      <c r="Q22" s="3507"/>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2787</v>
      </c>
      <c r="C1" s="2957">
        <f>项目基本情况!D3</f>
        <v>43840</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S198"/>
  <sheetViews>
    <sheetView topLeftCell="A142" zoomScale="55" zoomScaleNormal="55" workbookViewId="0">
      <selection activeCell="F167" sqref="F167"/>
    </sheetView>
  </sheetViews>
  <sheetFormatPr defaultRowHeight="14.4"/>
  <sheetData>
    <row r="44" spans="1:45" s="2892" customFormat="1">
      <c r="B44" s="3183"/>
      <c r="C44" s="3201" t="s">
        <v>3379</v>
      </c>
    </row>
    <row r="45" spans="1:45" s="2892" customFormat="1">
      <c r="B45" s="3202"/>
      <c r="C45" s="3201" t="s">
        <v>3380</v>
      </c>
    </row>
    <row r="46" spans="1:45" s="2892" customFormat="1"/>
    <row r="47" spans="1:45" s="2892" customFormat="1"/>
    <row r="48" spans="1:45" s="2892" customFormat="1">
      <c r="A48" s="2892" t="s">
        <v>3012</v>
      </c>
      <c r="B48" s="2892" t="s">
        <v>3013</v>
      </c>
      <c r="C48" s="2892" t="s">
        <v>3014</v>
      </c>
      <c r="D48" s="2892" t="s">
        <v>3015</v>
      </c>
      <c r="E48" s="2892" t="s">
        <v>3016</v>
      </c>
      <c r="F48" s="2892" t="s">
        <v>3017</v>
      </c>
      <c r="G48" s="2892" t="s">
        <v>3018</v>
      </c>
      <c r="H48" s="2892" t="s">
        <v>3019</v>
      </c>
      <c r="I48" s="2892" t="s">
        <v>3020</v>
      </c>
      <c r="J48" s="2892" t="s">
        <v>3021</v>
      </c>
      <c r="K48" s="2892" t="s">
        <v>3022</v>
      </c>
      <c r="L48" s="2892" t="s">
        <v>2032</v>
      </c>
      <c r="M48" s="2892" t="s">
        <v>3023</v>
      </c>
      <c r="N48" s="2892" t="s">
        <v>3024</v>
      </c>
      <c r="O48" s="2892" t="s">
        <v>3025</v>
      </c>
      <c r="P48" s="2892" t="s">
        <v>3026</v>
      </c>
      <c r="Q48" s="2892" t="s">
        <v>3027</v>
      </c>
      <c r="R48" s="2892" t="s">
        <v>3028</v>
      </c>
      <c r="S48" s="2892" t="s">
        <v>3029</v>
      </c>
      <c r="T48" s="2892" t="s">
        <v>3030</v>
      </c>
      <c r="U48" s="2892" t="s">
        <v>3031</v>
      </c>
      <c r="V48" s="2892" t="s">
        <v>3032</v>
      </c>
      <c r="W48" s="2892" t="s">
        <v>3033</v>
      </c>
      <c r="X48" s="2892" t="s">
        <v>3034</v>
      </c>
      <c r="Y48" s="2892" t="s">
        <v>3035</v>
      </c>
      <c r="Z48" s="2892" t="s">
        <v>3036</v>
      </c>
      <c r="AA48" s="2892" t="s">
        <v>3037</v>
      </c>
      <c r="AB48" s="2892" t="s">
        <v>3038</v>
      </c>
      <c r="AC48" s="2892" t="s">
        <v>3039</v>
      </c>
      <c r="AD48" s="2892" t="s">
        <v>3040</v>
      </c>
      <c r="AE48" s="2892" t="s">
        <v>3041</v>
      </c>
      <c r="AF48" s="2892" t="s">
        <v>3042</v>
      </c>
      <c r="AG48" s="2892" t="s">
        <v>3043</v>
      </c>
      <c r="AH48" s="2892" t="s">
        <v>3044</v>
      </c>
      <c r="AI48" s="2892" t="s">
        <v>3045</v>
      </c>
      <c r="AJ48" s="2892" t="s">
        <v>3046</v>
      </c>
      <c r="AK48" s="2892" t="s">
        <v>3047</v>
      </c>
      <c r="AL48" s="2892" t="s">
        <v>3072</v>
      </c>
      <c r="AM48" s="2892" t="s">
        <v>3048</v>
      </c>
      <c r="AN48" s="2892" t="s">
        <v>3049</v>
      </c>
      <c r="AO48" s="2892" t="s">
        <v>3050</v>
      </c>
      <c r="AP48" s="2892" t="s">
        <v>3051</v>
      </c>
      <c r="AQ48" s="2892" t="s">
        <v>3052</v>
      </c>
      <c r="AR48" s="2892" t="s">
        <v>3053</v>
      </c>
      <c r="AS48" s="2892" t="s">
        <v>3054</v>
      </c>
    </row>
    <row r="49" spans="1:45" s="3183" customFormat="1">
      <c r="A49" s="3183" t="s">
        <v>3073</v>
      </c>
      <c r="B49" s="3183" t="s">
        <v>3055</v>
      </c>
      <c r="C49" s="3183" t="s">
        <v>3071</v>
      </c>
      <c r="D49" s="3183" t="s">
        <v>3074</v>
      </c>
      <c r="E49" s="3183" t="s">
        <v>2817</v>
      </c>
      <c r="F49" s="3183" t="s">
        <v>3073</v>
      </c>
      <c r="G49" s="3183" t="s">
        <v>3057</v>
      </c>
      <c r="H49" s="3183" t="s">
        <v>3075</v>
      </c>
      <c r="I49" s="3183" t="s">
        <v>3076</v>
      </c>
      <c r="J49" s="3183">
        <v>15094.79</v>
      </c>
      <c r="K49" s="3183">
        <v>49812.81</v>
      </c>
      <c r="L49" s="3183" t="s">
        <v>3077</v>
      </c>
      <c r="M49" s="3183" t="s">
        <v>2817</v>
      </c>
      <c r="N49" s="3183" t="s">
        <v>3078</v>
      </c>
      <c r="O49" s="3183" t="s">
        <v>3079</v>
      </c>
      <c r="P49" s="3183" t="s">
        <v>2817</v>
      </c>
      <c r="Q49" s="3183" t="s">
        <v>2817</v>
      </c>
      <c r="R49" s="3183" t="s">
        <v>2817</v>
      </c>
      <c r="S49" s="3183" t="s">
        <v>2817</v>
      </c>
      <c r="T49" s="3183" t="s">
        <v>2817</v>
      </c>
      <c r="U49" s="3183" t="s">
        <v>2817</v>
      </c>
      <c r="V49" s="3183" t="s">
        <v>2817</v>
      </c>
      <c r="W49" s="3183" t="s">
        <v>3058</v>
      </c>
      <c r="X49" s="3183" t="s">
        <v>3080</v>
      </c>
      <c r="Y49" s="3183" t="s">
        <v>3081</v>
      </c>
      <c r="Z49" s="3183" t="s">
        <v>3082</v>
      </c>
      <c r="AA49" s="3183" t="s">
        <v>3082</v>
      </c>
      <c r="AB49" s="3183" t="s">
        <v>3083</v>
      </c>
      <c r="AC49" s="3183" t="s">
        <v>3059</v>
      </c>
      <c r="AD49" s="3183" t="s">
        <v>3084</v>
      </c>
      <c r="AE49" s="3183">
        <v>29924</v>
      </c>
      <c r="AF49" s="3183">
        <v>29924</v>
      </c>
      <c r="AG49" s="3183">
        <v>29924</v>
      </c>
      <c r="AH49" s="3183">
        <v>1321.6</v>
      </c>
      <c r="AI49" s="3183">
        <v>1321.6</v>
      </c>
      <c r="AJ49" s="3183">
        <v>6007.28</v>
      </c>
      <c r="AK49" s="3183">
        <v>6007.28</v>
      </c>
      <c r="AL49" s="3183" t="s">
        <v>2817</v>
      </c>
      <c r="AM49" s="3183" t="s">
        <v>2817</v>
      </c>
      <c r="AN49" s="3183">
        <v>0</v>
      </c>
      <c r="AO49" s="3183" t="s">
        <v>3085</v>
      </c>
      <c r="AP49" s="3183" t="s">
        <v>2817</v>
      </c>
      <c r="AQ49" s="3183" t="s">
        <v>2817</v>
      </c>
      <c r="AR49" s="3183" t="s">
        <v>2817</v>
      </c>
      <c r="AS49" s="3183" t="s">
        <v>3086</v>
      </c>
    </row>
    <row r="50" spans="1:45" s="2892" customFormat="1">
      <c r="A50" s="2892" t="s">
        <v>3381</v>
      </c>
      <c r="B50" s="2892" t="s">
        <v>3055</v>
      </c>
      <c r="C50" s="2892" t="s">
        <v>3071</v>
      </c>
      <c r="D50" s="2892" t="s">
        <v>3382</v>
      </c>
      <c r="E50" s="2892" t="s">
        <v>2817</v>
      </c>
      <c r="F50" s="2892" t="s">
        <v>3381</v>
      </c>
      <c r="G50" s="2892" t="s">
        <v>3057</v>
      </c>
      <c r="H50" s="2892" t="s">
        <v>3383</v>
      </c>
      <c r="I50" s="2892" t="s">
        <v>3384</v>
      </c>
      <c r="J50" s="2892">
        <v>27071.360000000001</v>
      </c>
      <c r="K50" s="2892">
        <v>73092.7</v>
      </c>
      <c r="L50" s="2892" t="s">
        <v>3385</v>
      </c>
      <c r="M50" s="2892" t="s">
        <v>2817</v>
      </c>
      <c r="N50" s="2892" t="s">
        <v>3078</v>
      </c>
      <c r="O50" s="2892" t="s">
        <v>3079</v>
      </c>
      <c r="P50" s="2892" t="s">
        <v>2817</v>
      </c>
      <c r="Q50" s="2892" t="s">
        <v>2817</v>
      </c>
      <c r="R50" s="2892" t="s">
        <v>2817</v>
      </c>
      <c r="S50" s="2892" t="s">
        <v>2817</v>
      </c>
      <c r="T50" s="2892" t="s">
        <v>3092</v>
      </c>
      <c r="U50" s="2892" t="s">
        <v>2817</v>
      </c>
      <c r="V50" s="2892" t="s">
        <v>2817</v>
      </c>
      <c r="W50" s="2892" t="s">
        <v>3058</v>
      </c>
      <c r="X50" s="2892" t="s">
        <v>3386</v>
      </c>
      <c r="Y50" s="2892" t="s">
        <v>3081</v>
      </c>
      <c r="Z50" s="2892" t="s">
        <v>3082</v>
      </c>
      <c r="AA50" s="2892" t="s">
        <v>3082</v>
      </c>
      <c r="AB50" s="2892" t="s">
        <v>3387</v>
      </c>
      <c r="AC50" s="2892" t="s">
        <v>3059</v>
      </c>
      <c r="AD50" s="2892" t="s">
        <v>3388</v>
      </c>
      <c r="AE50" s="2892">
        <v>12928</v>
      </c>
      <c r="AF50" s="2892">
        <v>25856</v>
      </c>
      <c r="AG50" s="2892">
        <v>25856</v>
      </c>
      <c r="AH50" s="2892">
        <v>636.74</v>
      </c>
      <c r="AI50" s="2892">
        <v>636.74</v>
      </c>
      <c r="AJ50" s="2892">
        <v>3537.42</v>
      </c>
      <c r="AK50" s="2892">
        <v>3537.42</v>
      </c>
      <c r="AL50" s="2892" t="s">
        <v>2817</v>
      </c>
      <c r="AM50" s="2892" t="s">
        <v>2817</v>
      </c>
      <c r="AN50" s="2892">
        <v>0</v>
      </c>
      <c r="AO50" s="2892" t="s">
        <v>3389</v>
      </c>
      <c r="AP50" s="2892" t="s">
        <v>2817</v>
      </c>
      <c r="AQ50" s="2892" t="s">
        <v>2817</v>
      </c>
      <c r="AR50" s="2892" t="s">
        <v>2817</v>
      </c>
      <c r="AS50" s="2892" t="s">
        <v>3086</v>
      </c>
    </row>
    <row r="51" spans="1:45" s="2892" customFormat="1">
      <c r="A51" s="2892" t="s">
        <v>3087</v>
      </c>
      <c r="B51" s="2892" t="s">
        <v>3055</v>
      </c>
      <c r="C51" s="2892" t="s">
        <v>3071</v>
      </c>
      <c r="D51" s="2892" t="s">
        <v>3074</v>
      </c>
      <c r="E51" s="2892" t="s">
        <v>2817</v>
      </c>
      <c r="F51" s="2892" t="s">
        <v>3087</v>
      </c>
      <c r="G51" s="2892" t="s">
        <v>3057</v>
      </c>
      <c r="H51" s="2892" t="s">
        <v>3088</v>
      </c>
      <c r="I51" s="2892" t="s">
        <v>3076</v>
      </c>
      <c r="J51" s="2892">
        <v>59888.35</v>
      </c>
      <c r="K51" s="2892">
        <v>173676.22</v>
      </c>
      <c r="L51" s="2892" t="s">
        <v>3089</v>
      </c>
      <c r="M51" s="2892" t="s">
        <v>2817</v>
      </c>
      <c r="N51" s="2892" t="s">
        <v>3090</v>
      </c>
      <c r="O51" s="2892" t="s">
        <v>3091</v>
      </c>
      <c r="P51" s="2892" t="s">
        <v>2817</v>
      </c>
      <c r="Q51" s="2892" t="s">
        <v>2817</v>
      </c>
      <c r="R51" s="2892" t="s">
        <v>2817</v>
      </c>
      <c r="S51" s="2892" t="s">
        <v>2817</v>
      </c>
      <c r="T51" s="2892" t="s">
        <v>3092</v>
      </c>
      <c r="U51" s="2892" t="s">
        <v>2817</v>
      </c>
      <c r="V51" s="2892" t="s">
        <v>2817</v>
      </c>
      <c r="W51" s="2892" t="s">
        <v>3058</v>
      </c>
      <c r="X51" s="2892" t="s">
        <v>3093</v>
      </c>
      <c r="Y51" s="2892" t="s">
        <v>3094</v>
      </c>
      <c r="Z51" s="2892" t="s">
        <v>3095</v>
      </c>
      <c r="AA51" s="2892" t="s">
        <v>3095</v>
      </c>
      <c r="AB51" s="2892" t="s">
        <v>3096</v>
      </c>
      <c r="AC51" s="2892" t="s">
        <v>3059</v>
      </c>
      <c r="AD51" s="2892" t="s">
        <v>3097</v>
      </c>
      <c r="AE51" s="2892">
        <v>38527</v>
      </c>
      <c r="AF51" s="2892">
        <v>77053</v>
      </c>
      <c r="AG51" s="2892">
        <v>77053</v>
      </c>
      <c r="AH51" s="2892">
        <v>857.74</v>
      </c>
      <c r="AI51" s="2892">
        <v>857.74</v>
      </c>
      <c r="AJ51" s="2892">
        <v>4436.58</v>
      </c>
      <c r="AK51" s="2892">
        <v>4436.59</v>
      </c>
      <c r="AL51" s="2892" t="s">
        <v>2817</v>
      </c>
      <c r="AM51" s="2892" t="s">
        <v>2817</v>
      </c>
      <c r="AN51" s="2892">
        <v>0</v>
      </c>
      <c r="AO51" s="2892" t="s">
        <v>3085</v>
      </c>
      <c r="AP51" s="2892" t="s">
        <v>2817</v>
      </c>
      <c r="AQ51" s="2892" t="s">
        <v>2817</v>
      </c>
      <c r="AR51" s="2892" t="s">
        <v>2817</v>
      </c>
      <c r="AS51" s="2892" t="s">
        <v>3086</v>
      </c>
    </row>
    <row r="52" spans="1:45" s="2892" customFormat="1">
      <c r="A52" s="2892" t="s">
        <v>3390</v>
      </c>
      <c r="B52" s="2892" t="s">
        <v>3055</v>
      </c>
      <c r="C52" s="2892" t="s">
        <v>3071</v>
      </c>
      <c r="D52" s="2892" t="s">
        <v>3382</v>
      </c>
      <c r="E52" s="2892" t="s">
        <v>2817</v>
      </c>
      <c r="F52" s="2892" t="s">
        <v>3390</v>
      </c>
      <c r="G52" s="2892" t="s">
        <v>3057</v>
      </c>
      <c r="H52" s="2892" t="s">
        <v>3391</v>
      </c>
      <c r="I52" s="2892" t="s">
        <v>3392</v>
      </c>
      <c r="J52" s="2892">
        <v>13474.84</v>
      </c>
      <c r="K52" s="2892">
        <v>67374.2</v>
      </c>
      <c r="L52" s="2892" t="s">
        <v>3393</v>
      </c>
      <c r="M52" s="2892" t="s">
        <v>2817</v>
      </c>
      <c r="N52" s="2892" t="s">
        <v>3394</v>
      </c>
      <c r="O52" s="2892" t="s">
        <v>3111</v>
      </c>
      <c r="P52" s="2892" t="s">
        <v>2817</v>
      </c>
      <c r="Q52" s="2892" t="s">
        <v>2817</v>
      </c>
      <c r="R52" s="2892" t="s">
        <v>2817</v>
      </c>
      <c r="S52" s="2892" t="s">
        <v>2817</v>
      </c>
      <c r="T52" s="2892" t="s">
        <v>3092</v>
      </c>
      <c r="U52" s="2892" t="s">
        <v>2817</v>
      </c>
      <c r="V52" s="2892" t="s">
        <v>2817</v>
      </c>
      <c r="W52" s="2892" t="s">
        <v>3058</v>
      </c>
      <c r="X52" s="2892" t="s">
        <v>3395</v>
      </c>
      <c r="Y52" s="2892" t="s">
        <v>3396</v>
      </c>
      <c r="Z52" s="2892" t="s">
        <v>3397</v>
      </c>
      <c r="AA52" s="2892" t="s">
        <v>3397</v>
      </c>
      <c r="AB52" s="2892" t="s">
        <v>3398</v>
      </c>
      <c r="AC52" s="2892" t="s">
        <v>3059</v>
      </c>
      <c r="AD52" s="2892" t="s">
        <v>3399</v>
      </c>
      <c r="AE52" s="2892">
        <v>9594</v>
      </c>
      <c r="AF52" s="2892">
        <v>19187</v>
      </c>
      <c r="AG52" s="2892">
        <v>19187</v>
      </c>
      <c r="AH52" s="2892">
        <v>949.28</v>
      </c>
      <c r="AI52" s="2892">
        <v>949.28</v>
      </c>
      <c r="AJ52" s="2892">
        <v>2847.82</v>
      </c>
      <c r="AK52" s="2892">
        <v>2847.82</v>
      </c>
      <c r="AL52" s="2892" t="s">
        <v>2817</v>
      </c>
      <c r="AM52" s="2892" t="s">
        <v>2817</v>
      </c>
      <c r="AN52" s="2892">
        <v>0</v>
      </c>
      <c r="AO52" s="2892" t="s">
        <v>3400</v>
      </c>
      <c r="AP52" s="2892" t="s">
        <v>2817</v>
      </c>
      <c r="AQ52" s="2892" t="s">
        <v>2817</v>
      </c>
      <c r="AR52" s="2892" t="s">
        <v>2817</v>
      </c>
      <c r="AS52" s="2892" t="s">
        <v>3117</v>
      </c>
    </row>
    <row r="53" spans="1:45" s="2892" customFormat="1">
      <c r="A53" s="2892" t="s">
        <v>3401</v>
      </c>
      <c r="B53" s="2892" t="s">
        <v>3055</v>
      </c>
      <c r="C53" s="2892" t="s">
        <v>3071</v>
      </c>
      <c r="D53" s="2892" t="s">
        <v>3382</v>
      </c>
      <c r="E53" s="2892" t="s">
        <v>2817</v>
      </c>
      <c r="F53" s="2892" t="s">
        <v>3401</v>
      </c>
      <c r="G53" s="2892" t="s">
        <v>3057</v>
      </c>
      <c r="H53" s="2892" t="s">
        <v>3402</v>
      </c>
      <c r="I53" s="2892" t="s">
        <v>3403</v>
      </c>
      <c r="J53" s="2892">
        <v>85335.8</v>
      </c>
      <c r="K53" s="2892">
        <v>290141.71999999997</v>
      </c>
      <c r="L53" s="2892" t="s">
        <v>3404</v>
      </c>
      <c r="M53" s="2892" t="s">
        <v>2817</v>
      </c>
      <c r="N53" s="2892" t="s">
        <v>3078</v>
      </c>
      <c r="O53" s="2892" t="s">
        <v>3111</v>
      </c>
      <c r="P53" s="2892" t="s">
        <v>2817</v>
      </c>
      <c r="Q53" s="2892" t="s">
        <v>2817</v>
      </c>
      <c r="R53" s="2892" t="s">
        <v>2817</v>
      </c>
      <c r="S53" s="2892" t="s">
        <v>2817</v>
      </c>
      <c r="T53" s="2892" t="s">
        <v>3092</v>
      </c>
      <c r="U53" s="2892" t="s">
        <v>2817</v>
      </c>
      <c r="V53" s="2892" t="s">
        <v>2817</v>
      </c>
      <c r="W53" s="2892" t="s">
        <v>3058</v>
      </c>
      <c r="X53" s="2892" t="s">
        <v>3395</v>
      </c>
      <c r="Y53" s="2892" t="s">
        <v>3396</v>
      </c>
      <c r="Z53" s="2892" t="s">
        <v>3397</v>
      </c>
      <c r="AA53" s="2892" t="s">
        <v>3397</v>
      </c>
      <c r="AB53" s="2892" t="s">
        <v>3398</v>
      </c>
      <c r="AC53" s="2892" t="s">
        <v>3059</v>
      </c>
      <c r="AD53" s="2892" t="s">
        <v>3405</v>
      </c>
      <c r="AE53" s="2892">
        <v>52871</v>
      </c>
      <c r="AF53" s="2892">
        <v>105741</v>
      </c>
      <c r="AG53" s="2892">
        <v>105741</v>
      </c>
      <c r="AH53" s="2892">
        <v>826.08</v>
      </c>
      <c r="AI53" s="2892">
        <v>826.08</v>
      </c>
      <c r="AJ53" s="2892">
        <v>3644.46</v>
      </c>
      <c r="AK53" s="2892">
        <v>3644.46</v>
      </c>
      <c r="AL53" s="2892" t="s">
        <v>2817</v>
      </c>
      <c r="AM53" s="2892" t="s">
        <v>2817</v>
      </c>
      <c r="AN53" s="2892">
        <v>0</v>
      </c>
      <c r="AO53" s="2892" t="s">
        <v>3406</v>
      </c>
      <c r="AP53" s="2892" t="s">
        <v>2817</v>
      </c>
      <c r="AQ53" s="2892" t="s">
        <v>2817</v>
      </c>
      <c r="AR53" s="2892" t="s">
        <v>2817</v>
      </c>
      <c r="AS53" s="2892" t="s">
        <v>3086</v>
      </c>
    </row>
    <row r="54" spans="1:45" s="2892" customFormat="1">
      <c r="A54" s="2892" t="s">
        <v>3407</v>
      </c>
      <c r="B54" s="2892" t="s">
        <v>3055</v>
      </c>
      <c r="C54" s="2892" t="s">
        <v>3071</v>
      </c>
      <c r="D54" s="2892" t="s">
        <v>3382</v>
      </c>
      <c r="E54" s="2892" t="s">
        <v>2817</v>
      </c>
      <c r="F54" s="2892" t="s">
        <v>3407</v>
      </c>
      <c r="G54" s="2892" t="s">
        <v>3057</v>
      </c>
      <c r="H54" s="2892" t="s">
        <v>3408</v>
      </c>
      <c r="I54" s="2892" t="s">
        <v>3076</v>
      </c>
      <c r="J54" s="2892">
        <v>26242.22</v>
      </c>
      <c r="K54" s="2892">
        <v>104968.88</v>
      </c>
      <c r="L54" s="2892" t="s">
        <v>3409</v>
      </c>
      <c r="M54" s="2892" t="s">
        <v>2817</v>
      </c>
      <c r="N54" s="2892" t="s">
        <v>3410</v>
      </c>
      <c r="O54" s="2892" t="s">
        <v>3111</v>
      </c>
      <c r="P54" s="2892" t="s">
        <v>2817</v>
      </c>
      <c r="Q54" s="2892" t="s">
        <v>2817</v>
      </c>
      <c r="R54" s="2892" t="s">
        <v>2817</v>
      </c>
      <c r="S54" s="2892" t="s">
        <v>2817</v>
      </c>
      <c r="T54" s="2892" t="s">
        <v>3092</v>
      </c>
      <c r="U54" s="2892" t="s">
        <v>2817</v>
      </c>
      <c r="V54" s="2892" t="s">
        <v>2817</v>
      </c>
      <c r="W54" s="2892" t="s">
        <v>3058</v>
      </c>
      <c r="X54" s="2892" t="s">
        <v>3395</v>
      </c>
      <c r="Y54" s="2892" t="s">
        <v>3396</v>
      </c>
      <c r="Z54" s="2892" t="s">
        <v>3397</v>
      </c>
      <c r="AA54" s="2892" t="s">
        <v>3397</v>
      </c>
      <c r="AB54" s="2892" t="s">
        <v>3398</v>
      </c>
      <c r="AC54" s="2892" t="s">
        <v>3059</v>
      </c>
      <c r="AD54" s="2892" t="s">
        <v>3399</v>
      </c>
      <c r="AE54" s="2892">
        <v>17443</v>
      </c>
      <c r="AF54" s="2892">
        <v>34886</v>
      </c>
      <c r="AG54" s="2892">
        <v>34886</v>
      </c>
      <c r="AH54" s="2892">
        <v>886.26</v>
      </c>
      <c r="AI54" s="2892">
        <v>886.26</v>
      </c>
      <c r="AJ54" s="2892">
        <v>3323.46</v>
      </c>
      <c r="AK54" s="2892">
        <v>3323.46</v>
      </c>
      <c r="AL54" s="2892" t="s">
        <v>2817</v>
      </c>
      <c r="AM54" s="2892" t="s">
        <v>2817</v>
      </c>
      <c r="AN54" s="2892">
        <v>0</v>
      </c>
      <c r="AO54" s="2892" t="s">
        <v>3411</v>
      </c>
      <c r="AP54" s="2892" t="s">
        <v>2817</v>
      </c>
      <c r="AQ54" s="2892" t="s">
        <v>2817</v>
      </c>
      <c r="AR54" s="2892" t="s">
        <v>2817</v>
      </c>
      <c r="AS54" s="2892" t="s">
        <v>3117</v>
      </c>
    </row>
    <row r="55" spans="1:45" s="2892" customFormat="1">
      <c r="A55" s="2892" t="s">
        <v>3098</v>
      </c>
      <c r="B55" s="2892" t="s">
        <v>3055</v>
      </c>
      <c r="C55" s="2892" t="s">
        <v>3071</v>
      </c>
      <c r="D55" s="2892" t="s">
        <v>3074</v>
      </c>
      <c r="E55" s="2892" t="s">
        <v>2817</v>
      </c>
      <c r="F55" s="2892" t="s">
        <v>3098</v>
      </c>
      <c r="G55" s="2892" t="s">
        <v>3057</v>
      </c>
      <c r="H55" s="2892" t="s">
        <v>3099</v>
      </c>
      <c r="I55" s="2892" t="s">
        <v>3076</v>
      </c>
      <c r="J55" s="2892">
        <v>44111.96</v>
      </c>
      <c r="K55" s="2892">
        <v>110279.9</v>
      </c>
      <c r="L55" s="2892" t="s">
        <v>3100</v>
      </c>
      <c r="M55" s="2892" t="s">
        <v>2817</v>
      </c>
      <c r="N55" s="2892" t="s">
        <v>3078</v>
      </c>
      <c r="O55" s="2892" t="s">
        <v>3101</v>
      </c>
      <c r="P55" s="2892" t="s">
        <v>2817</v>
      </c>
      <c r="Q55" s="2892" t="s">
        <v>2817</v>
      </c>
      <c r="R55" s="2892" t="s">
        <v>2817</v>
      </c>
      <c r="S55" s="2892" t="s">
        <v>2817</v>
      </c>
      <c r="T55" s="2892" t="s">
        <v>2817</v>
      </c>
      <c r="U55" s="2892" t="s">
        <v>2817</v>
      </c>
      <c r="V55" s="2892" t="s">
        <v>2817</v>
      </c>
      <c r="W55" s="2892" t="s">
        <v>3058</v>
      </c>
      <c r="X55" s="2892" t="s">
        <v>3102</v>
      </c>
      <c r="Y55" s="2892" t="s">
        <v>3103</v>
      </c>
      <c r="Z55" s="2892" t="s">
        <v>3104</v>
      </c>
      <c r="AA55" s="2892" t="s">
        <v>3104</v>
      </c>
      <c r="AB55" s="2892" t="s">
        <v>3105</v>
      </c>
      <c r="AC55" s="2892" t="s">
        <v>3059</v>
      </c>
      <c r="AD55" s="2892" t="s">
        <v>3106</v>
      </c>
      <c r="AE55" s="2892">
        <v>23100</v>
      </c>
      <c r="AF55" s="2892">
        <v>46163</v>
      </c>
      <c r="AG55" s="2892">
        <v>46163</v>
      </c>
      <c r="AH55" s="2892">
        <v>697.66</v>
      </c>
      <c r="AI55" s="2892">
        <v>697.66</v>
      </c>
      <c r="AJ55" s="2892">
        <v>4185.9799999999996</v>
      </c>
      <c r="AK55" s="2892">
        <v>4185.97</v>
      </c>
      <c r="AL55" s="2892" t="s">
        <v>2817</v>
      </c>
      <c r="AM55" s="2892" t="s">
        <v>2817</v>
      </c>
      <c r="AN55" s="2892">
        <v>0</v>
      </c>
      <c r="AO55" s="2892" t="s">
        <v>3085</v>
      </c>
      <c r="AP55" s="2892" t="s">
        <v>2817</v>
      </c>
      <c r="AQ55" s="2892" t="s">
        <v>2817</v>
      </c>
      <c r="AR55" s="2892" t="s">
        <v>2817</v>
      </c>
      <c r="AS55" s="2892" t="s">
        <v>3086</v>
      </c>
    </row>
    <row r="56" spans="1:45" s="2892" customFormat="1">
      <c r="A56" s="2892" t="s">
        <v>3412</v>
      </c>
      <c r="B56" s="2892" t="s">
        <v>3055</v>
      </c>
      <c r="C56" s="2892" t="s">
        <v>3071</v>
      </c>
      <c r="D56" s="2892" t="s">
        <v>3382</v>
      </c>
      <c r="E56" s="2892" t="s">
        <v>2817</v>
      </c>
      <c r="F56" s="2892" t="s">
        <v>3412</v>
      </c>
      <c r="G56" s="2892" t="s">
        <v>3057</v>
      </c>
      <c r="H56" s="2892" t="s">
        <v>3413</v>
      </c>
      <c r="I56" s="2892" t="s">
        <v>3414</v>
      </c>
      <c r="J56" s="2892">
        <v>14636.82</v>
      </c>
      <c r="K56" s="2892">
        <v>51228.87</v>
      </c>
      <c r="L56" s="2892" t="s">
        <v>3415</v>
      </c>
      <c r="M56" s="2892" t="s">
        <v>2817</v>
      </c>
      <c r="N56" s="2892" t="s">
        <v>3090</v>
      </c>
      <c r="O56" s="2892" t="s">
        <v>3416</v>
      </c>
      <c r="P56" s="2892" t="s">
        <v>2817</v>
      </c>
      <c r="Q56" s="2892" t="s">
        <v>2817</v>
      </c>
      <c r="R56" s="2892" t="s">
        <v>2817</v>
      </c>
      <c r="S56" s="2892" t="s">
        <v>2817</v>
      </c>
      <c r="T56" s="2892" t="s">
        <v>2817</v>
      </c>
      <c r="U56" s="2892" t="s">
        <v>2817</v>
      </c>
      <c r="V56" s="2892" t="s">
        <v>2817</v>
      </c>
      <c r="W56" s="2892" t="s">
        <v>3058</v>
      </c>
      <c r="X56" s="2892" t="s">
        <v>3112</v>
      </c>
      <c r="Y56" s="2892" t="s">
        <v>3113</v>
      </c>
      <c r="Z56" s="2892" t="s">
        <v>3114</v>
      </c>
      <c r="AA56" s="2892" t="s">
        <v>3114</v>
      </c>
      <c r="AB56" s="2892" t="s">
        <v>3115</v>
      </c>
      <c r="AC56" s="2892" t="s">
        <v>3059</v>
      </c>
      <c r="AD56" s="2892" t="s">
        <v>3417</v>
      </c>
      <c r="AE56" s="2892">
        <v>18862</v>
      </c>
      <c r="AF56" s="2892">
        <v>18862</v>
      </c>
      <c r="AG56" s="2892">
        <v>18862</v>
      </c>
      <c r="AH56" s="2892">
        <v>859.11</v>
      </c>
      <c r="AI56" s="2892">
        <v>859.11</v>
      </c>
      <c r="AJ56" s="2892">
        <v>3681.9</v>
      </c>
      <c r="AK56" s="2892">
        <v>3681.9</v>
      </c>
      <c r="AL56" s="2892" t="s">
        <v>2817</v>
      </c>
      <c r="AM56" s="2892" t="s">
        <v>2817</v>
      </c>
      <c r="AN56" s="2892">
        <v>0</v>
      </c>
      <c r="AO56" s="2892" t="s">
        <v>3418</v>
      </c>
      <c r="AP56" s="2892" t="s">
        <v>2817</v>
      </c>
      <c r="AQ56" s="2892" t="s">
        <v>2817</v>
      </c>
      <c r="AR56" s="2892" t="s">
        <v>2817</v>
      </c>
      <c r="AS56" s="2892" t="s">
        <v>3086</v>
      </c>
    </row>
    <row r="57" spans="1:45" s="2892" customFormat="1">
      <c r="A57" s="2892" t="s">
        <v>3419</v>
      </c>
      <c r="B57" s="2892" t="s">
        <v>3055</v>
      </c>
      <c r="C57" s="2892" t="s">
        <v>3071</v>
      </c>
      <c r="D57" s="2892" t="s">
        <v>3382</v>
      </c>
      <c r="E57" s="2892" t="s">
        <v>2817</v>
      </c>
      <c r="F57" s="2892" t="s">
        <v>3419</v>
      </c>
      <c r="G57" s="2892" t="s">
        <v>3057</v>
      </c>
      <c r="H57" s="2892" t="s">
        <v>3420</v>
      </c>
      <c r="I57" s="2892" t="s">
        <v>3421</v>
      </c>
      <c r="J57" s="2892">
        <v>60870.03</v>
      </c>
      <c r="K57" s="2892">
        <v>310437.15000000002</v>
      </c>
      <c r="L57" s="2892" t="s">
        <v>3422</v>
      </c>
      <c r="M57" s="2892" t="s">
        <v>2817</v>
      </c>
      <c r="N57" s="2892" t="s">
        <v>3423</v>
      </c>
      <c r="O57" s="2892" t="s">
        <v>3424</v>
      </c>
      <c r="P57" s="2892" t="s">
        <v>2817</v>
      </c>
      <c r="Q57" s="2892" t="s">
        <v>2817</v>
      </c>
      <c r="R57" s="2892" t="s">
        <v>2817</v>
      </c>
      <c r="S57" s="2892" t="s">
        <v>2817</v>
      </c>
      <c r="T57" s="2892" t="s">
        <v>2817</v>
      </c>
      <c r="U57" s="2892" t="s">
        <v>2817</v>
      </c>
      <c r="V57" s="2892" t="s">
        <v>2817</v>
      </c>
      <c r="W57" s="2892" t="s">
        <v>3058</v>
      </c>
      <c r="X57" s="2892" t="s">
        <v>3112</v>
      </c>
      <c r="Y57" s="2892" t="s">
        <v>3113</v>
      </c>
      <c r="Z57" s="2892" t="s">
        <v>3114</v>
      </c>
      <c r="AA57" s="2892" t="s">
        <v>3114</v>
      </c>
      <c r="AB57" s="2892" t="s">
        <v>3115</v>
      </c>
      <c r="AC57" s="2892" t="s">
        <v>3059</v>
      </c>
      <c r="AD57" s="2892" t="s">
        <v>3425</v>
      </c>
      <c r="AE57" s="2892">
        <v>82357</v>
      </c>
      <c r="AF57" s="2892">
        <v>82357</v>
      </c>
      <c r="AG57" s="2892">
        <v>82357</v>
      </c>
      <c r="AH57" s="2892">
        <v>902</v>
      </c>
      <c r="AI57" s="2892">
        <v>902</v>
      </c>
      <c r="AJ57" s="2892">
        <v>2652.93</v>
      </c>
      <c r="AK57" s="2892">
        <v>2652.94</v>
      </c>
      <c r="AL57" s="2892" t="s">
        <v>2817</v>
      </c>
      <c r="AM57" s="2892" t="s">
        <v>2817</v>
      </c>
      <c r="AN57" s="2892">
        <v>0</v>
      </c>
      <c r="AO57" s="2892" t="s">
        <v>3426</v>
      </c>
      <c r="AP57" s="2892" t="s">
        <v>2817</v>
      </c>
      <c r="AQ57" s="2892" t="s">
        <v>2817</v>
      </c>
      <c r="AR57" s="2892" t="s">
        <v>2817</v>
      </c>
      <c r="AS57" s="2892" t="s">
        <v>3117</v>
      </c>
    </row>
    <row r="58" spans="1:45" s="2892" customFormat="1">
      <c r="A58" s="2892" t="s">
        <v>3107</v>
      </c>
      <c r="B58" s="2892" t="s">
        <v>3055</v>
      </c>
      <c r="C58" s="2892" t="s">
        <v>3071</v>
      </c>
      <c r="D58" s="2892" t="s">
        <v>3074</v>
      </c>
      <c r="E58" s="2892" t="s">
        <v>2817</v>
      </c>
      <c r="F58" s="2892" t="s">
        <v>3107</v>
      </c>
      <c r="G58" s="2892" t="s">
        <v>3057</v>
      </c>
      <c r="H58" s="2892" t="s">
        <v>3108</v>
      </c>
      <c r="I58" s="2892" t="s">
        <v>3109</v>
      </c>
      <c r="J58" s="2892">
        <v>42954.39</v>
      </c>
      <c r="K58" s="2892">
        <v>214771.95</v>
      </c>
      <c r="L58" s="2892" t="s">
        <v>3110</v>
      </c>
      <c r="M58" s="2892" t="s">
        <v>2817</v>
      </c>
      <c r="N58" s="2892" t="s">
        <v>3090</v>
      </c>
      <c r="O58" s="2892" t="s">
        <v>3111</v>
      </c>
      <c r="P58" s="2892" t="s">
        <v>2817</v>
      </c>
      <c r="Q58" s="2892" t="s">
        <v>2817</v>
      </c>
      <c r="R58" s="2892" t="s">
        <v>2817</v>
      </c>
      <c r="S58" s="2892" t="s">
        <v>2817</v>
      </c>
      <c r="T58" s="2892" t="s">
        <v>2817</v>
      </c>
      <c r="U58" s="2892" t="s">
        <v>2817</v>
      </c>
      <c r="V58" s="2892" t="s">
        <v>2817</v>
      </c>
      <c r="W58" s="2892" t="s">
        <v>3058</v>
      </c>
      <c r="X58" s="2892" t="s">
        <v>3112</v>
      </c>
      <c r="Y58" s="2892" t="s">
        <v>3113</v>
      </c>
      <c r="Z58" s="2892" t="s">
        <v>3114</v>
      </c>
      <c r="AA58" s="2892" t="s">
        <v>3114</v>
      </c>
      <c r="AB58" s="2892" t="s">
        <v>3115</v>
      </c>
      <c r="AC58" s="2892" t="s">
        <v>3059</v>
      </c>
      <c r="AD58" s="2892" t="s">
        <v>3116</v>
      </c>
      <c r="AE58" s="2892">
        <v>47800</v>
      </c>
      <c r="AF58" s="2892">
        <v>95518</v>
      </c>
      <c r="AG58" s="2892">
        <v>95518</v>
      </c>
      <c r="AH58" s="2892">
        <v>1482.47</v>
      </c>
      <c r="AI58" s="2892">
        <v>1482.47</v>
      </c>
      <c r="AJ58" s="2892">
        <v>4447.41</v>
      </c>
      <c r="AK58" s="2892">
        <v>4447.42</v>
      </c>
      <c r="AL58" s="2892" t="s">
        <v>2817</v>
      </c>
      <c r="AM58" s="2892" t="s">
        <v>2817</v>
      </c>
      <c r="AN58" s="2892">
        <v>0</v>
      </c>
      <c r="AO58" s="2892" t="s">
        <v>3085</v>
      </c>
      <c r="AP58" s="2892" t="s">
        <v>2817</v>
      </c>
      <c r="AQ58" s="2892" t="s">
        <v>2817</v>
      </c>
      <c r="AR58" s="2892" t="s">
        <v>2817</v>
      </c>
      <c r="AS58" s="2892" t="s">
        <v>3117</v>
      </c>
    </row>
    <row r="59" spans="1:45" s="2892" customFormat="1">
      <c r="A59" s="2892" t="s">
        <v>3118</v>
      </c>
      <c r="B59" s="2892" t="s">
        <v>3055</v>
      </c>
      <c r="C59" s="2892" t="s">
        <v>3071</v>
      </c>
      <c r="D59" s="2892" t="s">
        <v>3074</v>
      </c>
      <c r="E59" s="2892" t="s">
        <v>2817</v>
      </c>
      <c r="F59" s="2892" t="s">
        <v>3118</v>
      </c>
      <c r="G59" s="2892" t="s">
        <v>3057</v>
      </c>
      <c r="H59" s="2892" t="s">
        <v>3119</v>
      </c>
      <c r="I59" s="2892" t="s">
        <v>3076</v>
      </c>
      <c r="J59" s="2892">
        <v>30597.13</v>
      </c>
      <c r="K59" s="2892">
        <v>152985.65</v>
      </c>
      <c r="L59" s="2892" t="s">
        <v>3110</v>
      </c>
      <c r="M59" s="2892" t="s">
        <v>2817</v>
      </c>
      <c r="N59" s="2892" t="s">
        <v>3078</v>
      </c>
      <c r="O59" s="2892" t="s">
        <v>3120</v>
      </c>
      <c r="P59" s="2892" t="s">
        <v>2817</v>
      </c>
      <c r="Q59" s="2892" t="s">
        <v>2817</v>
      </c>
      <c r="R59" s="2892" t="s">
        <v>2817</v>
      </c>
      <c r="S59" s="2892" t="s">
        <v>2817</v>
      </c>
      <c r="T59" s="2892" t="s">
        <v>3092</v>
      </c>
      <c r="U59" s="2892" t="s">
        <v>2817</v>
      </c>
      <c r="V59" s="2892" t="s">
        <v>2817</v>
      </c>
      <c r="W59" s="2892" t="s">
        <v>3058</v>
      </c>
      <c r="X59" s="2892" t="s">
        <v>3121</v>
      </c>
      <c r="Y59" s="2892" t="s">
        <v>3122</v>
      </c>
      <c r="Z59" s="2892" t="s">
        <v>3103</v>
      </c>
      <c r="AA59" s="2892" t="s">
        <v>3103</v>
      </c>
      <c r="AB59" s="2892" t="s">
        <v>3123</v>
      </c>
      <c r="AC59" s="2892" t="s">
        <v>3059</v>
      </c>
      <c r="AD59" s="2892" t="s">
        <v>3116</v>
      </c>
      <c r="AE59" s="2892">
        <v>34040</v>
      </c>
      <c r="AF59" s="2892">
        <v>68073</v>
      </c>
      <c r="AG59" s="2892">
        <v>68073</v>
      </c>
      <c r="AH59" s="2892">
        <v>1483.21</v>
      </c>
      <c r="AI59" s="2892">
        <v>1483.21</v>
      </c>
      <c r="AJ59" s="2892">
        <v>4449.63</v>
      </c>
      <c r="AK59" s="2892">
        <v>4449.63</v>
      </c>
      <c r="AL59" s="2892" t="s">
        <v>2817</v>
      </c>
      <c r="AM59" s="2892" t="s">
        <v>2817</v>
      </c>
      <c r="AN59" s="2892">
        <v>0</v>
      </c>
      <c r="AO59" s="2892" t="s">
        <v>3085</v>
      </c>
      <c r="AP59" s="2892" t="s">
        <v>2817</v>
      </c>
      <c r="AQ59" s="2892" t="s">
        <v>2817</v>
      </c>
      <c r="AR59" s="2892" t="s">
        <v>2817</v>
      </c>
      <c r="AS59" s="2892" t="s">
        <v>3117</v>
      </c>
    </row>
    <row r="60" spans="1:45" s="2892" customFormat="1">
      <c r="A60" s="2892" t="s">
        <v>3124</v>
      </c>
      <c r="B60" s="2892" t="s">
        <v>3055</v>
      </c>
      <c r="C60" s="2892" t="s">
        <v>3071</v>
      </c>
      <c r="D60" s="2892" t="s">
        <v>3074</v>
      </c>
      <c r="E60" s="2892" t="s">
        <v>2817</v>
      </c>
      <c r="F60" s="2892" t="s">
        <v>3124</v>
      </c>
      <c r="G60" s="2892" t="s">
        <v>3057</v>
      </c>
      <c r="H60" s="2892" t="s">
        <v>3125</v>
      </c>
      <c r="I60" s="2892" t="s">
        <v>3076</v>
      </c>
      <c r="J60" s="2892">
        <v>33155.69</v>
      </c>
      <c r="K60" s="2892">
        <v>172409.59</v>
      </c>
      <c r="L60" s="2892" t="s">
        <v>3126</v>
      </c>
      <c r="M60" s="2892" t="s">
        <v>2817</v>
      </c>
      <c r="N60" s="2892" t="s">
        <v>3078</v>
      </c>
      <c r="O60" s="2892" t="s">
        <v>3120</v>
      </c>
      <c r="P60" s="2892" t="s">
        <v>2817</v>
      </c>
      <c r="Q60" s="2892" t="s">
        <v>2817</v>
      </c>
      <c r="R60" s="2892" t="s">
        <v>2817</v>
      </c>
      <c r="S60" s="2892" t="s">
        <v>2817</v>
      </c>
      <c r="T60" s="2892" t="s">
        <v>3092</v>
      </c>
      <c r="U60" s="2892" t="s">
        <v>2817</v>
      </c>
      <c r="V60" s="2892" t="s">
        <v>2817</v>
      </c>
      <c r="W60" s="2892" t="s">
        <v>3058</v>
      </c>
      <c r="X60" s="2892" t="s">
        <v>3121</v>
      </c>
      <c r="Y60" s="2892" t="s">
        <v>3122</v>
      </c>
      <c r="Z60" s="2892" t="s">
        <v>3103</v>
      </c>
      <c r="AA60" s="2892" t="s">
        <v>3103</v>
      </c>
      <c r="AB60" s="2892" t="s">
        <v>3123</v>
      </c>
      <c r="AC60" s="2892" t="s">
        <v>3059</v>
      </c>
      <c r="AD60" s="2892" t="s">
        <v>3127</v>
      </c>
      <c r="AE60" s="2892">
        <v>31220</v>
      </c>
      <c r="AF60" s="2892">
        <v>62433</v>
      </c>
      <c r="AG60" s="2892">
        <v>62433</v>
      </c>
      <c r="AH60" s="2892">
        <v>1255.3499999999999</v>
      </c>
      <c r="AI60" s="2892">
        <v>1255.3499999999999</v>
      </c>
      <c r="AJ60" s="2892">
        <v>3621.2</v>
      </c>
      <c r="AK60" s="2892">
        <v>3621.19</v>
      </c>
      <c r="AL60" s="2892" t="s">
        <v>2817</v>
      </c>
      <c r="AM60" s="2892" t="s">
        <v>2817</v>
      </c>
      <c r="AN60" s="2892">
        <v>0</v>
      </c>
      <c r="AO60" s="2892" t="s">
        <v>3085</v>
      </c>
      <c r="AP60" s="2892" t="s">
        <v>2817</v>
      </c>
      <c r="AQ60" s="2892" t="s">
        <v>2817</v>
      </c>
      <c r="AR60" s="2892" t="s">
        <v>2817</v>
      </c>
      <c r="AS60" s="2892" t="s">
        <v>3117</v>
      </c>
    </row>
    <row r="61" spans="1:45" s="2892" customFormat="1">
      <c r="A61" s="2892" t="s">
        <v>3427</v>
      </c>
      <c r="B61" s="2892" t="s">
        <v>3055</v>
      </c>
      <c r="C61" s="2892" t="s">
        <v>3071</v>
      </c>
      <c r="D61" s="2892" t="s">
        <v>3382</v>
      </c>
      <c r="E61" s="2892" t="s">
        <v>2817</v>
      </c>
      <c r="F61" s="2892" t="s">
        <v>3427</v>
      </c>
      <c r="G61" s="2892" t="s">
        <v>3057</v>
      </c>
      <c r="H61" s="2892" t="s">
        <v>3428</v>
      </c>
      <c r="I61" s="2892" t="s">
        <v>3429</v>
      </c>
      <c r="J61" s="2892">
        <v>81632.31</v>
      </c>
      <c r="K61" s="2892">
        <v>367345.4</v>
      </c>
      <c r="L61" s="2892" t="s">
        <v>3430</v>
      </c>
      <c r="M61" s="2892" t="s">
        <v>2817</v>
      </c>
      <c r="N61" s="2892" t="s">
        <v>3078</v>
      </c>
      <c r="O61" s="2892" t="s">
        <v>3111</v>
      </c>
      <c r="P61" s="2892" t="s">
        <v>2817</v>
      </c>
      <c r="Q61" s="2892" t="s">
        <v>2817</v>
      </c>
      <c r="R61" s="2892" t="s">
        <v>2817</v>
      </c>
      <c r="S61" s="2892" t="s">
        <v>2817</v>
      </c>
      <c r="T61" s="2892" t="s">
        <v>2817</v>
      </c>
      <c r="U61" s="2892" t="s">
        <v>2817</v>
      </c>
      <c r="V61" s="2892" t="s">
        <v>2817</v>
      </c>
      <c r="W61" s="2892" t="s">
        <v>3058</v>
      </c>
      <c r="X61" s="2892" t="s">
        <v>3431</v>
      </c>
      <c r="Y61" s="2892" t="s">
        <v>3432</v>
      </c>
      <c r="Z61" s="2892" t="s">
        <v>3433</v>
      </c>
      <c r="AA61" s="2892" t="s">
        <v>3433</v>
      </c>
      <c r="AB61" s="2892" t="s">
        <v>3434</v>
      </c>
      <c r="AC61" s="2892" t="s">
        <v>3059</v>
      </c>
      <c r="AD61" s="2892" t="s">
        <v>3435</v>
      </c>
      <c r="AE61" s="2892">
        <v>55454</v>
      </c>
      <c r="AF61" s="2892">
        <v>110908</v>
      </c>
      <c r="AG61" s="2892">
        <v>110908</v>
      </c>
      <c r="AH61" s="2892">
        <v>905.75</v>
      </c>
      <c r="AI61" s="2892">
        <v>905.75</v>
      </c>
      <c r="AJ61" s="2892">
        <v>3019.17</v>
      </c>
      <c r="AK61" s="2892">
        <v>3019.17</v>
      </c>
      <c r="AL61" s="2892" t="s">
        <v>2817</v>
      </c>
      <c r="AM61" s="2892" t="s">
        <v>2817</v>
      </c>
      <c r="AN61" s="2892">
        <v>0</v>
      </c>
      <c r="AO61" s="2892" t="s">
        <v>3436</v>
      </c>
      <c r="AP61" s="2892" t="s">
        <v>2817</v>
      </c>
      <c r="AQ61" s="2892" t="s">
        <v>2817</v>
      </c>
      <c r="AR61" s="2892" t="s">
        <v>2817</v>
      </c>
      <c r="AS61" s="2892" t="s">
        <v>3086</v>
      </c>
    </row>
    <row r="62" spans="1:45" s="2892" customFormat="1">
      <c r="A62" s="2892" t="s">
        <v>3128</v>
      </c>
      <c r="B62" s="2892" t="s">
        <v>3055</v>
      </c>
      <c r="C62" s="2892" t="s">
        <v>3071</v>
      </c>
      <c r="D62" s="2892" t="s">
        <v>3074</v>
      </c>
      <c r="E62" s="2892" t="s">
        <v>2817</v>
      </c>
      <c r="F62" s="2892" t="s">
        <v>3128</v>
      </c>
      <c r="G62" s="2892" t="s">
        <v>3057</v>
      </c>
      <c r="H62" s="2892" t="s">
        <v>3129</v>
      </c>
      <c r="I62" s="2892" t="s">
        <v>3130</v>
      </c>
      <c r="J62" s="2892">
        <v>32982.25</v>
      </c>
      <c r="K62" s="2892">
        <v>191297</v>
      </c>
      <c r="L62" s="2892" t="s">
        <v>3131</v>
      </c>
      <c r="M62" s="2892" t="s">
        <v>2817</v>
      </c>
      <c r="N62" s="2892" t="s">
        <v>3132</v>
      </c>
      <c r="O62" s="2892" t="s">
        <v>2817</v>
      </c>
      <c r="P62" s="2892" t="s">
        <v>2817</v>
      </c>
      <c r="Q62" s="2892" t="s">
        <v>2817</v>
      </c>
      <c r="R62" s="2892" t="s">
        <v>2817</v>
      </c>
      <c r="S62" s="2892" t="s">
        <v>2817</v>
      </c>
      <c r="T62" s="2892" t="s">
        <v>3092</v>
      </c>
      <c r="U62" s="2892" t="s">
        <v>2817</v>
      </c>
      <c r="V62" s="2892" t="s">
        <v>2817</v>
      </c>
      <c r="W62" s="2892" t="s">
        <v>3058</v>
      </c>
      <c r="X62" s="2892" t="s">
        <v>3133</v>
      </c>
      <c r="Y62" s="2892" t="s">
        <v>3134</v>
      </c>
      <c r="Z62" s="2892" t="s">
        <v>3135</v>
      </c>
      <c r="AA62" s="2892" t="s">
        <v>3135</v>
      </c>
      <c r="AB62" s="2892" t="s">
        <v>3136</v>
      </c>
      <c r="AC62" s="2892" t="s">
        <v>3059</v>
      </c>
      <c r="AD62" s="2892" t="s">
        <v>3137</v>
      </c>
      <c r="AE62" s="2892">
        <v>37500</v>
      </c>
      <c r="AF62" s="2892">
        <v>74812</v>
      </c>
      <c r="AG62" s="2892">
        <v>74812</v>
      </c>
      <c r="AH62" s="2892">
        <v>1512.17</v>
      </c>
      <c r="AI62" s="2892">
        <v>1512.17</v>
      </c>
      <c r="AJ62" s="2892">
        <v>3910.77</v>
      </c>
      <c r="AK62" s="2892">
        <v>3910.78</v>
      </c>
      <c r="AL62" s="2892" t="s">
        <v>2817</v>
      </c>
      <c r="AM62" s="2892" t="s">
        <v>2817</v>
      </c>
      <c r="AN62" s="2892">
        <v>0</v>
      </c>
      <c r="AO62" s="2892" t="s">
        <v>3138</v>
      </c>
      <c r="AP62" s="2892" t="s">
        <v>2817</v>
      </c>
      <c r="AQ62" s="2892" t="s">
        <v>2817</v>
      </c>
      <c r="AR62" s="2892" t="s">
        <v>2817</v>
      </c>
      <c r="AS62" s="2892" t="s">
        <v>3086</v>
      </c>
    </row>
    <row r="63" spans="1:45" s="2892" customFormat="1">
      <c r="A63" s="2892" t="s">
        <v>3437</v>
      </c>
      <c r="B63" s="2892" t="s">
        <v>3055</v>
      </c>
      <c r="C63" s="2892" t="s">
        <v>3056</v>
      </c>
      <c r="D63" s="2892" t="s">
        <v>3382</v>
      </c>
      <c r="E63" s="2892" t="s">
        <v>2817</v>
      </c>
      <c r="F63" s="2892" t="s">
        <v>3437</v>
      </c>
      <c r="G63" s="2892" t="s">
        <v>3057</v>
      </c>
      <c r="H63" s="2892" t="s">
        <v>3438</v>
      </c>
      <c r="I63" s="2892" t="s">
        <v>3166</v>
      </c>
      <c r="J63" s="2892">
        <v>45915.05</v>
      </c>
      <c r="K63" s="2892">
        <v>160702.70000000001</v>
      </c>
      <c r="L63" s="2892" t="s">
        <v>3167</v>
      </c>
      <c r="M63" s="2892" t="s">
        <v>2817</v>
      </c>
      <c r="N63" s="2892" t="s">
        <v>3309</v>
      </c>
      <c r="O63" s="2892" t="s">
        <v>3111</v>
      </c>
      <c r="P63" s="2892" t="s">
        <v>2817</v>
      </c>
      <c r="Q63" s="2892" t="s">
        <v>2817</v>
      </c>
      <c r="R63" s="2892" t="s">
        <v>2817</v>
      </c>
      <c r="S63" s="2892" t="s">
        <v>2817</v>
      </c>
      <c r="T63" s="2892" t="s">
        <v>3092</v>
      </c>
      <c r="U63" s="2892" t="s">
        <v>2817</v>
      </c>
      <c r="V63" s="2892" t="s">
        <v>2817</v>
      </c>
      <c r="W63" s="2892" t="s">
        <v>3058</v>
      </c>
      <c r="X63" s="2892" t="s">
        <v>3439</v>
      </c>
      <c r="Y63" s="2892" t="s">
        <v>3440</v>
      </c>
      <c r="Z63" s="2892" t="s">
        <v>3441</v>
      </c>
      <c r="AA63" s="2892" t="s">
        <v>3441</v>
      </c>
      <c r="AB63" s="2892" t="s">
        <v>3442</v>
      </c>
      <c r="AC63" s="2892" t="s">
        <v>3059</v>
      </c>
      <c r="AD63" s="2892" t="s">
        <v>3443</v>
      </c>
      <c r="AE63" s="2892">
        <v>22929</v>
      </c>
      <c r="AF63" s="2892">
        <v>45857</v>
      </c>
      <c r="AG63" s="2892">
        <v>45857</v>
      </c>
      <c r="AH63" s="2892">
        <v>665.82</v>
      </c>
      <c r="AI63" s="2892">
        <v>665.82</v>
      </c>
      <c r="AJ63" s="2892">
        <v>2853.53</v>
      </c>
      <c r="AK63" s="2892">
        <v>2853.53</v>
      </c>
      <c r="AL63" s="2892" t="s">
        <v>2817</v>
      </c>
      <c r="AM63" s="2892" t="s">
        <v>2817</v>
      </c>
      <c r="AN63" s="2892">
        <v>0</v>
      </c>
      <c r="AO63" s="2892">
        <v>70</v>
      </c>
      <c r="AP63" s="2892" t="s">
        <v>2817</v>
      </c>
      <c r="AQ63" s="2892" t="s">
        <v>2817</v>
      </c>
      <c r="AR63" s="2892" t="s">
        <v>2817</v>
      </c>
      <c r="AS63" s="2892" t="s">
        <v>3146</v>
      </c>
    </row>
    <row r="64" spans="1:45" s="2892" customFormat="1">
      <c r="A64" s="2892" t="s">
        <v>3444</v>
      </c>
      <c r="B64" s="2892" t="s">
        <v>3055</v>
      </c>
      <c r="C64" s="2892" t="s">
        <v>3056</v>
      </c>
      <c r="D64" s="2892" t="s">
        <v>3382</v>
      </c>
      <c r="E64" s="2892" t="s">
        <v>2817</v>
      </c>
      <c r="F64" s="2892" t="s">
        <v>3444</v>
      </c>
      <c r="G64" s="2892" t="s">
        <v>3057</v>
      </c>
      <c r="H64" s="2892" t="s">
        <v>3445</v>
      </c>
      <c r="I64" s="2892" t="s">
        <v>3166</v>
      </c>
      <c r="J64" s="2892">
        <v>10933.13</v>
      </c>
      <c r="K64" s="2892">
        <v>38265.949999999997</v>
      </c>
      <c r="L64" s="2892" t="s">
        <v>3167</v>
      </c>
      <c r="M64" s="2892" t="s">
        <v>2817</v>
      </c>
      <c r="N64" s="2892" t="s">
        <v>3309</v>
      </c>
      <c r="O64" s="2892" t="s">
        <v>3111</v>
      </c>
      <c r="P64" s="2892" t="s">
        <v>2817</v>
      </c>
      <c r="Q64" s="2892" t="s">
        <v>2817</v>
      </c>
      <c r="R64" s="2892" t="s">
        <v>2817</v>
      </c>
      <c r="S64" s="2892" t="s">
        <v>2817</v>
      </c>
      <c r="T64" s="2892" t="s">
        <v>3092</v>
      </c>
      <c r="U64" s="2892" t="s">
        <v>2817</v>
      </c>
      <c r="V64" s="2892" t="s">
        <v>2817</v>
      </c>
      <c r="W64" s="2892" t="s">
        <v>3058</v>
      </c>
      <c r="X64" s="2892" t="s">
        <v>3439</v>
      </c>
      <c r="Y64" s="2892" t="s">
        <v>3440</v>
      </c>
      <c r="Z64" s="2892" t="s">
        <v>3441</v>
      </c>
      <c r="AA64" s="2892" t="s">
        <v>3441</v>
      </c>
      <c r="AB64" s="2892" t="s">
        <v>3442</v>
      </c>
      <c r="AC64" s="2892" t="s">
        <v>3059</v>
      </c>
      <c r="AD64" s="2892" t="s">
        <v>3443</v>
      </c>
      <c r="AE64" s="2892">
        <v>5455</v>
      </c>
      <c r="AF64" s="2892">
        <v>10910</v>
      </c>
      <c r="AG64" s="2892">
        <v>10910</v>
      </c>
      <c r="AH64" s="2892">
        <v>665.26</v>
      </c>
      <c r="AI64" s="2892">
        <v>665.26</v>
      </c>
      <c r="AJ64" s="2892">
        <v>2851.09</v>
      </c>
      <c r="AK64" s="2892">
        <v>2851.09</v>
      </c>
      <c r="AL64" s="2892" t="s">
        <v>2817</v>
      </c>
      <c r="AM64" s="2892" t="s">
        <v>2817</v>
      </c>
      <c r="AN64" s="2892">
        <v>0</v>
      </c>
      <c r="AO64" s="2892">
        <v>70</v>
      </c>
      <c r="AP64" s="2892" t="s">
        <v>2817</v>
      </c>
      <c r="AQ64" s="2892" t="s">
        <v>2817</v>
      </c>
      <c r="AR64" s="2892" t="s">
        <v>2817</v>
      </c>
      <c r="AS64" s="2892" t="s">
        <v>3196</v>
      </c>
    </row>
    <row r="65" spans="1:45" s="2892" customFormat="1">
      <c r="A65" s="2892" t="s">
        <v>3446</v>
      </c>
      <c r="B65" s="2892" t="s">
        <v>3055</v>
      </c>
      <c r="C65" s="2892" t="s">
        <v>3056</v>
      </c>
      <c r="D65" s="2892" t="s">
        <v>3382</v>
      </c>
      <c r="E65" s="2892" t="s">
        <v>2817</v>
      </c>
      <c r="F65" s="2892" t="s">
        <v>3446</v>
      </c>
      <c r="G65" s="2892" t="s">
        <v>3057</v>
      </c>
      <c r="H65" s="2892" t="s">
        <v>3447</v>
      </c>
      <c r="I65" s="2892" t="s">
        <v>3166</v>
      </c>
      <c r="J65" s="2892">
        <v>39024.39</v>
      </c>
      <c r="K65" s="2892">
        <v>136585.4</v>
      </c>
      <c r="L65" s="2892" t="s">
        <v>3167</v>
      </c>
      <c r="M65" s="2892" t="s">
        <v>2817</v>
      </c>
      <c r="N65" s="2892" t="s">
        <v>3309</v>
      </c>
      <c r="O65" s="2892" t="s">
        <v>3111</v>
      </c>
      <c r="P65" s="2892" t="s">
        <v>2817</v>
      </c>
      <c r="Q65" s="2892" t="s">
        <v>2817</v>
      </c>
      <c r="R65" s="2892" t="s">
        <v>2817</v>
      </c>
      <c r="S65" s="2892" t="s">
        <v>2817</v>
      </c>
      <c r="T65" s="2892" t="s">
        <v>3092</v>
      </c>
      <c r="U65" s="2892" t="s">
        <v>2817</v>
      </c>
      <c r="V65" s="2892" t="s">
        <v>2817</v>
      </c>
      <c r="W65" s="2892" t="s">
        <v>3058</v>
      </c>
      <c r="X65" s="2892" t="s">
        <v>3439</v>
      </c>
      <c r="Y65" s="2892" t="s">
        <v>3440</v>
      </c>
      <c r="Z65" s="2892" t="s">
        <v>3441</v>
      </c>
      <c r="AA65" s="2892" t="s">
        <v>3441</v>
      </c>
      <c r="AB65" s="2892" t="s">
        <v>3442</v>
      </c>
      <c r="AC65" s="2892" t="s">
        <v>3059</v>
      </c>
      <c r="AD65" s="2892" t="s">
        <v>3443</v>
      </c>
      <c r="AE65" s="2892">
        <v>19497</v>
      </c>
      <c r="AF65" s="2892">
        <v>38993</v>
      </c>
      <c r="AG65" s="2892">
        <v>38993</v>
      </c>
      <c r="AH65" s="2892">
        <v>666.13</v>
      </c>
      <c r="AI65" s="2892">
        <v>666.13</v>
      </c>
      <c r="AJ65" s="2892">
        <v>2854.84</v>
      </c>
      <c r="AK65" s="2892">
        <v>2854.84</v>
      </c>
      <c r="AL65" s="2892" t="s">
        <v>2817</v>
      </c>
      <c r="AM65" s="2892" t="s">
        <v>2817</v>
      </c>
      <c r="AN65" s="2892">
        <v>0</v>
      </c>
      <c r="AO65" s="2892">
        <v>70</v>
      </c>
      <c r="AP65" s="2892" t="s">
        <v>2817</v>
      </c>
      <c r="AQ65" s="2892" t="s">
        <v>2817</v>
      </c>
      <c r="AR65" s="2892" t="s">
        <v>2817</v>
      </c>
      <c r="AS65" s="2892" t="s">
        <v>3146</v>
      </c>
    </row>
    <row r="66" spans="1:45" s="2892" customFormat="1">
      <c r="A66" s="2892" t="s">
        <v>3448</v>
      </c>
      <c r="B66" s="2892" t="s">
        <v>3055</v>
      </c>
      <c r="C66" s="2892" t="s">
        <v>3071</v>
      </c>
      <c r="D66" s="2892" t="s">
        <v>3382</v>
      </c>
      <c r="E66" s="2892" t="s">
        <v>2817</v>
      </c>
      <c r="F66" s="2892" t="s">
        <v>3448</v>
      </c>
      <c r="G66" s="2892" t="s">
        <v>3057</v>
      </c>
      <c r="H66" s="2892" t="s">
        <v>3449</v>
      </c>
      <c r="I66" s="2892" t="s">
        <v>3076</v>
      </c>
      <c r="J66" s="2892">
        <v>37636.04</v>
      </c>
      <c r="K66" s="2892">
        <v>75272.08</v>
      </c>
      <c r="L66" s="2892" t="s">
        <v>3158</v>
      </c>
      <c r="M66" s="2892" t="s">
        <v>2817</v>
      </c>
      <c r="N66" s="2892" t="s">
        <v>3078</v>
      </c>
      <c r="O66" s="2892" t="s">
        <v>2817</v>
      </c>
      <c r="P66" s="2892" t="s">
        <v>2817</v>
      </c>
      <c r="Q66" s="2892" t="s">
        <v>2817</v>
      </c>
      <c r="R66" s="2892" t="s">
        <v>2817</v>
      </c>
      <c r="S66" s="2892" t="s">
        <v>2817</v>
      </c>
      <c r="T66" s="2892" t="s">
        <v>3092</v>
      </c>
      <c r="U66" s="2892" t="s">
        <v>2817</v>
      </c>
      <c r="V66" s="2892" t="s">
        <v>2817</v>
      </c>
      <c r="W66" s="2892" t="s">
        <v>3058</v>
      </c>
      <c r="X66" s="2892" t="s">
        <v>3450</v>
      </c>
      <c r="Y66" s="2892" t="s">
        <v>3451</v>
      </c>
      <c r="Z66" s="2892" t="s">
        <v>3452</v>
      </c>
      <c r="AA66" s="2892" t="s">
        <v>3452</v>
      </c>
      <c r="AB66" s="2892" t="s">
        <v>3453</v>
      </c>
      <c r="AC66" s="2892" t="s">
        <v>3059</v>
      </c>
      <c r="AD66" s="2892" t="s">
        <v>3454</v>
      </c>
      <c r="AE66" s="2892">
        <v>15719</v>
      </c>
      <c r="AF66" s="2892">
        <v>31438</v>
      </c>
      <c r="AG66" s="2892">
        <v>31438</v>
      </c>
      <c r="AH66" s="2892">
        <v>556.88</v>
      </c>
      <c r="AI66" s="2892">
        <v>556.88</v>
      </c>
      <c r="AJ66" s="2892">
        <v>4176.58</v>
      </c>
      <c r="AK66" s="2892">
        <v>4176.57</v>
      </c>
      <c r="AL66" s="2892" t="s">
        <v>2817</v>
      </c>
      <c r="AM66" s="2892" t="s">
        <v>2817</v>
      </c>
      <c r="AN66" s="2892">
        <v>0</v>
      </c>
      <c r="AO66" s="2892" t="s">
        <v>3085</v>
      </c>
      <c r="AP66" s="2892" t="s">
        <v>2817</v>
      </c>
      <c r="AQ66" s="2892" t="s">
        <v>2817</v>
      </c>
      <c r="AR66" s="2892" t="s">
        <v>2817</v>
      </c>
      <c r="AS66" s="2892" t="s">
        <v>3146</v>
      </c>
    </row>
    <row r="67" spans="1:45" s="3202" customFormat="1">
      <c r="A67" s="3203" t="s">
        <v>4018</v>
      </c>
      <c r="B67" s="3202" t="s">
        <v>3055</v>
      </c>
      <c r="C67" s="3202" t="s">
        <v>3071</v>
      </c>
      <c r="D67" s="3202" t="s">
        <v>3382</v>
      </c>
      <c r="E67" s="3202" t="s">
        <v>2817</v>
      </c>
      <c r="F67" s="3202" t="s">
        <v>3455</v>
      </c>
      <c r="G67" s="3202" t="s">
        <v>3057</v>
      </c>
      <c r="H67" s="3202" t="s">
        <v>3456</v>
      </c>
      <c r="I67" s="3202" t="s">
        <v>3076</v>
      </c>
      <c r="J67" s="3202">
        <v>70151.91</v>
      </c>
      <c r="K67" s="3202">
        <v>210455.7</v>
      </c>
      <c r="L67" s="3202" t="s">
        <v>3457</v>
      </c>
      <c r="M67" s="3202" t="s">
        <v>2817</v>
      </c>
      <c r="N67" s="3202" t="s">
        <v>3078</v>
      </c>
      <c r="O67" s="3202" t="s">
        <v>2817</v>
      </c>
      <c r="P67" s="3202" t="s">
        <v>2817</v>
      </c>
      <c r="Q67" s="3202" t="s">
        <v>2817</v>
      </c>
      <c r="R67" s="3202" t="s">
        <v>2817</v>
      </c>
      <c r="S67" s="3202" t="s">
        <v>2817</v>
      </c>
      <c r="T67" s="3202" t="s">
        <v>3092</v>
      </c>
      <c r="U67" s="3202" t="s">
        <v>3458</v>
      </c>
      <c r="V67" s="3202" t="s">
        <v>2817</v>
      </c>
      <c r="W67" s="3202" t="s">
        <v>3058</v>
      </c>
      <c r="X67" s="3202" t="s">
        <v>3450</v>
      </c>
      <c r="Y67" s="3202" t="s">
        <v>3451</v>
      </c>
      <c r="Z67" s="3202" t="s">
        <v>3452</v>
      </c>
      <c r="AA67" s="3202" t="s">
        <v>3452</v>
      </c>
      <c r="AB67" s="3202" t="s">
        <v>3453</v>
      </c>
      <c r="AC67" s="3202" t="s">
        <v>3059</v>
      </c>
      <c r="AD67" s="3202" t="s">
        <v>3459</v>
      </c>
      <c r="AE67" s="3202">
        <v>84859</v>
      </c>
      <c r="AF67" s="3202">
        <v>84859</v>
      </c>
      <c r="AG67" s="3202">
        <v>130460</v>
      </c>
      <c r="AH67" s="3202">
        <v>806.43</v>
      </c>
      <c r="AI67" s="3202">
        <v>1239.79</v>
      </c>
      <c r="AJ67" s="3202">
        <v>4032.15</v>
      </c>
      <c r="AK67" s="3202">
        <v>6198.93</v>
      </c>
      <c r="AL67" s="3202" t="s">
        <v>2817</v>
      </c>
      <c r="AM67" s="3202" t="s">
        <v>2817</v>
      </c>
      <c r="AN67" s="3202">
        <v>53.74</v>
      </c>
      <c r="AO67" s="3202" t="s">
        <v>3085</v>
      </c>
      <c r="AP67" s="3202" t="s">
        <v>2817</v>
      </c>
      <c r="AQ67" s="3202" t="s">
        <v>2817</v>
      </c>
      <c r="AR67" s="3202" t="s">
        <v>2817</v>
      </c>
      <c r="AS67" s="3202" t="s">
        <v>3117</v>
      </c>
    </row>
    <row r="68" spans="1:45" s="2892" customFormat="1">
      <c r="A68" s="2892" t="s">
        <v>3460</v>
      </c>
      <c r="B68" s="2892" t="s">
        <v>3055</v>
      </c>
      <c r="C68" s="2892" t="s">
        <v>3071</v>
      </c>
      <c r="D68" s="2892" t="s">
        <v>3382</v>
      </c>
      <c r="E68" s="2892" t="s">
        <v>2817</v>
      </c>
      <c r="F68" s="2892" t="s">
        <v>3460</v>
      </c>
      <c r="G68" s="2892" t="s">
        <v>3057</v>
      </c>
      <c r="H68" s="2892" t="s">
        <v>3461</v>
      </c>
      <c r="I68" s="2892" t="s">
        <v>3076</v>
      </c>
      <c r="J68" s="2892">
        <v>39316.99</v>
      </c>
      <c r="K68" s="2892">
        <v>78633.98</v>
      </c>
      <c r="L68" s="2892" t="s">
        <v>3158</v>
      </c>
      <c r="M68" s="2892" t="s">
        <v>2817</v>
      </c>
      <c r="N68" s="2892" t="s">
        <v>3078</v>
      </c>
      <c r="O68" s="2892" t="s">
        <v>2817</v>
      </c>
      <c r="P68" s="2892" t="s">
        <v>2817</v>
      </c>
      <c r="Q68" s="2892" t="s">
        <v>2817</v>
      </c>
      <c r="R68" s="2892" t="s">
        <v>2817</v>
      </c>
      <c r="S68" s="2892" t="s">
        <v>2817</v>
      </c>
      <c r="T68" s="2892" t="s">
        <v>3092</v>
      </c>
      <c r="U68" s="2892" t="s">
        <v>2817</v>
      </c>
      <c r="V68" s="2892" t="s">
        <v>2817</v>
      </c>
      <c r="W68" s="2892" t="s">
        <v>3058</v>
      </c>
      <c r="X68" s="2892" t="s">
        <v>3450</v>
      </c>
      <c r="Y68" s="2892" t="s">
        <v>3451</v>
      </c>
      <c r="Z68" s="2892" t="s">
        <v>3452</v>
      </c>
      <c r="AA68" s="2892" t="s">
        <v>3452</v>
      </c>
      <c r="AB68" s="2892" t="s">
        <v>3453</v>
      </c>
      <c r="AC68" s="2892" t="s">
        <v>3059</v>
      </c>
      <c r="AD68" s="2892" t="s">
        <v>3454</v>
      </c>
      <c r="AE68" s="2892">
        <v>16386</v>
      </c>
      <c r="AF68" s="2892">
        <v>32772</v>
      </c>
      <c r="AG68" s="2892">
        <v>32772</v>
      </c>
      <c r="AH68" s="2892">
        <v>555.69000000000005</v>
      </c>
      <c r="AI68" s="2892">
        <v>555.69000000000005</v>
      </c>
      <c r="AJ68" s="2892">
        <v>4167.66</v>
      </c>
      <c r="AK68" s="2892">
        <v>4167.6499999999996</v>
      </c>
      <c r="AL68" s="2892" t="s">
        <v>2817</v>
      </c>
      <c r="AM68" s="2892" t="s">
        <v>2817</v>
      </c>
      <c r="AN68" s="2892">
        <v>0</v>
      </c>
      <c r="AO68" s="2892" t="s">
        <v>3085</v>
      </c>
      <c r="AP68" s="2892" t="s">
        <v>2817</v>
      </c>
      <c r="AQ68" s="2892" t="s">
        <v>2817</v>
      </c>
      <c r="AR68" s="2892" t="s">
        <v>2817</v>
      </c>
      <c r="AS68" s="2892" t="s">
        <v>3146</v>
      </c>
    </row>
    <row r="69" spans="1:45" s="2892" customFormat="1">
      <c r="A69" s="2892" t="s">
        <v>3462</v>
      </c>
      <c r="B69" s="2892" t="s">
        <v>3055</v>
      </c>
      <c r="C69" s="2892" t="s">
        <v>3071</v>
      </c>
      <c r="D69" s="2892" t="s">
        <v>3382</v>
      </c>
      <c r="E69" s="2892" t="s">
        <v>2817</v>
      </c>
      <c r="F69" s="2892" t="s">
        <v>3462</v>
      </c>
      <c r="G69" s="2892" t="s">
        <v>3057</v>
      </c>
      <c r="H69" s="2892" t="s">
        <v>3463</v>
      </c>
      <c r="I69" s="2892" t="s">
        <v>3076</v>
      </c>
      <c r="J69" s="2892">
        <v>47823.65</v>
      </c>
      <c r="K69" s="2892">
        <v>167382.79999999999</v>
      </c>
      <c r="L69" s="2892" t="s">
        <v>3464</v>
      </c>
      <c r="M69" s="2892" t="s">
        <v>2817</v>
      </c>
      <c r="N69" s="2892" t="s">
        <v>3309</v>
      </c>
      <c r="O69" s="2892" t="s">
        <v>2817</v>
      </c>
      <c r="P69" s="2892" t="s">
        <v>2817</v>
      </c>
      <c r="Q69" s="2892" t="s">
        <v>2817</v>
      </c>
      <c r="R69" s="2892" t="s">
        <v>2817</v>
      </c>
      <c r="S69" s="2892" t="s">
        <v>2817</v>
      </c>
      <c r="T69" s="2892" t="s">
        <v>3092</v>
      </c>
      <c r="U69" s="2892" t="s">
        <v>2817</v>
      </c>
      <c r="V69" s="2892" t="s">
        <v>2817</v>
      </c>
      <c r="W69" s="2892" t="s">
        <v>3058</v>
      </c>
      <c r="X69" s="2892" t="s">
        <v>3450</v>
      </c>
      <c r="Y69" s="2892" t="s">
        <v>3451</v>
      </c>
      <c r="Z69" s="2892" t="s">
        <v>3452</v>
      </c>
      <c r="AA69" s="2892" t="s">
        <v>3452</v>
      </c>
      <c r="AB69" s="2892" t="s">
        <v>3453</v>
      </c>
      <c r="AC69" s="2892" t="s">
        <v>3059</v>
      </c>
      <c r="AD69" s="2892" t="s">
        <v>3454</v>
      </c>
      <c r="AE69" s="2892">
        <v>23462</v>
      </c>
      <c r="AF69" s="2892">
        <v>46923</v>
      </c>
      <c r="AG69" s="2892">
        <v>46923</v>
      </c>
      <c r="AH69" s="2892">
        <v>654.11</v>
      </c>
      <c r="AI69" s="2892">
        <v>654.11</v>
      </c>
      <c r="AJ69" s="2892">
        <v>2803.33</v>
      </c>
      <c r="AK69" s="2892">
        <v>2803.32</v>
      </c>
      <c r="AL69" s="2892" t="s">
        <v>2817</v>
      </c>
      <c r="AM69" s="2892" t="s">
        <v>2817</v>
      </c>
      <c r="AN69" s="2892">
        <v>0</v>
      </c>
      <c r="AO69" s="2892" t="s">
        <v>3085</v>
      </c>
      <c r="AP69" s="2892" t="s">
        <v>2817</v>
      </c>
      <c r="AQ69" s="2892" t="s">
        <v>2817</v>
      </c>
      <c r="AR69" s="2892" t="s">
        <v>2817</v>
      </c>
      <c r="AS69" s="2892" t="s">
        <v>3146</v>
      </c>
    </row>
    <row r="70" spans="1:45" s="2892" customFormat="1">
      <c r="A70" s="2892" t="s">
        <v>3465</v>
      </c>
      <c r="B70" s="2892" t="s">
        <v>3055</v>
      </c>
      <c r="C70" s="2892" t="s">
        <v>3056</v>
      </c>
      <c r="D70" s="2892" t="s">
        <v>3382</v>
      </c>
      <c r="E70" s="2892" t="s">
        <v>2817</v>
      </c>
      <c r="F70" s="2892" t="s">
        <v>3465</v>
      </c>
      <c r="G70" s="2892" t="s">
        <v>3057</v>
      </c>
      <c r="H70" s="2892" t="s">
        <v>3466</v>
      </c>
      <c r="I70" s="2892" t="s">
        <v>3166</v>
      </c>
      <c r="J70" s="2892">
        <v>42352.55</v>
      </c>
      <c r="K70" s="2892">
        <v>148233.9</v>
      </c>
      <c r="L70" s="2892" t="s">
        <v>3167</v>
      </c>
      <c r="M70" s="2892" t="s">
        <v>2817</v>
      </c>
      <c r="N70" s="2892" t="s">
        <v>3309</v>
      </c>
      <c r="O70" s="2892" t="s">
        <v>2817</v>
      </c>
      <c r="P70" s="2892" t="s">
        <v>2817</v>
      </c>
      <c r="Q70" s="2892" t="s">
        <v>2817</v>
      </c>
      <c r="R70" s="2892" t="s">
        <v>2817</v>
      </c>
      <c r="S70" s="2892" t="s">
        <v>2817</v>
      </c>
      <c r="T70" s="2892" t="s">
        <v>3092</v>
      </c>
      <c r="U70" s="2892" t="s">
        <v>2817</v>
      </c>
      <c r="V70" s="2892" t="s">
        <v>2817</v>
      </c>
      <c r="W70" s="2892" t="s">
        <v>3058</v>
      </c>
      <c r="X70" s="2892" t="s">
        <v>3450</v>
      </c>
      <c r="Y70" s="2892" t="s">
        <v>3451</v>
      </c>
      <c r="Z70" s="2892" t="s">
        <v>3452</v>
      </c>
      <c r="AA70" s="2892" t="s">
        <v>3452</v>
      </c>
      <c r="AB70" s="2892" t="s">
        <v>3453</v>
      </c>
      <c r="AC70" s="2892" t="s">
        <v>3059</v>
      </c>
      <c r="AD70" s="2892" t="s">
        <v>3454</v>
      </c>
      <c r="AE70" s="2892">
        <v>19850</v>
      </c>
      <c r="AF70" s="2892">
        <v>39700</v>
      </c>
      <c r="AG70" s="2892">
        <v>39700</v>
      </c>
      <c r="AH70" s="2892">
        <v>624.91</v>
      </c>
      <c r="AI70" s="2892">
        <v>624.91</v>
      </c>
      <c r="AJ70" s="2892">
        <v>2678.19</v>
      </c>
      <c r="AK70" s="2892">
        <v>2678.19</v>
      </c>
      <c r="AL70" s="2892" t="s">
        <v>2817</v>
      </c>
      <c r="AM70" s="2892" t="s">
        <v>2817</v>
      </c>
      <c r="AN70" s="2892">
        <v>0</v>
      </c>
      <c r="AO70" s="2892">
        <v>70</v>
      </c>
      <c r="AP70" s="2892" t="s">
        <v>2817</v>
      </c>
      <c r="AQ70" s="2892" t="s">
        <v>2817</v>
      </c>
      <c r="AR70" s="2892" t="s">
        <v>2817</v>
      </c>
      <c r="AS70" s="2892" t="s">
        <v>3146</v>
      </c>
    </row>
    <row r="71" spans="1:45" s="2892" customFormat="1">
      <c r="A71" s="2892" t="s">
        <v>3139</v>
      </c>
      <c r="B71" s="2892" t="s">
        <v>3055</v>
      </c>
      <c r="C71" s="2892" t="s">
        <v>3071</v>
      </c>
      <c r="D71" s="2892" t="s">
        <v>3074</v>
      </c>
      <c r="E71" s="2892" t="s">
        <v>2817</v>
      </c>
      <c r="F71" s="2892" t="s">
        <v>3139</v>
      </c>
      <c r="G71" s="2892" t="s">
        <v>3057</v>
      </c>
      <c r="H71" s="2892" t="s">
        <v>3140</v>
      </c>
      <c r="I71" s="2892" t="s">
        <v>3076</v>
      </c>
      <c r="J71" s="2892">
        <v>80207.740000000005</v>
      </c>
      <c r="K71" s="2892">
        <v>208540.1</v>
      </c>
      <c r="L71" s="2892" t="s">
        <v>3141</v>
      </c>
      <c r="M71" s="2892" t="s">
        <v>2817</v>
      </c>
      <c r="N71" s="2892" t="s">
        <v>3078</v>
      </c>
      <c r="O71" s="2892" t="s">
        <v>2817</v>
      </c>
      <c r="P71" s="2892" t="s">
        <v>2817</v>
      </c>
      <c r="Q71" s="2892" t="s">
        <v>2817</v>
      </c>
      <c r="R71" s="2892" t="s">
        <v>2817</v>
      </c>
      <c r="S71" s="2892" t="s">
        <v>2817</v>
      </c>
      <c r="T71" s="2892" t="s">
        <v>3092</v>
      </c>
      <c r="U71" s="2892" t="s">
        <v>2817</v>
      </c>
      <c r="V71" s="2892" t="s">
        <v>2817</v>
      </c>
      <c r="W71" s="2892" t="s">
        <v>3058</v>
      </c>
      <c r="X71" s="2892" t="s">
        <v>3142</v>
      </c>
      <c r="Y71" s="2892" t="s">
        <v>3061</v>
      </c>
      <c r="Z71" s="2892" t="s">
        <v>3143</v>
      </c>
      <c r="AA71" s="2892" t="s">
        <v>3143</v>
      </c>
      <c r="AB71" s="2892" t="s">
        <v>3144</v>
      </c>
      <c r="AC71" s="2892" t="s">
        <v>3059</v>
      </c>
      <c r="AD71" s="2892" t="s">
        <v>3145</v>
      </c>
      <c r="AE71" s="2892">
        <v>40880</v>
      </c>
      <c r="AF71" s="2892">
        <v>81749</v>
      </c>
      <c r="AG71" s="2892">
        <v>81749</v>
      </c>
      <c r="AH71" s="2892">
        <v>679.48</v>
      </c>
      <c r="AI71" s="2892">
        <v>679.48</v>
      </c>
      <c r="AJ71" s="2892">
        <v>3920.06</v>
      </c>
      <c r="AK71" s="2892">
        <v>3920.05</v>
      </c>
      <c r="AL71" s="2892" t="s">
        <v>2817</v>
      </c>
      <c r="AM71" s="2892" t="s">
        <v>2817</v>
      </c>
      <c r="AN71" s="2892">
        <v>0</v>
      </c>
      <c r="AO71" s="2892" t="s">
        <v>3085</v>
      </c>
      <c r="AP71" s="2892" t="s">
        <v>2817</v>
      </c>
      <c r="AQ71" s="2892" t="s">
        <v>2817</v>
      </c>
      <c r="AR71" s="2892" t="s">
        <v>2817</v>
      </c>
      <c r="AS71" s="2892" t="s">
        <v>3146</v>
      </c>
    </row>
    <row r="72" spans="1:45" s="2892" customFormat="1">
      <c r="A72" s="2892" t="s">
        <v>3467</v>
      </c>
      <c r="B72" s="2892" t="s">
        <v>3055</v>
      </c>
      <c r="C72" s="2892" t="s">
        <v>3071</v>
      </c>
      <c r="D72" s="2892" t="s">
        <v>3468</v>
      </c>
      <c r="E72" s="2892" t="s">
        <v>2817</v>
      </c>
      <c r="F72" s="2892" t="s">
        <v>3467</v>
      </c>
      <c r="G72" s="2892" t="s">
        <v>3057</v>
      </c>
      <c r="H72" s="2892" t="s">
        <v>3469</v>
      </c>
      <c r="I72" s="2892" t="s">
        <v>3076</v>
      </c>
      <c r="J72" s="2892">
        <v>55787.54</v>
      </c>
      <c r="K72" s="2892">
        <v>167362.6</v>
      </c>
      <c r="L72" s="2892" t="s">
        <v>3457</v>
      </c>
      <c r="M72" s="2892" t="s">
        <v>2817</v>
      </c>
      <c r="N72" s="2892" t="s">
        <v>3078</v>
      </c>
      <c r="O72" s="2892" t="s">
        <v>3416</v>
      </c>
      <c r="P72" s="2892" t="s">
        <v>2817</v>
      </c>
      <c r="Q72" s="2892" t="s">
        <v>2817</v>
      </c>
      <c r="R72" s="2892" t="s">
        <v>2817</v>
      </c>
      <c r="S72" s="2892" t="s">
        <v>2817</v>
      </c>
      <c r="T72" s="2892" t="s">
        <v>3470</v>
      </c>
      <c r="U72" s="2892" t="s">
        <v>2817</v>
      </c>
      <c r="V72" s="2892" t="s">
        <v>2817</v>
      </c>
      <c r="W72" s="2892" t="s">
        <v>3058</v>
      </c>
      <c r="X72" s="2892" t="s">
        <v>3471</v>
      </c>
      <c r="Y72" s="2892" t="s">
        <v>3472</v>
      </c>
      <c r="Z72" s="2892" t="s">
        <v>3473</v>
      </c>
      <c r="AA72" s="2892" t="s">
        <v>3473</v>
      </c>
      <c r="AB72" s="2892" t="s">
        <v>3474</v>
      </c>
      <c r="AC72" s="2892" t="s">
        <v>3059</v>
      </c>
      <c r="AD72" s="2892" t="s">
        <v>3475</v>
      </c>
      <c r="AE72" s="2892">
        <v>28704</v>
      </c>
      <c r="AF72" s="2892">
        <v>57407</v>
      </c>
      <c r="AG72" s="2892">
        <v>57407</v>
      </c>
      <c r="AH72" s="2892">
        <v>686.02</v>
      </c>
      <c r="AI72" s="2892">
        <v>686.02</v>
      </c>
      <c r="AJ72" s="2892">
        <v>3430.09</v>
      </c>
      <c r="AK72" s="2892">
        <v>3430.09</v>
      </c>
      <c r="AL72" s="2892" t="s">
        <v>2817</v>
      </c>
      <c r="AM72" s="2892" t="s">
        <v>2817</v>
      </c>
      <c r="AN72" s="2892">
        <v>0</v>
      </c>
      <c r="AO72" s="2892" t="s">
        <v>3085</v>
      </c>
      <c r="AP72" s="2892" t="s">
        <v>2817</v>
      </c>
      <c r="AQ72" s="2892" t="s">
        <v>2817</v>
      </c>
      <c r="AR72" s="2892" t="s">
        <v>2817</v>
      </c>
      <c r="AS72" s="2892" t="s">
        <v>3146</v>
      </c>
    </row>
    <row r="73" spans="1:45" s="2892" customFormat="1">
      <c r="A73" s="2892" t="s">
        <v>3476</v>
      </c>
      <c r="B73" s="2892" t="s">
        <v>3055</v>
      </c>
      <c r="C73" s="2892" t="s">
        <v>3071</v>
      </c>
      <c r="D73" s="2892" t="s">
        <v>3468</v>
      </c>
      <c r="E73" s="2892" t="s">
        <v>2817</v>
      </c>
      <c r="F73" s="2892" t="s">
        <v>3476</v>
      </c>
      <c r="G73" s="2892" t="s">
        <v>3057</v>
      </c>
      <c r="H73" s="2892" t="s">
        <v>3477</v>
      </c>
      <c r="I73" s="2892" t="s">
        <v>3076</v>
      </c>
      <c r="J73" s="2892">
        <v>42538.29</v>
      </c>
      <c r="K73" s="2892">
        <v>136122.5</v>
      </c>
      <c r="L73" s="2892" t="s">
        <v>3478</v>
      </c>
      <c r="M73" s="2892" t="s">
        <v>2817</v>
      </c>
      <c r="N73" s="2892" t="s">
        <v>3078</v>
      </c>
      <c r="O73" s="2892" t="s">
        <v>3416</v>
      </c>
      <c r="P73" s="2892" t="s">
        <v>2817</v>
      </c>
      <c r="Q73" s="2892" t="s">
        <v>2817</v>
      </c>
      <c r="R73" s="2892" t="s">
        <v>2817</v>
      </c>
      <c r="S73" s="2892" t="s">
        <v>2817</v>
      </c>
      <c r="T73" s="2892" t="s">
        <v>3470</v>
      </c>
      <c r="U73" s="2892" t="s">
        <v>2817</v>
      </c>
      <c r="V73" s="2892" t="s">
        <v>2817</v>
      </c>
      <c r="W73" s="2892" t="s">
        <v>3058</v>
      </c>
      <c r="X73" s="2892" t="s">
        <v>3471</v>
      </c>
      <c r="Y73" s="2892" t="s">
        <v>3472</v>
      </c>
      <c r="Z73" s="2892" t="s">
        <v>3473</v>
      </c>
      <c r="AA73" s="2892" t="s">
        <v>3473</v>
      </c>
      <c r="AB73" s="2892" t="s">
        <v>3474</v>
      </c>
      <c r="AC73" s="2892" t="s">
        <v>3059</v>
      </c>
      <c r="AD73" s="2892" t="s">
        <v>3475</v>
      </c>
      <c r="AE73" s="2892">
        <v>22262</v>
      </c>
      <c r="AF73" s="2892">
        <v>44523</v>
      </c>
      <c r="AG73" s="2892">
        <v>44523</v>
      </c>
      <c r="AH73" s="2892">
        <v>697.77</v>
      </c>
      <c r="AI73" s="2892">
        <v>697.77</v>
      </c>
      <c r="AJ73" s="2892">
        <v>3270.8</v>
      </c>
      <c r="AK73" s="2892">
        <v>3270.8</v>
      </c>
      <c r="AL73" s="2892" t="s">
        <v>2817</v>
      </c>
      <c r="AM73" s="2892" t="s">
        <v>2817</v>
      </c>
      <c r="AN73" s="2892">
        <v>0</v>
      </c>
      <c r="AO73" s="2892" t="s">
        <v>3085</v>
      </c>
      <c r="AP73" s="2892" t="s">
        <v>2817</v>
      </c>
      <c r="AQ73" s="2892" t="s">
        <v>2817</v>
      </c>
      <c r="AR73" s="2892" t="s">
        <v>2817</v>
      </c>
      <c r="AS73" s="2892" t="s">
        <v>3146</v>
      </c>
    </row>
    <row r="74" spans="1:45" s="2892" customFormat="1">
      <c r="A74" s="2892" t="s">
        <v>3479</v>
      </c>
      <c r="B74" s="2892" t="s">
        <v>3055</v>
      </c>
      <c r="C74" s="2892" t="s">
        <v>3071</v>
      </c>
      <c r="D74" s="2892" t="s">
        <v>3468</v>
      </c>
      <c r="E74" s="2892" t="s">
        <v>2817</v>
      </c>
      <c r="F74" s="2892" t="s">
        <v>3479</v>
      </c>
      <c r="G74" s="2892" t="s">
        <v>3057</v>
      </c>
      <c r="H74" s="2892" t="s">
        <v>3480</v>
      </c>
      <c r="I74" s="2892" t="s">
        <v>3076</v>
      </c>
      <c r="J74" s="2892">
        <v>41297.17</v>
      </c>
      <c r="K74" s="2892">
        <v>103242.9</v>
      </c>
      <c r="L74" s="2892" t="s">
        <v>3100</v>
      </c>
      <c r="M74" s="2892" t="s">
        <v>2817</v>
      </c>
      <c r="N74" s="2892" t="s">
        <v>3078</v>
      </c>
      <c r="O74" s="2892" t="s">
        <v>2817</v>
      </c>
      <c r="P74" s="2892" t="s">
        <v>2817</v>
      </c>
      <c r="Q74" s="2892" t="s">
        <v>2817</v>
      </c>
      <c r="R74" s="2892" t="s">
        <v>2817</v>
      </c>
      <c r="S74" s="2892" t="s">
        <v>2817</v>
      </c>
      <c r="T74" s="2892" t="s">
        <v>3092</v>
      </c>
      <c r="U74" s="2892" t="s">
        <v>2817</v>
      </c>
      <c r="V74" s="2892" t="s">
        <v>2817</v>
      </c>
      <c r="W74" s="2892" t="s">
        <v>3058</v>
      </c>
      <c r="X74" s="2892" t="s">
        <v>3150</v>
      </c>
      <c r="Y74" s="2892" t="s">
        <v>3151</v>
      </c>
      <c r="Z74" s="2892" t="s">
        <v>3152</v>
      </c>
      <c r="AA74" s="2892" t="s">
        <v>3152</v>
      </c>
      <c r="AB74" s="2892" t="s">
        <v>3153</v>
      </c>
      <c r="AC74" s="2892" t="s">
        <v>3059</v>
      </c>
      <c r="AD74" s="2892" t="s">
        <v>3481</v>
      </c>
      <c r="AE74" s="2892">
        <v>20729</v>
      </c>
      <c r="AF74" s="2892">
        <v>41458</v>
      </c>
      <c r="AG74" s="2892">
        <v>41458</v>
      </c>
      <c r="AH74" s="2892">
        <v>669.26</v>
      </c>
      <c r="AI74" s="2892">
        <v>669.26</v>
      </c>
      <c r="AJ74" s="2892">
        <v>4015.57</v>
      </c>
      <c r="AK74" s="2892">
        <v>4015.57</v>
      </c>
      <c r="AL74" s="2892" t="s">
        <v>2817</v>
      </c>
      <c r="AM74" s="2892" t="s">
        <v>2817</v>
      </c>
      <c r="AN74" s="2892">
        <v>0</v>
      </c>
      <c r="AO74" s="2892" t="s">
        <v>3155</v>
      </c>
      <c r="AP74" s="2892" t="s">
        <v>2817</v>
      </c>
      <c r="AQ74" s="2892" t="s">
        <v>2817</v>
      </c>
      <c r="AR74" s="2892" t="s">
        <v>2817</v>
      </c>
      <c r="AS74" s="2892" t="s">
        <v>3146</v>
      </c>
    </row>
    <row r="75" spans="1:45" s="2892" customFormat="1">
      <c r="A75" s="2892" t="s">
        <v>3147</v>
      </c>
      <c r="B75" s="2892" t="s">
        <v>3055</v>
      </c>
      <c r="C75" s="2892" t="s">
        <v>3071</v>
      </c>
      <c r="D75" s="2892" t="s">
        <v>3074</v>
      </c>
      <c r="E75" s="2892" t="s">
        <v>2817</v>
      </c>
      <c r="F75" s="2892" t="s">
        <v>3147</v>
      </c>
      <c r="G75" s="2892" t="s">
        <v>3057</v>
      </c>
      <c r="H75" s="2892" t="s">
        <v>3148</v>
      </c>
      <c r="I75" s="2892" t="s">
        <v>3076</v>
      </c>
      <c r="J75" s="2892">
        <v>29968.44</v>
      </c>
      <c r="K75" s="2892">
        <v>50946.35</v>
      </c>
      <c r="L75" s="2892" t="s">
        <v>3149</v>
      </c>
      <c r="M75" s="2892" t="s">
        <v>2817</v>
      </c>
      <c r="N75" s="2892" t="s">
        <v>3078</v>
      </c>
      <c r="O75" s="2892" t="s">
        <v>2817</v>
      </c>
      <c r="P75" s="2892" t="s">
        <v>2817</v>
      </c>
      <c r="Q75" s="2892" t="s">
        <v>2817</v>
      </c>
      <c r="R75" s="2892" t="s">
        <v>2817</v>
      </c>
      <c r="S75" s="2892" t="s">
        <v>2817</v>
      </c>
      <c r="T75" s="2892" t="s">
        <v>3092</v>
      </c>
      <c r="U75" s="2892" t="s">
        <v>2817</v>
      </c>
      <c r="V75" s="2892" t="s">
        <v>2817</v>
      </c>
      <c r="W75" s="2892" t="s">
        <v>3058</v>
      </c>
      <c r="X75" s="2892" t="s">
        <v>3150</v>
      </c>
      <c r="Y75" s="2892" t="s">
        <v>3151</v>
      </c>
      <c r="Z75" s="2892" t="s">
        <v>3152</v>
      </c>
      <c r="AA75" s="2892" t="s">
        <v>3152</v>
      </c>
      <c r="AB75" s="2892" t="s">
        <v>3153</v>
      </c>
      <c r="AC75" s="2892" t="s">
        <v>3059</v>
      </c>
      <c r="AD75" s="2892" t="s">
        <v>3154</v>
      </c>
      <c r="AE75" s="2892">
        <v>12260</v>
      </c>
      <c r="AF75" s="2892">
        <v>24504</v>
      </c>
      <c r="AG75" s="2892">
        <v>24504</v>
      </c>
      <c r="AH75" s="2892">
        <v>545.11</v>
      </c>
      <c r="AI75" s="2892">
        <v>545.11</v>
      </c>
      <c r="AJ75" s="2892">
        <v>4809.76</v>
      </c>
      <c r="AK75" s="2892">
        <v>4809.7700000000004</v>
      </c>
      <c r="AL75" s="2892" t="s">
        <v>2817</v>
      </c>
      <c r="AM75" s="2892" t="s">
        <v>2817</v>
      </c>
      <c r="AN75" s="2892">
        <v>0</v>
      </c>
      <c r="AO75" s="2892" t="s">
        <v>3155</v>
      </c>
      <c r="AP75" s="2892" t="s">
        <v>2817</v>
      </c>
      <c r="AQ75" s="2892" t="s">
        <v>2817</v>
      </c>
      <c r="AR75" s="2892" t="s">
        <v>2817</v>
      </c>
      <c r="AS75" s="2892" t="s">
        <v>3146</v>
      </c>
    </row>
    <row r="76" spans="1:45" s="2892" customFormat="1">
      <c r="A76" s="2892" t="s">
        <v>3156</v>
      </c>
      <c r="B76" s="2892" t="s">
        <v>3055</v>
      </c>
      <c r="C76" s="2892" t="s">
        <v>3071</v>
      </c>
      <c r="D76" s="2892" t="s">
        <v>3074</v>
      </c>
      <c r="E76" s="2892" t="s">
        <v>2817</v>
      </c>
      <c r="F76" s="2892" t="s">
        <v>3156</v>
      </c>
      <c r="G76" s="2892" t="s">
        <v>3057</v>
      </c>
      <c r="H76" s="2892" t="s">
        <v>3157</v>
      </c>
      <c r="I76" s="2892" t="s">
        <v>3076</v>
      </c>
      <c r="J76" s="2892">
        <v>88590.39</v>
      </c>
      <c r="K76" s="2892">
        <v>177180.79999999999</v>
      </c>
      <c r="L76" s="2892" t="s">
        <v>3158</v>
      </c>
      <c r="M76" s="2892" t="s">
        <v>2817</v>
      </c>
      <c r="N76" s="2892" t="s">
        <v>3078</v>
      </c>
      <c r="O76" s="2892" t="s">
        <v>2817</v>
      </c>
      <c r="P76" s="2892" t="s">
        <v>2817</v>
      </c>
      <c r="Q76" s="2892" t="s">
        <v>2817</v>
      </c>
      <c r="R76" s="2892" t="s">
        <v>2817</v>
      </c>
      <c r="S76" s="2892" t="s">
        <v>2817</v>
      </c>
      <c r="T76" s="2892" t="s">
        <v>2817</v>
      </c>
      <c r="U76" s="2892" t="s">
        <v>2817</v>
      </c>
      <c r="V76" s="2892" t="s">
        <v>2817</v>
      </c>
      <c r="W76" s="2892" t="s">
        <v>3058</v>
      </c>
      <c r="X76" s="2892" t="s">
        <v>3159</v>
      </c>
      <c r="Y76" s="2892" t="s">
        <v>3160</v>
      </c>
      <c r="Z76" s="2892" t="s">
        <v>3161</v>
      </c>
      <c r="AA76" s="2892" t="s">
        <v>3161</v>
      </c>
      <c r="AB76" s="2892" t="s">
        <v>3162</v>
      </c>
      <c r="AC76" s="2892" t="s">
        <v>3059</v>
      </c>
      <c r="AD76" s="2892" t="s">
        <v>3163</v>
      </c>
      <c r="AE76" s="2892">
        <v>83716</v>
      </c>
      <c r="AF76" s="2892">
        <v>83716</v>
      </c>
      <c r="AG76" s="2892">
        <v>83716</v>
      </c>
      <c r="AH76" s="2892">
        <v>629.99</v>
      </c>
      <c r="AI76" s="2892">
        <v>629.99</v>
      </c>
      <c r="AJ76" s="2892">
        <v>4724.8900000000003</v>
      </c>
      <c r="AK76" s="2892">
        <v>4724.8900000000003</v>
      </c>
      <c r="AL76" s="2892" t="s">
        <v>2817</v>
      </c>
      <c r="AM76" s="2892" t="s">
        <v>2817</v>
      </c>
      <c r="AN76" s="2892">
        <v>0</v>
      </c>
      <c r="AO76" s="2892" t="s">
        <v>3155</v>
      </c>
      <c r="AP76" s="2892" t="s">
        <v>2817</v>
      </c>
      <c r="AQ76" s="2892" t="s">
        <v>2817</v>
      </c>
      <c r="AR76" s="2892" t="s">
        <v>2817</v>
      </c>
      <c r="AS76" s="2892" t="s">
        <v>3086</v>
      </c>
    </row>
    <row r="77" spans="1:45" s="2892" customFormat="1">
      <c r="A77" s="2892" t="s">
        <v>3482</v>
      </c>
      <c r="B77" s="2892" t="s">
        <v>3055</v>
      </c>
      <c r="C77" s="2892" t="s">
        <v>3071</v>
      </c>
      <c r="D77" s="2892" t="s">
        <v>3468</v>
      </c>
      <c r="E77" s="2892" t="s">
        <v>2817</v>
      </c>
      <c r="F77" s="2892" t="s">
        <v>3482</v>
      </c>
      <c r="G77" s="2892" t="s">
        <v>3057</v>
      </c>
      <c r="H77" s="2892" t="s">
        <v>3483</v>
      </c>
      <c r="I77" s="2892" t="s">
        <v>3076</v>
      </c>
      <c r="J77" s="2892">
        <v>50174.36</v>
      </c>
      <c r="K77" s="2892">
        <v>150523.1</v>
      </c>
      <c r="L77" s="2892" t="s">
        <v>3484</v>
      </c>
      <c r="M77" s="2892" t="s">
        <v>2817</v>
      </c>
      <c r="N77" s="2892" t="s">
        <v>3309</v>
      </c>
      <c r="O77" s="2892" t="s">
        <v>2817</v>
      </c>
      <c r="P77" s="2892" t="s">
        <v>2817</v>
      </c>
      <c r="Q77" s="2892" t="s">
        <v>2817</v>
      </c>
      <c r="R77" s="2892" t="s">
        <v>2817</v>
      </c>
      <c r="S77" s="2892" t="s">
        <v>2817</v>
      </c>
      <c r="T77" s="2892" t="s">
        <v>3092</v>
      </c>
      <c r="U77" s="2892" t="s">
        <v>2817</v>
      </c>
      <c r="V77" s="2892" t="s">
        <v>2817</v>
      </c>
      <c r="W77" s="2892" t="s">
        <v>3058</v>
      </c>
      <c r="X77" s="2892" t="s">
        <v>3485</v>
      </c>
      <c r="Y77" s="2892" t="s">
        <v>3486</v>
      </c>
      <c r="Z77" s="2892" t="s">
        <v>3487</v>
      </c>
      <c r="AA77" s="2892" t="s">
        <v>3487</v>
      </c>
      <c r="AB77" s="2892" t="s">
        <v>3488</v>
      </c>
      <c r="AC77" s="2892" t="s">
        <v>3059</v>
      </c>
      <c r="AD77" s="2892" t="s">
        <v>3489</v>
      </c>
      <c r="AE77" s="2892">
        <v>26002</v>
      </c>
      <c r="AF77" s="2892">
        <v>52003</v>
      </c>
      <c r="AG77" s="2892">
        <v>52003</v>
      </c>
      <c r="AH77" s="2892">
        <v>690.96</v>
      </c>
      <c r="AI77" s="2892">
        <v>690.96</v>
      </c>
      <c r="AJ77" s="2892">
        <v>3454.81</v>
      </c>
      <c r="AK77" s="2892">
        <v>3454.82</v>
      </c>
      <c r="AL77" s="2892" t="s">
        <v>2817</v>
      </c>
      <c r="AM77" s="2892" t="s">
        <v>2817</v>
      </c>
      <c r="AN77" s="2892">
        <v>0</v>
      </c>
      <c r="AO77" s="2892" t="s">
        <v>3155</v>
      </c>
      <c r="AP77" s="2892" t="s">
        <v>2817</v>
      </c>
      <c r="AQ77" s="2892" t="s">
        <v>2817</v>
      </c>
      <c r="AR77" s="2892" t="s">
        <v>2817</v>
      </c>
      <c r="AS77" s="2892" t="s">
        <v>3117</v>
      </c>
    </row>
    <row r="78" spans="1:45" s="2892" customFormat="1">
      <c r="A78" s="2892" t="s">
        <v>3164</v>
      </c>
      <c r="B78" s="2892" t="s">
        <v>3055</v>
      </c>
      <c r="C78" s="2892" t="s">
        <v>3056</v>
      </c>
      <c r="D78" s="2892" t="s">
        <v>3074</v>
      </c>
      <c r="E78" s="2892" t="s">
        <v>2817</v>
      </c>
      <c r="F78" s="2892" t="s">
        <v>3164</v>
      </c>
      <c r="G78" s="2892" t="s">
        <v>3057</v>
      </c>
      <c r="H78" s="2892" t="s">
        <v>3165</v>
      </c>
      <c r="I78" s="2892" t="s">
        <v>3166</v>
      </c>
      <c r="J78" s="2892">
        <v>22801.21</v>
      </c>
      <c r="K78" s="2892">
        <v>79804.240000000005</v>
      </c>
      <c r="L78" s="2892" t="s">
        <v>3167</v>
      </c>
      <c r="M78" s="2892" t="s">
        <v>2817</v>
      </c>
      <c r="N78" s="2892" t="s">
        <v>3168</v>
      </c>
      <c r="O78" s="2892" t="s">
        <v>3120</v>
      </c>
      <c r="P78" s="2892" t="s">
        <v>2817</v>
      </c>
      <c r="Q78" s="2892" t="s">
        <v>2817</v>
      </c>
      <c r="R78" s="2892" t="s">
        <v>2817</v>
      </c>
      <c r="S78" s="2892" t="s">
        <v>2817</v>
      </c>
      <c r="T78" s="2892" t="s">
        <v>2817</v>
      </c>
      <c r="U78" s="2892" t="s">
        <v>2817</v>
      </c>
      <c r="V78" s="2892" t="s">
        <v>2817</v>
      </c>
      <c r="W78" s="2892" t="s">
        <v>3058</v>
      </c>
      <c r="X78" s="2892" t="s">
        <v>3169</v>
      </c>
      <c r="Y78" s="2892" t="s">
        <v>3170</v>
      </c>
      <c r="Z78" s="2892" t="s">
        <v>3171</v>
      </c>
      <c r="AA78" s="2892" t="s">
        <v>3171</v>
      </c>
      <c r="AB78" s="2892" t="s">
        <v>3172</v>
      </c>
      <c r="AC78" s="2892" t="s">
        <v>3059</v>
      </c>
      <c r="AD78" s="2892" t="s">
        <v>3173</v>
      </c>
      <c r="AE78" s="2892">
        <v>13900</v>
      </c>
      <c r="AF78" s="2892">
        <v>27795</v>
      </c>
      <c r="AG78" s="2892">
        <v>27795</v>
      </c>
      <c r="AH78" s="2892">
        <v>812.68</v>
      </c>
      <c r="AI78" s="2892">
        <v>812.68</v>
      </c>
      <c r="AJ78" s="2892">
        <v>3482.89</v>
      </c>
      <c r="AK78" s="2892">
        <v>3482.9</v>
      </c>
      <c r="AL78" s="2892" t="s">
        <v>2817</v>
      </c>
      <c r="AM78" s="2892" t="s">
        <v>2817</v>
      </c>
      <c r="AN78" s="2892">
        <v>0</v>
      </c>
      <c r="AO78" s="2892" t="s">
        <v>3060</v>
      </c>
      <c r="AP78" s="2892" t="s">
        <v>2817</v>
      </c>
      <c r="AQ78" s="2892" t="s">
        <v>2817</v>
      </c>
      <c r="AR78" s="2892" t="s">
        <v>2817</v>
      </c>
      <c r="AS78" s="2892" t="s">
        <v>3117</v>
      </c>
    </row>
    <row r="79" spans="1:45" s="2892" customFormat="1">
      <c r="A79" s="2892" t="s">
        <v>3174</v>
      </c>
      <c r="B79" s="2892" t="s">
        <v>3055</v>
      </c>
      <c r="C79" s="2892" t="s">
        <v>3056</v>
      </c>
      <c r="D79" s="2892" t="s">
        <v>3074</v>
      </c>
      <c r="E79" s="2892" t="s">
        <v>2817</v>
      </c>
      <c r="F79" s="2892" t="s">
        <v>3174</v>
      </c>
      <c r="G79" s="2892" t="s">
        <v>3057</v>
      </c>
      <c r="H79" s="2892" t="s">
        <v>3175</v>
      </c>
      <c r="I79" s="2892" t="s">
        <v>3166</v>
      </c>
      <c r="J79" s="2892">
        <v>5033.66</v>
      </c>
      <c r="K79" s="2892">
        <v>17617.810000000001</v>
      </c>
      <c r="L79" s="2892" t="s">
        <v>3167</v>
      </c>
      <c r="M79" s="2892" t="s">
        <v>2817</v>
      </c>
      <c r="N79" s="2892" t="s">
        <v>3168</v>
      </c>
      <c r="O79" s="2892" t="s">
        <v>3120</v>
      </c>
      <c r="P79" s="2892" t="s">
        <v>2817</v>
      </c>
      <c r="Q79" s="2892" t="s">
        <v>2817</v>
      </c>
      <c r="R79" s="2892" t="s">
        <v>2817</v>
      </c>
      <c r="S79" s="2892" t="s">
        <v>2817</v>
      </c>
      <c r="T79" s="2892" t="s">
        <v>2817</v>
      </c>
      <c r="U79" s="2892" t="s">
        <v>2817</v>
      </c>
      <c r="V79" s="2892" t="s">
        <v>2817</v>
      </c>
      <c r="W79" s="2892" t="s">
        <v>3058</v>
      </c>
      <c r="X79" s="2892" t="s">
        <v>3169</v>
      </c>
      <c r="Y79" s="2892" t="s">
        <v>3170</v>
      </c>
      <c r="Z79" s="2892" t="s">
        <v>3171</v>
      </c>
      <c r="AA79" s="2892" t="s">
        <v>3171</v>
      </c>
      <c r="AB79" s="2892" t="s">
        <v>3176</v>
      </c>
      <c r="AC79" s="2892" t="s">
        <v>3059</v>
      </c>
      <c r="AD79" s="2892" t="s">
        <v>3173</v>
      </c>
      <c r="AE79" s="2892">
        <v>3070</v>
      </c>
      <c r="AF79" s="2892">
        <v>6133</v>
      </c>
      <c r="AG79" s="2892">
        <v>6133</v>
      </c>
      <c r="AH79" s="2892">
        <v>812.27</v>
      </c>
      <c r="AI79" s="2892">
        <v>812.27</v>
      </c>
      <c r="AJ79" s="2892">
        <v>3481.13</v>
      </c>
      <c r="AK79" s="2892">
        <v>3481.13</v>
      </c>
      <c r="AL79" s="2892" t="s">
        <v>2817</v>
      </c>
      <c r="AM79" s="2892" t="s">
        <v>2817</v>
      </c>
      <c r="AN79" s="2892">
        <v>0</v>
      </c>
      <c r="AO79" s="2892" t="s">
        <v>3060</v>
      </c>
      <c r="AP79" s="2892" t="s">
        <v>2817</v>
      </c>
      <c r="AQ79" s="2892" t="s">
        <v>2817</v>
      </c>
      <c r="AR79" s="2892" t="s">
        <v>2817</v>
      </c>
      <c r="AS79" s="2892" t="s">
        <v>3117</v>
      </c>
    </row>
    <row r="80" spans="1:45" s="2892" customFormat="1">
      <c r="A80" s="2892" t="s">
        <v>3177</v>
      </c>
      <c r="B80" s="2892" t="s">
        <v>3055</v>
      </c>
      <c r="C80" s="2892" t="s">
        <v>3071</v>
      </c>
      <c r="D80" s="2892" t="s">
        <v>3074</v>
      </c>
      <c r="E80" s="2892" t="s">
        <v>2817</v>
      </c>
      <c r="F80" s="2892" t="s">
        <v>3177</v>
      </c>
      <c r="G80" s="2892" t="s">
        <v>3057</v>
      </c>
      <c r="H80" s="2892" t="s">
        <v>3178</v>
      </c>
      <c r="I80" s="2892" t="s">
        <v>3076</v>
      </c>
      <c r="J80" s="2892">
        <v>48749.36</v>
      </c>
      <c r="K80" s="2892">
        <v>97498.72</v>
      </c>
      <c r="L80" s="2892" t="s">
        <v>3179</v>
      </c>
      <c r="M80" s="2892" t="s">
        <v>2817</v>
      </c>
      <c r="N80" s="2892" t="s">
        <v>3078</v>
      </c>
      <c r="O80" s="2892" t="s">
        <v>3180</v>
      </c>
      <c r="P80" s="2892" t="s">
        <v>2817</v>
      </c>
      <c r="Q80" s="2892" t="s">
        <v>2817</v>
      </c>
      <c r="R80" s="2892" t="s">
        <v>2817</v>
      </c>
      <c r="S80" s="2892" t="s">
        <v>2817</v>
      </c>
      <c r="T80" s="2892" t="s">
        <v>2817</v>
      </c>
      <c r="U80" s="2892" t="s">
        <v>2817</v>
      </c>
      <c r="V80" s="2892" t="s">
        <v>2817</v>
      </c>
      <c r="W80" s="2892" t="s">
        <v>3058</v>
      </c>
      <c r="X80" s="2892" t="s">
        <v>3181</v>
      </c>
      <c r="Y80" s="2892" t="s">
        <v>3182</v>
      </c>
      <c r="Z80" s="2892" t="s">
        <v>3183</v>
      </c>
      <c r="AA80" s="2892" t="s">
        <v>3183</v>
      </c>
      <c r="AB80" s="2892" t="s">
        <v>3184</v>
      </c>
      <c r="AC80" s="2892" t="s">
        <v>3059</v>
      </c>
      <c r="AD80" s="2892" t="s">
        <v>3185</v>
      </c>
      <c r="AE80" s="2892">
        <v>20932</v>
      </c>
      <c r="AF80" s="2892">
        <v>41863</v>
      </c>
      <c r="AG80" s="2892">
        <v>41863</v>
      </c>
      <c r="AH80" s="2892">
        <v>572.49</v>
      </c>
      <c r="AI80" s="2892">
        <v>572.49</v>
      </c>
      <c r="AJ80" s="2892">
        <v>4293.6899999999996</v>
      </c>
      <c r="AK80" s="2892">
        <v>4293.6899999999996</v>
      </c>
      <c r="AL80" s="2892" t="s">
        <v>2817</v>
      </c>
      <c r="AM80" s="2892" t="s">
        <v>2817</v>
      </c>
      <c r="AN80" s="2892">
        <v>0</v>
      </c>
      <c r="AO80" s="2892" t="s">
        <v>3085</v>
      </c>
      <c r="AP80" s="2892" t="s">
        <v>2817</v>
      </c>
      <c r="AQ80" s="2892" t="s">
        <v>2817</v>
      </c>
      <c r="AR80" s="2892" t="s">
        <v>2817</v>
      </c>
      <c r="AS80" s="2892" t="s">
        <v>3117</v>
      </c>
    </row>
    <row r="81" spans="1:45" s="2892" customFormat="1">
      <c r="A81" s="2892" t="s">
        <v>3490</v>
      </c>
      <c r="B81" s="2892" t="s">
        <v>3055</v>
      </c>
      <c r="C81" s="2892" t="s">
        <v>3056</v>
      </c>
      <c r="D81" s="2892" t="s">
        <v>3468</v>
      </c>
      <c r="E81" s="2892" t="s">
        <v>2817</v>
      </c>
      <c r="F81" s="2892" t="s">
        <v>3490</v>
      </c>
      <c r="G81" s="2892" t="s">
        <v>3057</v>
      </c>
      <c r="H81" s="2892" t="s">
        <v>3491</v>
      </c>
      <c r="I81" s="2892" t="s">
        <v>3166</v>
      </c>
      <c r="J81" s="2892">
        <v>48210.400000000001</v>
      </c>
      <c r="K81" s="2892">
        <v>168736.4</v>
      </c>
      <c r="L81" s="2892" t="s">
        <v>3167</v>
      </c>
      <c r="M81" s="2892" t="s">
        <v>2817</v>
      </c>
      <c r="N81" s="2892" t="s">
        <v>3078</v>
      </c>
      <c r="O81" s="2892" t="s">
        <v>3416</v>
      </c>
      <c r="P81" s="2892" t="s">
        <v>2817</v>
      </c>
      <c r="Q81" s="2892" t="s">
        <v>2817</v>
      </c>
      <c r="R81" s="2892" t="s">
        <v>2817</v>
      </c>
      <c r="S81" s="2892" t="s">
        <v>2817</v>
      </c>
      <c r="T81" s="2892" t="s">
        <v>2817</v>
      </c>
      <c r="U81" s="2892" t="s">
        <v>2817</v>
      </c>
      <c r="V81" s="2892" t="s">
        <v>2817</v>
      </c>
      <c r="W81" s="2892" t="s">
        <v>3058</v>
      </c>
      <c r="X81" s="2892" t="s">
        <v>3181</v>
      </c>
      <c r="Y81" s="2892" t="s">
        <v>3182</v>
      </c>
      <c r="Z81" s="2892" t="s">
        <v>3183</v>
      </c>
      <c r="AA81" s="2892" t="s">
        <v>3183</v>
      </c>
      <c r="AB81" s="2892" t="s">
        <v>3184</v>
      </c>
      <c r="AC81" s="2892" t="s">
        <v>3059</v>
      </c>
      <c r="AD81" s="2892" t="s">
        <v>3492</v>
      </c>
      <c r="AE81" s="2892">
        <v>25490</v>
      </c>
      <c r="AF81" s="2892">
        <v>50967</v>
      </c>
      <c r="AG81" s="2892">
        <v>50967</v>
      </c>
      <c r="AH81" s="2892">
        <v>704.79</v>
      </c>
      <c r="AI81" s="2892">
        <v>704.79</v>
      </c>
      <c r="AJ81" s="2892">
        <v>3020.51</v>
      </c>
      <c r="AK81" s="2892">
        <v>3020.51</v>
      </c>
      <c r="AL81" s="2892" t="s">
        <v>2817</v>
      </c>
      <c r="AM81" s="2892" t="s">
        <v>2817</v>
      </c>
      <c r="AN81" s="2892">
        <v>0</v>
      </c>
      <c r="AO81" s="2892">
        <v>70</v>
      </c>
      <c r="AP81" s="2892" t="s">
        <v>2817</v>
      </c>
      <c r="AQ81" s="2892" t="s">
        <v>2817</v>
      </c>
      <c r="AR81" s="2892" t="s">
        <v>2817</v>
      </c>
      <c r="AS81" s="2892" t="s">
        <v>3493</v>
      </c>
    </row>
    <row r="82" spans="1:45" s="2892" customFormat="1">
      <c r="A82" s="2892" t="s">
        <v>3494</v>
      </c>
      <c r="B82" s="2892" t="s">
        <v>3055</v>
      </c>
      <c r="C82" s="2892" t="s">
        <v>3071</v>
      </c>
      <c r="D82" s="2892" t="s">
        <v>3468</v>
      </c>
      <c r="E82" s="2892" t="s">
        <v>2817</v>
      </c>
      <c r="F82" s="2892" t="s">
        <v>3494</v>
      </c>
      <c r="G82" s="2892" t="s">
        <v>3057</v>
      </c>
      <c r="H82" s="2892" t="s">
        <v>3495</v>
      </c>
      <c r="I82" s="2892" t="s">
        <v>3076</v>
      </c>
      <c r="J82" s="2892">
        <v>38584.36</v>
      </c>
      <c r="K82" s="2892">
        <v>61734.98</v>
      </c>
      <c r="L82" s="2892" t="s">
        <v>3496</v>
      </c>
      <c r="M82" s="2892" t="s">
        <v>2817</v>
      </c>
      <c r="N82" s="2892" t="s">
        <v>3078</v>
      </c>
      <c r="O82" s="2892" t="s">
        <v>3497</v>
      </c>
      <c r="P82" s="2892" t="s">
        <v>2817</v>
      </c>
      <c r="Q82" s="2892" t="s">
        <v>2817</v>
      </c>
      <c r="R82" s="2892" t="s">
        <v>2817</v>
      </c>
      <c r="S82" s="2892" t="s">
        <v>2817</v>
      </c>
      <c r="T82" s="2892" t="s">
        <v>3092</v>
      </c>
      <c r="U82" s="2892" t="s">
        <v>2817</v>
      </c>
      <c r="V82" s="2892" t="s">
        <v>2817</v>
      </c>
      <c r="W82" s="2892" t="s">
        <v>3058</v>
      </c>
      <c r="X82" s="2892" t="s">
        <v>3498</v>
      </c>
      <c r="Y82" s="2892" t="s">
        <v>3499</v>
      </c>
      <c r="Z82" s="2892" t="s">
        <v>3500</v>
      </c>
      <c r="AA82" s="2892" t="s">
        <v>3500</v>
      </c>
      <c r="AB82" s="2892" t="s">
        <v>3501</v>
      </c>
      <c r="AC82" s="2892" t="s">
        <v>3059</v>
      </c>
      <c r="AD82" s="2892" t="s">
        <v>3502</v>
      </c>
      <c r="AE82" s="2892">
        <v>16562</v>
      </c>
      <c r="AF82" s="2892">
        <v>33124</v>
      </c>
      <c r="AG82" s="2892">
        <v>33124</v>
      </c>
      <c r="AH82" s="2892">
        <v>572.32000000000005</v>
      </c>
      <c r="AI82" s="2892">
        <v>572.32000000000005</v>
      </c>
      <c r="AJ82" s="2892">
        <v>5365.51</v>
      </c>
      <c r="AK82" s="2892">
        <v>5365.52</v>
      </c>
      <c r="AL82" s="2892" t="s">
        <v>2817</v>
      </c>
      <c r="AM82" s="2892" t="s">
        <v>2817</v>
      </c>
      <c r="AN82" s="2892">
        <v>0</v>
      </c>
      <c r="AO82" s="2892" t="s">
        <v>3085</v>
      </c>
      <c r="AP82" s="2892" t="s">
        <v>2817</v>
      </c>
      <c r="AQ82" s="2892" t="s">
        <v>2817</v>
      </c>
      <c r="AR82" s="2892" t="s">
        <v>2817</v>
      </c>
      <c r="AS82" s="2892" t="s">
        <v>3146</v>
      </c>
    </row>
    <row r="83" spans="1:45" s="2892" customFormat="1">
      <c r="A83" s="2892" t="s">
        <v>3503</v>
      </c>
      <c r="B83" s="2892" t="s">
        <v>3055</v>
      </c>
      <c r="C83" s="2892" t="s">
        <v>3071</v>
      </c>
      <c r="D83" s="2892" t="s">
        <v>3468</v>
      </c>
      <c r="E83" s="2892" t="s">
        <v>2817</v>
      </c>
      <c r="F83" s="2892" t="s">
        <v>3503</v>
      </c>
      <c r="G83" s="2892" t="s">
        <v>3057</v>
      </c>
      <c r="H83" s="2892" t="s">
        <v>3504</v>
      </c>
      <c r="I83" s="2892" t="s">
        <v>3505</v>
      </c>
      <c r="J83" s="2892">
        <v>20369.79</v>
      </c>
      <c r="K83" s="2892">
        <v>28517.71</v>
      </c>
      <c r="L83" s="2892" t="s">
        <v>3506</v>
      </c>
      <c r="M83" s="2892" t="s">
        <v>2817</v>
      </c>
      <c r="N83" s="2892" t="s">
        <v>3219</v>
      </c>
      <c r="O83" s="2892" t="s">
        <v>2817</v>
      </c>
      <c r="P83" s="2892" t="s">
        <v>2817</v>
      </c>
      <c r="Q83" s="2892" t="s">
        <v>2817</v>
      </c>
      <c r="R83" s="2892" t="s">
        <v>2817</v>
      </c>
      <c r="S83" s="2892" t="s">
        <v>2817</v>
      </c>
      <c r="T83" s="2892" t="s">
        <v>3092</v>
      </c>
      <c r="U83" s="2892" t="s">
        <v>2817</v>
      </c>
      <c r="V83" s="2892" t="s">
        <v>2817</v>
      </c>
      <c r="W83" s="2892" t="s">
        <v>3058</v>
      </c>
      <c r="X83" s="2892" t="s">
        <v>3507</v>
      </c>
      <c r="Y83" s="2892" t="s">
        <v>3508</v>
      </c>
      <c r="Z83" s="2892" t="s">
        <v>3509</v>
      </c>
      <c r="AA83" s="2892" t="s">
        <v>3509</v>
      </c>
      <c r="AB83" s="2892" t="s">
        <v>3510</v>
      </c>
      <c r="AC83" s="2892" t="s">
        <v>3059</v>
      </c>
      <c r="AD83" s="2892" t="s">
        <v>3511</v>
      </c>
      <c r="AE83" s="2892">
        <v>8590</v>
      </c>
      <c r="AF83" s="2892">
        <v>17167</v>
      </c>
      <c r="AG83" s="2892">
        <v>17167</v>
      </c>
      <c r="AH83" s="2892">
        <v>561.85</v>
      </c>
      <c r="AI83" s="2892">
        <v>561.85</v>
      </c>
      <c r="AJ83" s="2892">
        <v>6019.76</v>
      </c>
      <c r="AK83" s="2892">
        <v>6019.77</v>
      </c>
      <c r="AL83" s="2892" t="s">
        <v>2817</v>
      </c>
      <c r="AM83" s="2892" t="s">
        <v>2817</v>
      </c>
      <c r="AN83" s="2892">
        <v>0</v>
      </c>
      <c r="AO83" s="2892" t="s">
        <v>3085</v>
      </c>
      <c r="AP83" s="2892" t="s">
        <v>2817</v>
      </c>
      <c r="AQ83" s="2892" t="s">
        <v>2817</v>
      </c>
      <c r="AR83" s="2892" t="s">
        <v>2817</v>
      </c>
      <c r="AS83" s="2892" t="s">
        <v>3086</v>
      </c>
    </row>
    <row r="84" spans="1:45" s="2892" customFormat="1">
      <c r="A84" s="2892" t="s">
        <v>3512</v>
      </c>
      <c r="B84" s="2892" t="s">
        <v>3055</v>
      </c>
      <c r="C84" s="2892" t="s">
        <v>3071</v>
      </c>
      <c r="D84" s="2892" t="s">
        <v>3468</v>
      </c>
      <c r="E84" s="2892" t="s">
        <v>2817</v>
      </c>
      <c r="F84" s="2892" t="s">
        <v>3512</v>
      </c>
      <c r="G84" s="2892" t="s">
        <v>3057</v>
      </c>
      <c r="H84" s="2892" t="s">
        <v>3513</v>
      </c>
      <c r="I84" s="2892" t="s">
        <v>3505</v>
      </c>
      <c r="J84" s="2892">
        <v>34626.81</v>
      </c>
      <c r="K84" s="2892">
        <v>69253.62</v>
      </c>
      <c r="L84" s="2892" t="s">
        <v>3514</v>
      </c>
      <c r="M84" s="2892" t="s">
        <v>2817</v>
      </c>
      <c r="N84" s="2892" t="s">
        <v>3078</v>
      </c>
      <c r="O84" s="2892" t="s">
        <v>2817</v>
      </c>
      <c r="P84" s="2892" t="s">
        <v>2817</v>
      </c>
      <c r="Q84" s="2892" t="s">
        <v>2817</v>
      </c>
      <c r="R84" s="2892" t="s">
        <v>2817</v>
      </c>
      <c r="S84" s="2892" t="s">
        <v>2817</v>
      </c>
      <c r="T84" s="2892" t="s">
        <v>3092</v>
      </c>
      <c r="U84" s="2892" t="s">
        <v>2817</v>
      </c>
      <c r="V84" s="2892" t="s">
        <v>2817</v>
      </c>
      <c r="W84" s="2892" t="s">
        <v>3058</v>
      </c>
      <c r="X84" s="2892" t="s">
        <v>3507</v>
      </c>
      <c r="Y84" s="2892" t="s">
        <v>3508</v>
      </c>
      <c r="Z84" s="2892" t="s">
        <v>3509</v>
      </c>
      <c r="AA84" s="2892" t="s">
        <v>3509</v>
      </c>
      <c r="AB84" s="2892" t="s">
        <v>3510</v>
      </c>
      <c r="AC84" s="2892" t="s">
        <v>3059</v>
      </c>
      <c r="AD84" s="2892" t="s">
        <v>3511</v>
      </c>
      <c r="AE84" s="2892">
        <v>15820</v>
      </c>
      <c r="AF84" s="2892">
        <v>31623</v>
      </c>
      <c r="AG84" s="2892">
        <v>31623</v>
      </c>
      <c r="AH84" s="2892">
        <v>608.83000000000004</v>
      </c>
      <c r="AI84" s="2892">
        <v>608.83000000000004</v>
      </c>
      <c r="AJ84" s="2892">
        <v>4566.25</v>
      </c>
      <c r="AK84" s="2892">
        <v>4566.26</v>
      </c>
      <c r="AL84" s="2892" t="s">
        <v>2817</v>
      </c>
      <c r="AM84" s="2892" t="s">
        <v>2817</v>
      </c>
      <c r="AN84" s="2892">
        <v>0</v>
      </c>
      <c r="AO84" s="2892" t="s">
        <v>3085</v>
      </c>
      <c r="AP84" s="2892" t="s">
        <v>2817</v>
      </c>
      <c r="AQ84" s="2892" t="s">
        <v>2817</v>
      </c>
      <c r="AR84" s="2892" t="s">
        <v>2817</v>
      </c>
      <c r="AS84" s="2892" t="s">
        <v>3146</v>
      </c>
    </row>
    <row r="85" spans="1:45" s="2892" customFormat="1">
      <c r="A85" s="2892" t="s">
        <v>3515</v>
      </c>
      <c r="B85" s="2892" t="s">
        <v>3055</v>
      </c>
      <c r="C85" s="2892" t="s">
        <v>3071</v>
      </c>
      <c r="D85" s="2892" t="s">
        <v>3468</v>
      </c>
      <c r="E85" s="2892" t="s">
        <v>2817</v>
      </c>
      <c r="F85" s="2892" t="s">
        <v>3515</v>
      </c>
      <c r="G85" s="2892" t="s">
        <v>3057</v>
      </c>
      <c r="H85" s="2892" t="s">
        <v>3516</v>
      </c>
      <c r="I85" s="2892" t="s">
        <v>3517</v>
      </c>
      <c r="J85" s="2892">
        <v>35576.11</v>
      </c>
      <c r="K85" s="2892">
        <v>217014.3</v>
      </c>
      <c r="L85" s="2892" t="s">
        <v>3518</v>
      </c>
      <c r="M85" s="2892" t="s">
        <v>2817</v>
      </c>
      <c r="N85" s="2892" t="s">
        <v>3519</v>
      </c>
      <c r="O85" s="2892" t="s">
        <v>3520</v>
      </c>
      <c r="P85" s="2892" t="s">
        <v>2817</v>
      </c>
      <c r="Q85" s="2892" t="s">
        <v>2817</v>
      </c>
      <c r="R85" s="2892" t="s">
        <v>2817</v>
      </c>
      <c r="S85" s="2892" t="s">
        <v>2817</v>
      </c>
      <c r="T85" s="2892" t="s">
        <v>3092</v>
      </c>
      <c r="U85" s="2892" t="s">
        <v>2817</v>
      </c>
      <c r="V85" s="2892" t="s">
        <v>2817</v>
      </c>
      <c r="W85" s="2892" t="s">
        <v>3058</v>
      </c>
      <c r="X85" s="2892" t="s">
        <v>3521</v>
      </c>
      <c r="Y85" s="2892" t="s">
        <v>3522</v>
      </c>
      <c r="Z85" s="2892" t="s">
        <v>3499</v>
      </c>
      <c r="AA85" s="2892" t="s">
        <v>3499</v>
      </c>
      <c r="AB85" s="2892" t="s">
        <v>3523</v>
      </c>
      <c r="AC85" s="2892" t="s">
        <v>3059</v>
      </c>
      <c r="AD85" s="2892" t="s">
        <v>3524</v>
      </c>
      <c r="AE85" s="2892" t="s">
        <v>2817</v>
      </c>
      <c r="AF85" s="2892">
        <v>57125</v>
      </c>
      <c r="AG85" s="2892">
        <v>57125</v>
      </c>
      <c r="AH85" s="2892">
        <v>1070.47</v>
      </c>
      <c r="AI85" s="2892">
        <v>1070.47</v>
      </c>
      <c r="AJ85" s="2892">
        <v>2632.31</v>
      </c>
      <c r="AK85" s="2892">
        <v>2632.32</v>
      </c>
      <c r="AL85" s="2892" t="s">
        <v>2817</v>
      </c>
      <c r="AM85" s="2892" t="s">
        <v>2817</v>
      </c>
      <c r="AN85" s="2892">
        <v>0</v>
      </c>
      <c r="AO85" s="2892" t="s">
        <v>3525</v>
      </c>
      <c r="AP85" s="2892" t="s">
        <v>2817</v>
      </c>
      <c r="AQ85" s="2892" t="s">
        <v>2817</v>
      </c>
      <c r="AR85" s="2892" t="s">
        <v>2817</v>
      </c>
      <c r="AS85" s="2892" t="s">
        <v>3117</v>
      </c>
    </row>
    <row r="86" spans="1:45" s="2892" customFormat="1">
      <c r="A86" s="2892" t="s">
        <v>3526</v>
      </c>
      <c r="B86" s="2892" t="s">
        <v>3055</v>
      </c>
      <c r="C86" s="2892" t="s">
        <v>3056</v>
      </c>
      <c r="D86" s="2892" t="s">
        <v>3468</v>
      </c>
      <c r="E86" s="2892" t="s">
        <v>2817</v>
      </c>
      <c r="F86" s="2892" t="s">
        <v>3526</v>
      </c>
      <c r="G86" s="2892" t="s">
        <v>3057</v>
      </c>
      <c r="H86" s="2892" t="s">
        <v>3527</v>
      </c>
      <c r="I86" s="2892" t="s">
        <v>3166</v>
      </c>
      <c r="J86" s="2892">
        <v>44948.81</v>
      </c>
      <c r="K86" s="2892">
        <v>112372</v>
      </c>
      <c r="L86" s="2892" t="s">
        <v>3100</v>
      </c>
      <c r="M86" s="2892" t="s">
        <v>2817</v>
      </c>
      <c r="N86" s="2892" t="s">
        <v>3528</v>
      </c>
      <c r="O86" s="2892" t="s">
        <v>3529</v>
      </c>
      <c r="P86" s="2892" t="s">
        <v>2817</v>
      </c>
      <c r="Q86" s="2892" t="s">
        <v>2817</v>
      </c>
      <c r="R86" s="2892" t="s">
        <v>2817</v>
      </c>
      <c r="S86" s="2892" t="s">
        <v>2817</v>
      </c>
      <c r="T86" s="2892" t="s">
        <v>3092</v>
      </c>
      <c r="U86" s="2892" t="s">
        <v>2817</v>
      </c>
      <c r="V86" s="2892" t="s">
        <v>2817</v>
      </c>
      <c r="W86" s="2892" t="s">
        <v>3058</v>
      </c>
      <c r="X86" s="2892" t="s">
        <v>3521</v>
      </c>
      <c r="Y86" s="2892" t="s">
        <v>3522</v>
      </c>
      <c r="Z86" s="2892" t="s">
        <v>3499</v>
      </c>
      <c r="AA86" s="2892" t="s">
        <v>3499</v>
      </c>
      <c r="AB86" s="2892" t="s">
        <v>3523</v>
      </c>
      <c r="AC86" s="2892" t="s">
        <v>3059</v>
      </c>
      <c r="AD86" s="2892" t="s">
        <v>3530</v>
      </c>
      <c r="AE86" s="2892" t="s">
        <v>2817</v>
      </c>
      <c r="AF86" s="2892">
        <v>43651</v>
      </c>
      <c r="AG86" s="2892">
        <v>51651</v>
      </c>
      <c r="AH86" s="2892">
        <v>647.41999999999996</v>
      </c>
      <c r="AI86" s="2892">
        <v>766.07</v>
      </c>
      <c r="AJ86" s="2892">
        <v>3884.5</v>
      </c>
      <c r="AK86" s="2892">
        <v>4596.43</v>
      </c>
      <c r="AL86" s="2892" t="s">
        <v>2817</v>
      </c>
      <c r="AM86" s="2892" t="s">
        <v>2817</v>
      </c>
      <c r="AN86" s="2892">
        <v>18.329999999999998</v>
      </c>
      <c r="AO86" s="2892">
        <v>70</v>
      </c>
      <c r="AP86" s="2892" t="s">
        <v>2817</v>
      </c>
      <c r="AQ86" s="2892" t="s">
        <v>2817</v>
      </c>
      <c r="AR86" s="2892" t="s">
        <v>2817</v>
      </c>
      <c r="AS86" s="2892" t="s">
        <v>3086</v>
      </c>
    </row>
    <row r="87" spans="1:45" s="2892" customFormat="1">
      <c r="A87" s="2892" t="s">
        <v>3531</v>
      </c>
      <c r="B87" s="2892" t="s">
        <v>3055</v>
      </c>
      <c r="C87" s="2892" t="s">
        <v>3071</v>
      </c>
      <c r="D87" s="2892" t="s">
        <v>3468</v>
      </c>
      <c r="E87" s="2892" t="s">
        <v>2817</v>
      </c>
      <c r="F87" s="2892" t="s">
        <v>3531</v>
      </c>
      <c r="G87" s="2892" t="s">
        <v>3057</v>
      </c>
      <c r="H87" s="2892" t="s">
        <v>3532</v>
      </c>
      <c r="I87" s="2892" t="s">
        <v>3076</v>
      </c>
      <c r="J87" s="2892">
        <v>26684.720000000001</v>
      </c>
      <c r="K87" s="2892">
        <v>130755.1</v>
      </c>
      <c r="L87" s="2892" t="s">
        <v>3199</v>
      </c>
      <c r="M87" s="2892" t="s">
        <v>2817</v>
      </c>
      <c r="N87" s="2892" t="s">
        <v>3519</v>
      </c>
      <c r="O87" s="2892" t="s">
        <v>3520</v>
      </c>
      <c r="P87" s="2892" t="s">
        <v>2817</v>
      </c>
      <c r="Q87" s="2892" t="s">
        <v>2817</v>
      </c>
      <c r="R87" s="2892" t="s">
        <v>2817</v>
      </c>
      <c r="S87" s="2892" t="s">
        <v>2817</v>
      </c>
      <c r="T87" s="2892" t="s">
        <v>3092</v>
      </c>
      <c r="U87" s="2892" t="s">
        <v>2817</v>
      </c>
      <c r="V87" s="2892" t="s">
        <v>2817</v>
      </c>
      <c r="W87" s="2892" t="s">
        <v>3058</v>
      </c>
      <c r="X87" s="2892" t="s">
        <v>3521</v>
      </c>
      <c r="Y87" s="2892" t="s">
        <v>3522</v>
      </c>
      <c r="Z87" s="2892" t="s">
        <v>3499</v>
      </c>
      <c r="AA87" s="2892" t="s">
        <v>3499</v>
      </c>
      <c r="AB87" s="2892" t="s">
        <v>3523</v>
      </c>
      <c r="AC87" s="2892" t="s">
        <v>3059</v>
      </c>
      <c r="AD87" s="2892" t="s">
        <v>3524</v>
      </c>
      <c r="AE87" s="2892" t="s">
        <v>2817</v>
      </c>
      <c r="AF87" s="2892">
        <v>38268</v>
      </c>
      <c r="AG87" s="2892">
        <v>38268</v>
      </c>
      <c r="AH87" s="2892">
        <v>956.05</v>
      </c>
      <c r="AI87" s="2892">
        <v>956.05</v>
      </c>
      <c r="AJ87" s="2892">
        <v>2926.69</v>
      </c>
      <c r="AK87" s="2892">
        <v>2926.69</v>
      </c>
      <c r="AL87" s="2892" t="s">
        <v>2817</v>
      </c>
      <c r="AM87" s="2892" t="s">
        <v>2817</v>
      </c>
      <c r="AN87" s="2892">
        <v>0</v>
      </c>
      <c r="AO87" s="2892" t="s">
        <v>3525</v>
      </c>
      <c r="AP87" s="2892" t="s">
        <v>2817</v>
      </c>
      <c r="AQ87" s="2892" t="s">
        <v>2817</v>
      </c>
      <c r="AR87" s="2892" t="s">
        <v>2817</v>
      </c>
      <c r="AS87" s="2892" t="s">
        <v>3117</v>
      </c>
    </row>
    <row r="88" spans="1:45" s="2892" customFormat="1">
      <c r="A88" s="2892" t="s">
        <v>3186</v>
      </c>
      <c r="B88" s="2892" t="s">
        <v>3055</v>
      </c>
      <c r="C88" s="2892" t="s">
        <v>3071</v>
      </c>
      <c r="D88" s="2892" t="s">
        <v>3074</v>
      </c>
      <c r="E88" s="2892" t="s">
        <v>2817</v>
      </c>
      <c r="F88" s="2892" t="s">
        <v>3186</v>
      </c>
      <c r="G88" s="2892" t="s">
        <v>3057</v>
      </c>
      <c r="H88" s="2892" t="s">
        <v>3187</v>
      </c>
      <c r="I88" s="2892" t="s">
        <v>3188</v>
      </c>
      <c r="J88" s="2892">
        <v>65510.54</v>
      </c>
      <c r="K88" s="2892">
        <v>157225.29999999999</v>
      </c>
      <c r="L88" s="2892" t="s">
        <v>3189</v>
      </c>
      <c r="M88" s="2892" t="s">
        <v>2817</v>
      </c>
      <c r="N88" s="2892" t="s">
        <v>3168</v>
      </c>
      <c r="O88" s="2892" t="s">
        <v>3190</v>
      </c>
      <c r="P88" s="2892" t="s">
        <v>2817</v>
      </c>
      <c r="Q88" s="2892" t="s">
        <v>2817</v>
      </c>
      <c r="R88" s="2892" t="s">
        <v>2817</v>
      </c>
      <c r="S88" s="2892" t="s">
        <v>2817</v>
      </c>
      <c r="T88" s="2892" t="s">
        <v>2817</v>
      </c>
      <c r="U88" s="2892" t="s">
        <v>2817</v>
      </c>
      <c r="V88" s="2892" t="s">
        <v>2817</v>
      </c>
      <c r="W88" s="2892" t="s">
        <v>3058</v>
      </c>
      <c r="X88" s="2892" t="s">
        <v>3191</v>
      </c>
      <c r="Y88" s="2892" t="s">
        <v>3192</v>
      </c>
      <c r="Z88" s="2892" t="s">
        <v>3193</v>
      </c>
      <c r="AA88" s="2892" t="s">
        <v>3193</v>
      </c>
      <c r="AB88" s="2892" t="s">
        <v>3194</v>
      </c>
      <c r="AC88" s="2892" t="s">
        <v>3059</v>
      </c>
      <c r="AD88" s="2892" t="s">
        <v>3195</v>
      </c>
      <c r="AE88" s="2892">
        <v>32440</v>
      </c>
      <c r="AF88" s="2892">
        <v>64871</v>
      </c>
      <c r="AG88" s="2892">
        <v>64871</v>
      </c>
      <c r="AH88" s="2892">
        <v>660.16</v>
      </c>
      <c r="AI88" s="2892">
        <v>660.16</v>
      </c>
      <c r="AJ88" s="2892">
        <v>4125.9799999999996</v>
      </c>
      <c r="AK88" s="2892">
        <v>4125.9799999999996</v>
      </c>
      <c r="AL88" s="2892" t="s">
        <v>2817</v>
      </c>
      <c r="AM88" s="2892" t="s">
        <v>2817</v>
      </c>
      <c r="AN88" s="2892">
        <v>0</v>
      </c>
      <c r="AO88" s="2892" t="s">
        <v>3085</v>
      </c>
      <c r="AP88" s="2892" t="s">
        <v>2817</v>
      </c>
      <c r="AQ88" s="2892" t="s">
        <v>2817</v>
      </c>
      <c r="AR88" s="2892" t="s">
        <v>2817</v>
      </c>
      <c r="AS88" s="2892" t="s">
        <v>3196</v>
      </c>
    </row>
    <row r="89" spans="1:45" s="2892" customFormat="1">
      <c r="A89" s="2892" t="s">
        <v>3197</v>
      </c>
      <c r="B89" s="2892" t="s">
        <v>3055</v>
      </c>
      <c r="C89" s="2892" t="s">
        <v>3056</v>
      </c>
      <c r="D89" s="2892" t="s">
        <v>3074</v>
      </c>
      <c r="E89" s="2892" t="s">
        <v>2817</v>
      </c>
      <c r="F89" s="2892" t="s">
        <v>3197</v>
      </c>
      <c r="G89" s="2892" t="s">
        <v>3057</v>
      </c>
      <c r="H89" s="2892" t="s">
        <v>3198</v>
      </c>
      <c r="I89" s="2892" t="s">
        <v>3062</v>
      </c>
      <c r="J89" s="2892">
        <v>64596.08</v>
      </c>
      <c r="K89" s="2892">
        <v>316520.8</v>
      </c>
      <c r="L89" s="2892" t="s">
        <v>3199</v>
      </c>
      <c r="M89" s="2892" t="s">
        <v>2817</v>
      </c>
      <c r="N89" s="2892" t="s">
        <v>3078</v>
      </c>
      <c r="O89" s="2892" t="s">
        <v>3200</v>
      </c>
      <c r="P89" s="2892" t="s">
        <v>2817</v>
      </c>
      <c r="Q89" s="2892" t="s">
        <v>2817</v>
      </c>
      <c r="R89" s="2892" t="s">
        <v>2817</v>
      </c>
      <c r="S89" s="2892" t="s">
        <v>2817</v>
      </c>
      <c r="T89" s="2892" t="s">
        <v>3092</v>
      </c>
      <c r="U89" s="2892" t="s">
        <v>2817</v>
      </c>
      <c r="V89" s="2892" t="s">
        <v>2817</v>
      </c>
      <c r="W89" s="2892" t="s">
        <v>3063</v>
      </c>
      <c r="X89" s="2892" t="s">
        <v>3201</v>
      </c>
      <c r="Y89" s="2892" t="s">
        <v>3202</v>
      </c>
      <c r="Z89" s="2892" t="s">
        <v>3203</v>
      </c>
      <c r="AA89" s="2892" t="s">
        <v>3203</v>
      </c>
      <c r="AB89" s="2892" t="s">
        <v>3204</v>
      </c>
      <c r="AC89" s="2892" t="s">
        <v>3059</v>
      </c>
      <c r="AD89" s="2892" t="s">
        <v>3205</v>
      </c>
      <c r="AE89" s="2892">
        <v>50388</v>
      </c>
      <c r="AF89" s="2892">
        <v>100775</v>
      </c>
      <c r="AG89" s="2892">
        <v>100775</v>
      </c>
      <c r="AH89" s="2892">
        <v>1040.05</v>
      </c>
      <c r="AI89" s="2892">
        <v>1040.05</v>
      </c>
      <c r="AJ89" s="2892">
        <v>3183.83</v>
      </c>
      <c r="AK89" s="2892">
        <v>3183.82</v>
      </c>
      <c r="AL89" s="2892" t="s">
        <v>2817</v>
      </c>
      <c r="AM89" s="2892" t="s">
        <v>2817</v>
      </c>
      <c r="AN89" s="2892">
        <v>0</v>
      </c>
      <c r="AO89" s="2892" t="s">
        <v>3060</v>
      </c>
      <c r="AP89" s="2892" t="s">
        <v>2817</v>
      </c>
      <c r="AQ89" s="2892" t="s">
        <v>2817</v>
      </c>
      <c r="AR89" s="2892" t="s">
        <v>2817</v>
      </c>
      <c r="AS89" s="2892" t="s">
        <v>3117</v>
      </c>
    </row>
    <row r="90" spans="1:45" s="2892" customFormat="1">
      <c r="A90" s="2892" t="s">
        <v>3533</v>
      </c>
      <c r="B90" s="2892" t="s">
        <v>3055</v>
      </c>
      <c r="C90" s="2892" t="s">
        <v>3071</v>
      </c>
      <c r="D90" s="2892" t="s">
        <v>3382</v>
      </c>
      <c r="E90" s="2892" t="s">
        <v>2817</v>
      </c>
      <c r="F90" s="2892" t="s">
        <v>3533</v>
      </c>
      <c r="G90" s="2892" t="s">
        <v>3057</v>
      </c>
      <c r="H90" s="2892" t="s">
        <v>3534</v>
      </c>
      <c r="I90" s="2892" t="s">
        <v>3188</v>
      </c>
      <c r="J90" s="2892">
        <v>27431.93</v>
      </c>
      <c r="K90" s="2892">
        <v>54863.86</v>
      </c>
      <c r="L90" s="2892" t="s">
        <v>3535</v>
      </c>
      <c r="M90" s="2892" t="s">
        <v>2817</v>
      </c>
      <c r="N90" s="2892" t="s">
        <v>3078</v>
      </c>
      <c r="O90" s="2892" t="s">
        <v>2817</v>
      </c>
      <c r="P90" s="2892" t="s">
        <v>2817</v>
      </c>
      <c r="Q90" s="2892" t="s">
        <v>2817</v>
      </c>
      <c r="R90" s="2892" t="s">
        <v>2817</v>
      </c>
      <c r="S90" s="2892" t="s">
        <v>2817</v>
      </c>
      <c r="T90" s="2892" t="s">
        <v>2817</v>
      </c>
      <c r="U90" s="2892" t="s">
        <v>2817</v>
      </c>
      <c r="V90" s="2892" t="s">
        <v>2817</v>
      </c>
      <c r="W90" s="2892" t="s">
        <v>3063</v>
      </c>
      <c r="X90" s="2892" t="s">
        <v>3536</v>
      </c>
      <c r="Y90" s="2892" t="s">
        <v>3537</v>
      </c>
      <c r="Z90" s="2892" t="s">
        <v>3538</v>
      </c>
      <c r="AA90" s="2892" t="s">
        <v>3538</v>
      </c>
      <c r="AB90" s="2892" t="s">
        <v>3539</v>
      </c>
      <c r="AC90" s="2892" t="s">
        <v>3059</v>
      </c>
      <c r="AD90" s="2892" t="s">
        <v>3540</v>
      </c>
      <c r="AE90" s="2892">
        <v>12230</v>
      </c>
      <c r="AF90" s="2892">
        <v>24455</v>
      </c>
      <c r="AG90" s="2892">
        <v>24455</v>
      </c>
      <c r="AH90" s="2892">
        <v>594.32000000000005</v>
      </c>
      <c r="AI90" s="2892">
        <v>594.32000000000005</v>
      </c>
      <c r="AJ90" s="2892">
        <v>4457.3900000000003</v>
      </c>
      <c r="AK90" s="2892">
        <v>4457.3900000000003</v>
      </c>
      <c r="AL90" s="2892" t="s">
        <v>2817</v>
      </c>
      <c r="AM90" s="2892" t="s">
        <v>2817</v>
      </c>
      <c r="AN90" s="2892">
        <v>0</v>
      </c>
      <c r="AO90" s="2892" t="s">
        <v>3085</v>
      </c>
      <c r="AP90" s="2892" t="s">
        <v>2817</v>
      </c>
      <c r="AQ90" s="2892" t="s">
        <v>2817</v>
      </c>
      <c r="AR90" s="2892" t="s">
        <v>2817</v>
      </c>
      <c r="AS90" s="2892" t="s">
        <v>3117</v>
      </c>
    </row>
    <row r="91" spans="1:45" s="2892" customFormat="1">
      <c r="A91" s="2892" t="s">
        <v>3206</v>
      </c>
      <c r="B91" s="2892" t="s">
        <v>3055</v>
      </c>
      <c r="C91" s="2892" t="s">
        <v>3071</v>
      </c>
      <c r="D91" s="2892" t="s">
        <v>3074</v>
      </c>
      <c r="E91" s="2892" t="s">
        <v>2817</v>
      </c>
      <c r="F91" s="2892" t="s">
        <v>3206</v>
      </c>
      <c r="G91" s="2892" t="s">
        <v>3057</v>
      </c>
      <c r="H91" s="2892" t="s">
        <v>3207</v>
      </c>
      <c r="I91" s="2892" t="s">
        <v>3208</v>
      </c>
      <c r="J91" s="2892">
        <v>52879.97</v>
      </c>
      <c r="K91" s="2892">
        <v>222095.9</v>
      </c>
      <c r="L91" s="2892" t="s">
        <v>3209</v>
      </c>
      <c r="M91" s="2892" t="s">
        <v>2817</v>
      </c>
      <c r="N91" s="2892" t="s">
        <v>3078</v>
      </c>
      <c r="O91" s="2892" t="s">
        <v>3200</v>
      </c>
      <c r="P91" s="2892" t="s">
        <v>2817</v>
      </c>
      <c r="Q91" s="2892" t="s">
        <v>2817</v>
      </c>
      <c r="R91" s="2892" t="s">
        <v>2817</v>
      </c>
      <c r="S91" s="2892" t="s">
        <v>2817</v>
      </c>
      <c r="T91" s="2892" t="s">
        <v>2817</v>
      </c>
      <c r="U91" s="2892" t="s">
        <v>2817</v>
      </c>
      <c r="V91" s="2892" t="s">
        <v>2817</v>
      </c>
      <c r="W91" s="2892" t="s">
        <v>3063</v>
      </c>
      <c r="X91" s="2892" t="s">
        <v>3210</v>
      </c>
      <c r="Y91" s="2892" t="s">
        <v>3211</v>
      </c>
      <c r="Z91" s="2892" t="s">
        <v>3212</v>
      </c>
      <c r="AA91" s="2892" t="s">
        <v>3212</v>
      </c>
      <c r="AB91" s="2892" t="s">
        <v>3213</v>
      </c>
      <c r="AC91" s="2892" t="s">
        <v>3059</v>
      </c>
      <c r="AD91" s="2892" t="s">
        <v>3214</v>
      </c>
      <c r="AE91" s="2892">
        <v>37114</v>
      </c>
      <c r="AF91" s="2892">
        <v>74228</v>
      </c>
      <c r="AG91" s="2892">
        <v>74228</v>
      </c>
      <c r="AH91" s="2892">
        <v>935.8</v>
      </c>
      <c r="AI91" s="2892">
        <v>935.8</v>
      </c>
      <c r="AJ91" s="2892">
        <v>3342.15</v>
      </c>
      <c r="AK91" s="2892">
        <v>3342.15</v>
      </c>
      <c r="AL91" s="2892" t="s">
        <v>2817</v>
      </c>
      <c r="AM91" s="2892" t="s">
        <v>2817</v>
      </c>
      <c r="AN91" s="2892">
        <v>0</v>
      </c>
      <c r="AO91" s="2892" t="s">
        <v>3215</v>
      </c>
      <c r="AP91" s="2892" t="s">
        <v>2817</v>
      </c>
      <c r="AQ91" s="2892" t="s">
        <v>2817</v>
      </c>
      <c r="AR91" s="2892" t="s">
        <v>2817</v>
      </c>
      <c r="AS91" s="2892" t="s">
        <v>3117</v>
      </c>
    </row>
    <row r="92" spans="1:45" s="2892" customFormat="1">
      <c r="A92" s="3201" t="s">
        <v>3541</v>
      </c>
      <c r="B92" s="2892" t="s">
        <v>3055</v>
      </c>
      <c r="C92" s="2892" t="s">
        <v>3071</v>
      </c>
      <c r="D92" s="2892" t="s">
        <v>3074</v>
      </c>
      <c r="E92" s="2892" t="s">
        <v>2817</v>
      </c>
      <c r="F92" s="2892" t="s">
        <v>3216</v>
      </c>
      <c r="G92" s="2892" t="s">
        <v>3057</v>
      </c>
      <c r="H92" s="2892" t="s">
        <v>3217</v>
      </c>
      <c r="I92" s="2892" t="s">
        <v>3208</v>
      </c>
      <c r="J92" s="2892">
        <v>88756.93</v>
      </c>
      <c r="K92" s="2892">
        <v>115384</v>
      </c>
      <c r="L92" s="2892" t="s">
        <v>3218</v>
      </c>
      <c r="M92" s="2892" t="s">
        <v>2817</v>
      </c>
      <c r="N92" s="2892" t="s">
        <v>3219</v>
      </c>
      <c r="O92" s="2892" t="s">
        <v>3220</v>
      </c>
      <c r="P92" s="2892" t="s">
        <v>2817</v>
      </c>
      <c r="Q92" s="2892" t="s">
        <v>2817</v>
      </c>
      <c r="R92" s="2892" t="s">
        <v>2817</v>
      </c>
      <c r="S92" s="2892" t="s">
        <v>2817</v>
      </c>
      <c r="T92" s="2892" t="s">
        <v>3092</v>
      </c>
      <c r="U92" s="2892" t="s">
        <v>2817</v>
      </c>
      <c r="V92" s="2892" t="s">
        <v>2817</v>
      </c>
      <c r="W92" s="2892" t="s">
        <v>3063</v>
      </c>
      <c r="X92" s="2892" t="s">
        <v>3210</v>
      </c>
      <c r="Y92" s="2892" t="s">
        <v>3211</v>
      </c>
      <c r="Z92" s="2892" t="s">
        <v>3212</v>
      </c>
      <c r="AA92" s="2892" t="s">
        <v>3212</v>
      </c>
      <c r="AB92" s="2892" t="s">
        <v>3213</v>
      </c>
      <c r="AC92" s="2892" t="s">
        <v>3059</v>
      </c>
      <c r="AD92" s="2892" t="s">
        <v>3221</v>
      </c>
      <c r="AE92" s="2892">
        <v>75072</v>
      </c>
      <c r="AF92" s="2892">
        <v>75072</v>
      </c>
      <c r="AG92" s="2892">
        <v>75072</v>
      </c>
      <c r="AH92" s="2892">
        <v>563.88</v>
      </c>
      <c r="AI92" s="2892">
        <v>563.88</v>
      </c>
      <c r="AJ92" s="2892">
        <v>6506.27</v>
      </c>
      <c r="AK92" s="2892">
        <v>6506.27</v>
      </c>
      <c r="AL92" s="2892" t="s">
        <v>2817</v>
      </c>
      <c r="AM92" s="2892" t="s">
        <v>2817</v>
      </c>
      <c r="AN92" s="2892">
        <v>0</v>
      </c>
      <c r="AO92" s="2892" t="s">
        <v>3222</v>
      </c>
      <c r="AP92" s="2892" t="s">
        <v>2817</v>
      </c>
      <c r="AQ92" s="2892" t="s">
        <v>2817</v>
      </c>
      <c r="AR92" s="2892" t="s">
        <v>2817</v>
      </c>
      <c r="AS92" s="2892" t="s">
        <v>3117</v>
      </c>
    </row>
    <row r="93" spans="1:45" s="3202" customFormat="1">
      <c r="A93" s="3203" t="s">
        <v>4019</v>
      </c>
      <c r="B93" s="3202" t="s">
        <v>3055</v>
      </c>
      <c r="C93" s="3202" t="s">
        <v>3071</v>
      </c>
      <c r="D93" s="3202" t="s">
        <v>3382</v>
      </c>
      <c r="E93" s="3202" t="s">
        <v>2817</v>
      </c>
      <c r="F93" s="3202" t="s">
        <v>3542</v>
      </c>
      <c r="G93" s="3202" t="s">
        <v>3057</v>
      </c>
      <c r="H93" s="3202" t="s">
        <v>3543</v>
      </c>
      <c r="I93" s="3202" t="s">
        <v>3076</v>
      </c>
      <c r="J93" s="3202">
        <v>51395.4</v>
      </c>
      <c r="K93" s="3202">
        <v>128488.5</v>
      </c>
      <c r="L93" s="3202" t="s">
        <v>3236</v>
      </c>
      <c r="M93" s="3202" t="s">
        <v>2817</v>
      </c>
      <c r="N93" s="3202" t="s">
        <v>3544</v>
      </c>
      <c r="O93" s="3202" t="s">
        <v>3545</v>
      </c>
      <c r="P93" s="3202" t="s">
        <v>2817</v>
      </c>
      <c r="Q93" s="3202" t="s">
        <v>2817</v>
      </c>
      <c r="R93" s="3202" t="s">
        <v>2817</v>
      </c>
      <c r="S93" s="3202" t="s">
        <v>2817</v>
      </c>
      <c r="T93" s="3202" t="s">
        <v>3092</v>
      </c>
      <c r="U93" s="3202" t="s">
        <v>3458</v>
      </c>
      <c r="V93" s="3202" t="s">
        <v>2817</v>
      </c>
      <c r="W93" s="3202" t="s">
        <v>3063</v>
      </c>
      <c r="X93" s="3202" t="s">
        <v>3226</v>
      </c>
      <c r="Y93" s="3202" t="s">
        <v>3228</v>
      </c>
      <c r="Z93" s="3202" t="s">
        <v>3191</v>
      </c>
      <c r="AA93" s="3202" t="s">
        <v>3191</v>
      </c>
      <c r="AB93" s="3202" t="s">
        <v>3546</v>
      </c>
      <c r="AC93" s="3202" t="s">
        <v>3059</v>
      </c>
      <c r="AD93" s="3202" t="s">
        <v>3547</v>
      </c>
      <c r="AE93" s="3202">
        <v>43763</v>
      </c>
      <c r="AF93" s="3202">
        <v>43763</v>
      </c>
      <c r="AG93" s="3202">
        <v>67260</v>
      </c>
      <c r="AH93" s="3202">
        <v>567.66</v>
      </c>
      <c r="AI93" s="3202">
        <v>872.45</v>
      </c>
      <c r="AJ93" s="3202">
        <v>3405.98</v>
      </c>
      <c r="AK93" s="3202">
        <v>5234.71</v>
      </c>
      <c r="AL93" s="3202" t="s">
        <v>2817</v>
      </c>
      <c r="AM93" s="3202" t="s">
        <v>2817</v>
      </c>
      <c r="AN93" s="3202">
        <v>53.69</v>
      </c>
      <c r="AO93" s="3202" t="s">
        <v>3085</v>
      </c>
      <c r="AP93" s="3202" t="s">
        <v>2817</v>
      </c>
      <c r="AQ93" s="3202" t="s">
        <v>2817</v>
      </c>
      <c r="AR93" s="3202" t="s">
        <v>2817</v>
      </c>
      <c r="AS93" s="3202" t="s">
        <v>3117</v>
      </c>
    </row>
    <row r="94" spans="1:45" s="2892" customFormat="1">
      <c r="A94" s="2892" t="s">
        <v>3548</v>
      </c>
      <c r="B94" s="2892" t="s">
        <v>3055</v>
      </c>
      <c r="C94" s="2892" t="s">
        <v>3056</v>
      </c>
      <c r="D94" s="2892" t="s">
        <v>3468</v>
      </c>
      <c r="E94" s="2892" t="s">
        <v>2817</v>
      </c>
      <c r="F94" s="2892" t="s">
        <v>3548</v>
      </c>
      <c r="G94" s="2892" t="s">
        <v>3057</v>
      </c>
      <c r="H94" s="2892" t="s">
        <v>3549</v>
      </c>
      <c r="I94" s="2892" t="s">
        <v>3166</v>
      </c>
      <c r="J94" s="2892">
        <v>38229</v>
      </c>
      <c r="K94" s="2892">
        <v>133801.5</v>
      </c>
      <c r="L94" s="2892" t="s">
        <v>3167</v>
      </c>
      <c r="M94" s="2892" t="s">
        <v>2817</v>
      </c>
      <c r="N94" s="2892" t="s">
        <v>3078</v>
      </c>
      <c r="O94" s="2892" t="s">
        <v>3111</v>
      </c>
      <c r="P94" s="2892" t="s">
        <v>2817</v>
      </c>
      <c r="Q94" s="2892" t="s">
        <v>2817</v>
      </c>
      <c r="R94" s="2892" t="s">
        <v>2817</v>
      </c>
      <c r="S94" s="2892" t="s">
        <v>2817</v>
      </c>
      <c r="T94" s="2892" t="s">
        <v>3092</v>
      </c>
      <c r="U94" s="2892" t="s">
        <v>2817</v>
      </c>
      <c r="V94" s="2892" t="s">
        <v>2817</v>
      </c>
      <c r="W94" s="2892" t="s">
        <v>3063</v>
      </c>
      <c r="X94" s="2892" t="s">
        <v>3550</v>
      </c>
      <c r="Y94" s="2892" t="s">
        <v>3551</v>
      </c>
      <c r="Z94" s="2892" t="s">
        <v>3202</v>
      </c>
      <c r="AA94" s="2892" t="s">
        <v>3202</v>
      </c>
      <c r="AB94" s="2892" t="s">
        <v>3552</v>
      </c>
      <c r="AC94" s="2892" t="s">
        <v>3059</v>
      </c>
      <c r="AD94" s="2892" t="s">
        <v>3492</v>
      </c>
      <c r="AE94" s="2892">
        <v>18140</v>
      </c>
      <c r="AF94" s="2892">
        <v>36280</v>
      </c>
      <c r="AG94" s="2892">
        <v>36280</v>
      </c>
      <c r="AH94" s="2892">
        <v>632.67999999999995</v>
      </c>
      <c r="AI94" s="2892">
        <v>632.67999999999995</v>
      </c>
      <c r="AJ94" s="2892">
        <v>2711.47</v>
      </c>
      <c r="AK94" s="2892">
        <v>2711.48</v>
      </c>
      <c r="AL94" s="2892" t="s">
        <v>2817</v>
      </c>
      <c r="AM94" s="2892" t="s">
        <v>2817</v>
      </c>
      <c r="AN94" s="2892">
        <v>0</v>
      </c>
      <c r="AO94" s="2892">
        <v>70</v>
      </c>
      <c r="AP94" s="2892" t="s">
        <v>2817</v>
      </c>
      <c r="AQ94" s="2892" t="s">
        <v>2817</v>
      </c>
      <c r="AR94" s="2892" t="s">
        <v>2817</v>
      </c>
      <c r="AS94" s="2892" t="s">
        <v>3117</v>
      </c>
    </row>
    <row r="95" spans="1:45" s="2892" customFormat="1">
      <c r="A95" s="2892" t="s">
        <v>3223</v>
      </c>
      <c r="B95" s="2892" t="s">
        <v>3055</v>
      </c>
      <c r="C95" s="2892" t="s">
        <v>3071</v>
      </c>
      <c r="D95" s="2892" t="s">
        <v>3074</v>
      </c>
      <c r="E95" s="2892" t="s">
        <v>2817</v>
      </c>
      <c r="F95" s="2892" t="s">
        <v>3223</v>
      </c>
      <c r="G95" s="2892" t="s">
        <v>3057</v>
      </c>
      <c r="H95" s="2892" t="s">
        <v>3224</v>
      </c>
      <c r="I95" s="2892" t="s">
        <v>3076</v>
      </c>
      <c r="J95" s="2892">
        <v>13696.3</v>
      </c>
      <c r="K95" s="2892">
        <v>52045.94</v>
      </c>
      <c r="L95" s="2892" t="s">
        <v>3225</v>
      </c>
      <c r="M95" s="2892" t="s">
        <v>2817</v>
      </c>
      <c r="N95" s="2892" t="s">
        <v>3132</v>
      </c>
      <c r="O95" s="2892" t="s">
        <v>3091</v>
      </c>
      <c r="P95" s="2892" t="s">
        <v>2817</v>
      </c>
      <c r="Q95" s="2892" t="s">
        <v>2817</v>
      </c>
      <c r="R95" s="2892" t="s">
        <v>2817</v>
      </c>
      <c r="S95" s="2892" t="s">
        <v>2817</v>
      </c>
      <c r="T95" s="2892" t="s">
        <v>2817</v>
      </c>
      <c r="U95" s="2892" t="s">
        <v>2817</v>
      </c>
      <c r="V95" s="2892" t="s">
        <v>2817</v>
      </c>
      <c r="W95" s="2892" t="s">
        <v>3063</v>
      </c>
      <c r="X95" s="2892" t="s">
        <v>3226</v>
      </c>
      <c r="Y95" s="2892" t="s">
        <v>3227</v>
      </c>
      <c r="Z95" s="2892" t="s">
        <v>3228</v>
      </c>
      <c r="AA95" s="2892" t="s">
        <v>3228</v>
      </c>
      <c r="AB95" s="2892" t="s">
        <v>3229</v>
      </c>
      <c r="AC95" s="2892" t="s">
        <v>3059</v>
      </c>
      <c r="AD95" s="2892" t="s">
        <v>3230</v>
      </c>
      <c r="AE95" s="2892">
        <v>7560</v>
      </c>
      <c r="AF95" s="2892">
        <v>15119</v>
      </c>
      <c r="AG95" s="2892">
        <v>15119</v>
      </c>
      <c r="AH95" s="2892">
        <v>735.92</v>
      </c>
      <c r="AI95" s="2892">
        <v>735.92</v>
      </c>
      <c r="AJ95" s="2892">
        <v>2904.93</v>
      </c>
      <c r="AK95" s="2892">
        <v>2904.92</v>
      </c>
      <c r="AL95" s="2892" t="s">
        <v>2817</v>
      </c>
      <c r="AM95" s="2892" t="s">
        <v>2817</v>
      </c>
      <c r="AN95" s="2892">
        <v>0</v>
      </c>
      <c r="AO95" s="2892" t="s">
        <v>3085</v>
      </c>
      <c r="AP95" s="2892" t="s">
        <v>2817</v>
      </c>
      <c r="AQ95" s="2892" t="s">
        <v>2817</v>
      </c>
      <c r="AR95" s="2892" t="s">
        <v>2817</v>
      </c>
      <c r="AS95" s="2892" t="s">
        <v>3117</v>
      </c>
    </row>
    <row r="96" spans="1:45" s="2892" customFormat="1">
      <c r="A96" s="2892" t="s">
        <v>3231</v>
      </c>
      <c r="B96" s="2892" t="s">
        <v>3055</v>
      </c>
      <c r="C96" s="2892" t="s">
        <v>3071</v>
      </c>
      <c r="D96" s="2892" t="s">
        <v>3074</v>
      </c>
      <c r="E96" s="2892" t="s">
        <v>2817</v>
      </c>
      <c r="F96" s="2892" t="s">
        <v>3231</v>
      </c>
      <c r="G96" s="2892" t="s">
        <v>3057</v>
      </c>
      <c r="H96" s="2892" t="s">
        <v>3232</v>
      </c>
      <c r="I96" s="2892" t="s">
        <v>3076</v>
      </c>
      <c r="J96" s="2892">
        <v>20106.919999999998</v>
      </c>
      <c r="K96" s="2892">
        <v>50267.3</v>
      </c>
      <c r="L96" s="2892" t="s">
        <v>3100</v>
      </c>
      <c r="M96" s="2892" t="s">
        <v>2817</v>
      </c>
      <c r="N96" s="2892" t="s">
        <v>3078</v>
      </c>
      <c r="O96" s="2892" t="s">
        <v>3101</v>
      </c>
      <c r="P96" s="2892" t="s">
        <v>2817</v>
      </c>
      <c r="Q96" s="2892" t="s">
        <v>2817</v>
      </c>
      <c r="R96" s="2892" t="s">
        <v>2817</v>
      </c>
      <c r="S96" s="2892" t="s">
        <v>2817</v>
      </c>
      <c r="T96" s="2892" t="s">
        <v>2817</v>
      </c>
      <c r="U96" s="2892" t="s">
        <v>2817</v>
      </c>
      <c r="V96" s="2892" t="s">
        <v>2817</v>
      </c>
      <c r="W96" s="2892" t="s">
        <v>3063</v>
      </c>
      <c r="X96" s="2892" t="s">
        <v>3226</v>
      </c>
      <c r="Y96" s="2892" t="s">
        <v>3227</v>
      </c>
      <c r="Z96" s="2892" t="s">
        <v>3228</v>
      </c>
      <c r="AA96" s="2892" t="s">
        <v>3228</v>
      </c>
      <c r="AB96" s="2892" t="s">
        <v>3229</v>
      </c>
      <c r="AC96" s="2892" t="s">
        <v>3059</v>
      </c>
      <c r="AD96" s="2892" t="s">
        <v>3233</v>
      </c>
      <c r="AE96" s="2892">
        <v>9161</v>
      </c>
      <c r="AF96" s="2892">
        <v>18321</v>
      </c>
      <c r="AG96" s="2892">
        <v>18321</v>
      </c>
      <c r="AH96" s="2892">
        <v>607.45000000000005</v>
      </c>
      <c r="AI96" s="2892">
        <v>607.45000000000005</v>
      </c>
      <c r="AJ96" s="2892">
        <v>3644.71</v>
      </c>
      <c r="AK96" s="2892">
        <v>3644.71</v>
      </c>
      <c r="AL96" s="2892" t="s">
        <v>2817</v>
      </c>
      <c r="AM96" s="2892" t="s">
        <v>2817</v>
      </c>
      <c r="AN96" s="2892">
        <v>0</v>
      </c>
      <c r="AO96" s="2892" t="s">
        <v>3085</v>
      </c>
      <c r="AP96" s="2892" t="s">
        <v>2817</v>
      </c>
      <c r="AQ96" s="2892" t="s">
        <v>2817</v>
      </c>
      <c r="AR96" s="2892" t="s">
        <v>2817</v>
      </c>
      <c r="AS96" s="2892" t="s">
        <v>3146</v>
      </c>
    </row>
    <row r="97" spans="1:45" s="2892" customFormat="1">
      <c r="A97" s="2892" t="s">
        <v>3553</v>
      </c>
      <c r="B97" s="2892" t="s">
        <v>3055</v>
      </c>
      <c r="C97" s="2892" t="s">
        <v>3071</v>
      </c>
      <c r="D97" s="2892" t="s">
        <v>3468</v>
      </c>
      <c r="E97" s="2892" t="s">
        <v>2817</v>
      </c>
      <c r="F97" s="2892" t="s">
        <v>3553</v>
      </c>
      <c r="G97" s="2892" t="s">
        <v>3057</v>
      </c>
      <c r="H97" s="2892" t="s">
        <v>3554</v>
      </c>
      <c r="I97" s="2892" t="s">
        <v>3555</v>
      </c>
      <c r="J97" s="2892">
        <v>31844.71</v>
      </c>
      <c r="K97" s="2892">
        <v>213359.6</v>
      </c>
      <c r="L97" s="2892" t="s">
        <v>3556</v>
      </c>
      <c r="M97" s="2892" t="s">
        <v>2817</v>
      </c>
      <c r="N97" s="2892" t="s">
        <v>3557</v>
      </c>
      <c r="O97" s="2892" t="s">
        <v>3558</v>
      </c>
      <c r="P97" s="2892" t="s">
        <v>2817</v>
      </c>
      <c r="Q97" s="2892" t="s">
        <v>2817</v>
      </c>
      <c r="R97" s="2892" t="s">
        <v>2817</v>
      </c>
      <c r="S97" s="2892" t="s">
        <v>2817</v>
      </c>
      <c r="T97" s="2892" t="s">
        <v>3092</v>
      </c>
      <c r="U97" s="2892" t="s">
        <v>2817</v>
      </c>
      <c r="V97" s="2892" t="s">
        <v>2817</v>
      </c>
      <c r="W97" s="2892" t="s">
        <v>3063</v>
      </c>
      <c r="X97" s="2892" t="s">
        <v>3559</v>
      </c>
      <c r="Y97" s="2892" t="s">
        <v>3560</v>
      </c>
      <c r="Z97" s="2892" t="s">
        <v>3561</v>
      </c>
      <c r="AA97" s="2892" t="s">
        <v>3561</v>
      </c>
      <c r="AB97" s="2892" t="s">
        <v>3562</v>
      </c>
      <c r="AC97" s="2892" t="s">
        <v>3059</v>
      </c>
      <c r="AD97" s="2892" t="s">
        <v>3563</v>
      </c>
      <c r="AE97" s="2892">
        <v>26160</v>
      </c>
      <c r="AF97" s="2892">
        <v>52313</v>
      </c>
      <c r="AG97" s="2892">
        <v>52313</v>
      </c>
      <c r="AH97" s="2892">
        <v>1095.17</v>
      </c>
      <c r="AI97" s="2892">
        <v>1095.17</v>
      </c>
      <c r="AJ97" s="2892">
        <v>2451.86</v>
      </c>
      <c r="AK97" s="2892">
        <v>2451.86</v>
      </c>
      <c r="AL97" s="2892" t="s">
        <v>2817</v>
      </c>
      <c r="AM97" s="2892" t="s">
        <v>2817</v>
      </c>
      <c r="AN97" s="2892">
        <v>0</v>
      </c>
      <c r="AO97" s="2892" t="s">
        <v>3564</v>
      </c>
      <c r="AP97" s="2892" t="s">
        <v>2817</v>
      </c>
      <c r="AQ97" s="2892" t="s">
        <v>2817</v>
      </c>
      <c r="AR97" s="2892" t="s">
        <v>2817</v>
      </c>
      <c r="AS97" s="2892" t="s">
        <v>3117</v>
      </c>
    </row>
    <row r="98" spans="1:45" s="2892" customFormat="1">
      <c r="A98" s="2892" t="s">
        <v>3565</v>
      </c>
      <c r="B98" s="2892" t="s">
        <v>3055</v>
      </c>
      <c r="C98" s="2892" t="s">
        <v>3071</v>
      </c>
      <c r="D98" s="2892" t="s">
        <v>3468</v>
      </c>
      <c r="E98" s="2892" t="s">
        <v>2817</v>
      </c>
      <c r="F98" s="2892" t="s">
        <v>3565</v>
      </c>
      <c r="G98" s="2892" t="s">
        <v>3057</v>
      </c>
      <c r="H98" s="2892" t="s">
        <v>3566</v>
      </c>
      <c r="I98" s="2892" t="s">
        <v>3567</v>
      </c>
      <c r="J98" s="2892">
        <v>33258.730000000003</v>
      </c>
      <c r="K98" s="2892">
        <v>189574.8</v>
      </c>
      <c r="L98" s="2892" t="s">
        <v>3568</v>
      </c>
      <c r="M98" s="2892" t="s">
        <v>2817</v>
      </c>
      <c r="N98" s="2892" t="s">
        <v>3219</v>
      </c>
      <c r="O98" s="2892" t="s">
        <v>3569</v>
      </c>
      <c r="P98" s="2892" t="s">
        <v>2817</v>
      </c>
      <c r="Q98" s="2892" t="s">
        <v>2817</v>
      </c>
      <c r="R98" s="2892" t="s">
        <v>2817</v>
      </c>
      <c r="S98" s="2892" t="s">
        <v>2817</v>
      </c>
      <c r="T98" s="2892" t="s">
        <v>3092</v>
      </c>
      <c r="U98" s="2892" t="s">
        <v>2817</v>
      </c>
      <c r="V98" s="2892" t="s">
        <v>2817</v>
      </c>
      <c r="W98" s="2892" t="s">
        <v>3063</v>
      </c>
      <c r="X98" s="2892" t="s">
        <v>3559</v>
      </c>
      <c r="Y98" s="2892" t="s">
        <v>3560</v>
      </c>
      <c r="Z98" s="2892" t="s">
        <v>3561</v>
      </c>
      <c r="AA98" s="2892" t="s">
        <v>3561</v>
      </c>
      <c r="AB98" s="2892" t="s">
        <v>3570</v>
      </c>
      <c r="AC98" s="2892" t="s">
        <v>3059</v>
      </c>
      <c r="AD98" s="2892" t="s">
        <v>3563</v>
      </c>
      <c r="AE98" s="2892">
        <v>24670</v>
      </c>
      <c r="AF98" s="2892">
        <v>49330</v>
      </c>
      <c r="AG98" s="2892">
        <v>49330</v>
      </c>
      <c r="AH98" s="2892">
        <v>988.81</v>
      </c>
      <c r="AI98" s="2892">
        <v>988.81</v>
      </c>
      <c r="AJ98" s="2892">
        <v>2602.13</v>
      </c>
      <c r="AK98" s="2892">
        <v>2602.13</v>
      </c>
      <c r="AL98" s="2892" t="s">
        <v>2817</v>
      </c>
      <c r="AM98" s="2892" t="s">
        <v>2817</v>
      </c>
      <c r="AN98" s="2892">
        <v>0</v>
      </c>
      <c r="AO98" s="2892" t="s">
        <v>3571</v>
      </c>
      <c r="AP98" s="2892" t="s">
        <v>2817</v>
      </c>
      <c r="AQ98" s="2892" t="s">
        <v>2817</v>
      </c>
      <c r="AR98" s="2892" t="s">
        <v>2817</v>
      </c>
      <c r="AS98" s="2892" t="s">
        <v>3117</v>
      </c>
    </row>
    <row r="99" spans="1:45" s="2892" customFormat="1">
      <c r="A99" s="2892" t="s">
        <v>3572</v>
      </c>
      <c r="B99" s="2892" t="s">
        <v>3055</v>
      </c>
      <c r="C99" s="2892" t="s">
        <v>3071</v>
      </c>
      <c r="D99" s="2892" t="s">
        <v>3468</v>
      </c>
      <c r="E99" s="2892" t="s">
        <v>2817</v>
      </c>
      <c r="F99" s="2892" t="s">
        <v>3572</v>
      </c>
      <c r="G99" s="2892" t="s">
        <v>3057</v>
      </c>
      <c r="H99" s="2892" t="s">
        <v>3573</v>
      </c>
      <c r="I99" s="2892" t="s">
        <v>3109</v>
      </c>
      <c r="J99" s="2892">
        <v>38830.57</v>
      </c>
      <c r="K99" s="2892">
        <v>77661.14</v>
      </c>
      <c r="L99" s="2892" t="s">
        <v>3535</v>
      </c>
      <c r="M99" s="2892" t="s">
        <v>2817</v>
      </c>
      <c r="N99" s="2892" t="s">
        <v>3078</v>
      </c>
      <c r="O99" s="2892" t="s">
        <v>3079</v>
      </c>
      <c r="P99" s="2892" t="s">
        <v>2817</v>
      </c>
      <c r="Q99" s="2892" t="s">
        <v>2817</v>
      </c>
      <c r="R99" s="2892" t="s">
        <v>2817</v>
      </c>
      <c r="S99" s="2892" t="s">
        <v>2817</v>
      </c>
      <c r="T99" s="2892" t="s">
        <v>3092</v>
      </c>
      <c r="U99" s="2892" t="s">
        <v>2817</v>
      </c>
      <c r="V99" s="2892" t="s">
        <v>2817</v>
      </c>
      <c r="W99" s="2892" t="s">
        <v>3063</v>
      </c>
      <c r="X99" s="2892" t="s">
        <v>3574</v>
      </c>
      <c r="Y99" s="2892" t="s">
        <v>3575</v>
      </c>
      <c r="Z99" s="2892" t="s">
        <v>3576</v>
      </c>
      <c r="AA99" s="2892" t="s">
        <v>3576</v>
      </c>
      <c r="AB99" s="2892" t="s">
        <v>3577</v>
      </c>
      <c r="AC99" s="2892" t="s">
        <v>3059</v>
      </c>
      <c r="AD99" s="2892" t="s">
        <v>3578</v>
      </c>
      <c r="AE99" s="2892">
        <v>16565</v>
      </c>
      <c r="AF99" s="2892">
        <v>33129</v>
      </c>
      <c r="AG99" s="2892">
        <v>33129</v>
      </c>
      <c r="AH99" s="2892">
        <v>568.78</v>
      </c>
      <c r="AI99" s="2892">
        <v>568.78</v>
      </c>
      <c r="AJ99" s="2892">
        <v>4265.84</v>
      </c>
      <c r="AK99" s="2892">
        <v>4265.84</v>
      </c>
      <c r="AL99" s="2892" t="s">
        <v>2817</v>
      </c>
      <c r="AM99" s="2892" t="s">
        <v>2817</v>
      </c>
      <c r="AN99" s="2892">
        <v>0</v>
      </c>
      <c r="AO99" s="2892" t="s">
        <v>3085</v>
      </c>
      <c r="AP99" s="2892" t="s">
        <v>2817</v>
      </c>
      <c r="AQ99" s="2892" t="s">
        <v>2817</v>
      </c>
      <c r="AR99" s="2892" t="s">
        <v>2817</v>
      </c>
      <c r="AS99" s="2892" t="s">
        <v>3117</v>
      </c>
    </row>
    <row r="100" spans="1:45" s="2892" customFormat="1">
      <c r="A100" s="2892" t="s">
        <v>3579</v>
      </c>
      <c r="B100" s="2892" t="s">
        <v>3055</v>
      </c>
      <c r="C100" s="2892" t="s">
        <v>3071</v>
      </c>
      <c r="D100" s="2892" t="s">
        <v>3468</v>
      </c>
      <c r="E100" s="2892" t="s">
        <v>2817</v>
      </c>
      <c r="F100" s="2892" t="s">
        <v>3579</v>
      </c>
      <c r="G100" s="2892" t="s">
        <v>3057</v>
      </c>
      <c r="H100" s="2892" t="s">
        <v>3580</v>
      </c>
      <c r="I100" s="2892" t="s">
        <v>3109</v>
      </c>
      <c r="J100" s="2892">
        <v>49045.59</v>
      </c>
      <c r="K100" s="2892">
        <v>122614</v>
      </c>
      <c r="L100" s="2892" t="s">
        <v>3236</v>
      </c>
      <c r="M100" s="2892" t="s">
        <v>2817</v>
      </c>
      <c r="N100" s="2892" t="s">
        <v>3309</v>
      </c>
      <c r="O100" s="2892" t="s">
        <v>3200</v>
      </c>
      <c r="P100" s="2892" t="s">
        <v>2817</v>
      </c>
      <c r="Q100" s="2892" t="s">
        <v>2817</v>
      </c>
      <c r="R100" s="2892" t="s">
        <v>2817</v>
      </c>
      <c r="S100" s="2892" t="s">
        <v>2817</v>
      </c>
      <c r="T100" s="2892" t="s">
        <v>3092</v>
      </c>
      <c r="U100" s="2892" t="s">
        <v>2817</v>
      </c>
      <c r="V100" s="2892" t="s">
        <v>2817</v>
      </c>
      <c r="W100" s="2892" t="s">
        <v>3063</v>
      </c>
      <c r="X100" s="2892" t="s">
        <v>3574</v>
      </c>
      <c r="Y100" s="2892" t="s">
        <v>3575</v>
      </c>
      <c r="Z100" s="2892" t="s">
        <v>3576</v>
      </c>
      <c r="AA100" s="2892" t="s">
        <v>3576</v>
      </c>
      <c r="AB100" s="2892" t="s">
        <v>3581</v>
      </c>
      <c r="AC100" s="2892" t="s">
        <v>3059</v>
      </c>
      <c r="AD100" s="2892" t="s">
        <v>3578</v>
      </c>
      <c r="AE100" s="2892">
        <v>22290</v>
      </c>
      <c r="AF100" s="2892">
        <v>44572</v>
      </c>
      <c r="AG100" s="2892">
        <v>44572</v>
      </c>
      <c r="AH100" s="2892">
        <v>605.86</v>
      </c>
      <c r="AI100" s="2892">
        <v>605.86</v>
      </c>
      <c r="AJ100" s="2892">
        <v>3635.14</v>
      </c>
      <c r="AK100" s="2892">
        <v>3635.15</v>
      </c>
      <c r="AL100" s="2892" t="s">
        <v>2817</v>
      </c>
      <c r="AM100" s="2892" t="s">
        <v>2817</v>
      </c>
      <c r="AN100" s="2892">
        <v>0</v>
      </c>
      <c r="AO100" s="2892" t="s">
        <v>3085</v>
      </c>
      <c r="AP100" s="2892" t="s">
        <v>2817</v>
      </c>
      <c r="AQ100" s="2892" t="s">
        <v>2817</v>
      </c>
      <c r="AR100" s="2892" t="s">
        <v>2817</v>
      </c>
      <c r="AS100" s="2892" t="s">
        <v>3117</v>
      </c>
    </row>
    <row r="101" spans="1:45" s="2892" customFormat="1">
      <c r="A101" s="2892" t="s">
        <v>3582</v>
      </c>
      <c r="B101" s="2892" t="s">
        <v>3055</v>
      </c>
      <c r="C101" s="2892" t="s">
        <v>3071</v>
      </c>
      <c r="D101" s="2892" t="s">
        <v>3468</v>
      </c>
      <c r="E101" s="2892" t="s">
        <v>2817</v>
      </c>
      <c r="F101" s="2892" t="s">
        <v>3582</v>
      </c>
      <c r="G101" s="2892" t="s">
        <v>3057</v>
      </c>
      <c r="H101" s="2892" t="s">
        <v>3583</v>
      </c>
      <c r="I101" s="2892" t="s">
        <v>3109</v>
      </c>
      <c r="J101" s="2892">
        <v>39793.43</v>
      </c>
      <c r="K101" s="2892">
        <v>79586.86</v>
      </c>
      <c r="L101" s="2892" t="s">
        <v>3535</v>
      </c>
      <c r="M101" s="2892" t="s">
        <v>2817</v>
      </c>
      <c r="N101" s="2892" t="s">
        <v>3078</v>
      </c>
      <c r="O101" s="2892" t="s">
        <v>3079</v>
      </c>
      <c r="P101" s="2892" t="s">
        <v>2817</v>
      </c>
      <c r="Q101" s="2892" t="s">
        <v>2817</v>
      </c>
      <c r="R101" s="2892" t="s">
        <v>2817</v>
      </c>
      <c r="S101" s="2892" t="s">
        <v>2817</v>
      </c>
      <c r="T101" s="2892" t="s">
        <v>3092</v>
      </c>
      <c r="U101" s="2892" t="s">
        <v>2817</v>
      </c>
      <c r="V101" s="2892" t="s">
        <v>2817</v>
      </c>
      <c r="W101" s="2892" t="s">
        <v>3063</v>
      </c>
      <c r="X101" s="2892" t="s">
        <v>3574</v>
      </c>
      <c r="Y101" s="2892" t="s">
        <v>3575</v>
      </c>
      <c r="Z101" s="2892" t="s">
        <v>3576</v>
      </c>
      <c r="AA101" s="2892" t="s">
        <v>3576</v>
      </c>
      <c r="AB101" s="2892" t="s">
        <v>3584</v>
      </c>
      <c r="AC101" s="2892" t="s">
        <v>3059</v>
      </c>
      <c r="AD101" s="2892" t="s">
        <v>3578</v>
      </c>
      <c r="AE101" s="2892">
        <v>17200</v>
      </c>
      <c r="AF101" s="2892">
        <v>33975</v>
      </c>
      <c r="AG101" s="2892">
        <v>33975</v>
      </c>
      <c r="AH101" s="2892">
        <v>569.19000000000005</v>
      </c>
      <c r="AI101" s="2892">
        <v>569.19000000000005</v>
      </c>
      <c r="AJ101" s="2892">
        <v>4268.92</v>
      </c>
      <c r="AK101" s="2892">
        <v>4268.92</v>
      </c>
      <c r="AL101" s="2892" t="s">
        <v>2817</v>
      </c>
      <c r="AM101" s="2892" t="s">
        <v>2817</v>
      </c>
      <c r="AN101" s="2892">
        <v>0</v>
      </c>
      <c r="AO101" s="2892" t="s">
        <v>3085</v>
      </c>
      <c r="AP101" s="2892" t="s">
        <v>2817</v>
      </c>
      <c r="AQ101" s="2892" t="s">
        <v>2817</v>
      </c>
      <c r="AR101" s="2892" t="s">
        <v>2817</v>
      </c>
      <c r="AS101" s="2892" t="s">
        <v>3117</v>
      </c>
    </row>
    <row r="102" spans="1:45" s="2892" customFormat="1">
      <c r="A102" s="2892" t="s">
        <v>3585</v>
      </c>
      <c r="B102" s="2892" t="s">
        <v>3055</v>
      </c>
      <c r="C102" s="2892" t="s">
        <v>3056</v>
      </c>
      <c r="D102" s="2892" t="s">
        <v>3468</v>
      </c>
      <c r="E102" s="2892" t="s">
        <v>2817</v>
      </c>
      <c r="F102" s="2892" t="s">
        <v>3585</v>
      </c>
      <c r="G102" s="2892" t="s">
        <v>3057</v>
      </c>
      <c r="H102" s="2892" t="s">
        <v>3586</v>
      </c>
      <c r="I102" s="2892" t="s">
        <v>3166</v>
      </c>
      <c r="J102" s="2892">
        <v>41887.64</v>
      </c>
      <c r="K102" s="2892">
        <v>146606.70000000001</v>
      </c>
      <c r="L102" s="2892" t="s">
        <v>3167</v>
      </c>
      <c r="M102" s="2892" t="s">
        <v>2817</v>
      </c>
      <c r="N102" s="2892" t="s">
        <v>3587</v>
      </c>
      <c r="O102" s="2892" t="s">
        <v>3111</v>
      </c>
      <c r="P102" s="2892" t="s">
        <v>2817</v>
      </c>
      <c r="Q102" s="2892" t="s">
        <v>2817</v>
      </c>
      <c r="R102" s="2892" t="s">
        <v>2817</v>
      </c>
      <c r="S102" s="2892" t="s">
        <v>2817</v>
      </c>
      <c r="T102" s="2892" t="s">
        <v>2817</v>
      </c>
      <c r="U102" s="2892" t="s">
        <v>2817</v>
      </c>
      <c r="V102" s="2892" t="s">
        <v>2817</v>
      </c>
      <c r="W102" s="2892" t="s">
        <v>3063</v>
      </c>
      <c r="X102" s="2892" t="s">
        <v>3237</v>
      </c>
      <c r="Y102" s="2892" t="s">
        <v>3069</v>
      </c>
      <c r="Z102" s="2892" t="s">
        <v>3238</v>
      </c>
      <c r="AA102" s="2892" t="s">
        <v>3238</v>
      </c>
      <c r="AB102" s="2892" t="s">
        <v>3588</v>
      </c>
      <c r="AC102" s="2892" t="s">
        <v>3059</v>
      </c>
      <c r="AD102" s="2892" t="s">
        <v>3589</v>
      </c>
      <c r="AE102" s="2892">
        <v>19250</v>
      </c>
      <c r="AF102" s="2892">
        <v>38495</v>
      </c>
      <c r="AG102" s="2892">
        <v>38495</v>
      </c>
      <c r="AH102" s="2892">
        <v>612.66999999999996</v>
      </c>
      <c r="AI102" s="2892">
        <v>612.66999999999996</v>
      </c>
      <c r="AJ102" s="2892">
        <v>2625.73</v>
      </c>
      <c r="AK102" s="2892">
        <v>2625.73</v>
      </c>
      <c r="AL102" s="2892" t="s">
        <v>2817</v>
      </c>
      <c r="AM102" s="2892" t="s">
        <v>2817</v>
      </c>
      <c r="AN102" s="2892">
        <v>0</v>
      </c>
      <c r="AO102" s="2892" t="s">
        <v>3060</v>
      </c>
      <c r="AP102" s="2892" t="s">
        <v>2817</v>
      </c>
      <c r="AQ102" s="2892" t="s">
        <v>2817</v>
      </c>
      <c r="AR102" s="2892" t="s">
        <v>2817</v>
      </c>
      <c r="AS102" s="2892" t="s">
        <v>3117</v>
      </c>
    </row>
    <row r="103" spans="1:45" s="2892" customFormat="1">
      <c r="A103" s="2892" t="s">
        <v>3234</v>
      </c>
      <c r="B103" s="2892" t="s">
        <v>3055</v>
      </c>
      <c r="C103" s="2892" t="s">
        <v>3056</v>
      </c>
      <c r="D103" s="2892" t="s">
        <v>3074</v>
      </c>
      <c r="E103" s="2892" t="s">
        <v>2817</v>
      </c>
      <c r="F103" s="2892" t="s">
        <v>3234</v>
      </c>
      <c r="G103" s="2892" t="s">
        <v>3057</v>
      </c>
      <c r="H103" s="2892" t="s">
        <v>3235</v>
      </c>
      <c r="I103" s="2892" t="s">
        <v>3166</v>
      </c>
      <c r="J103" s="2892">
        <v>45734.92</v>
      </c>
      <c r="K103" s="2892">
        <v>114337.3</v>
      </c>
      <c r="L103" s="2892" t="s">
        <v>3236</v>
      </c>
      <c r="M103" s="2892" t="s">
        <v>2817</v>
      </c>
      <c r="N103" s="2892" t="s">
        <v>3078</v>
      </c>
      <c r="O103" s="2892" t="s">
        <v>3101</v>
      </c>
      <c r="P103" s="2892" t="s">
        <v>2817</v>
      </c>
      <c r="Q103" s="2892" t="s">
        <v>2817</v>
      </c>
      <c r="R103" s="2892" t="s">
        <v>2817</v>
      </c>
      <c r="S103" s="2892" t="s">
        <v>2817</v>
      </c>
      <c r="T103" s="2892" t="s">
        <v>2817</v>
      </c>
      <c r="U103" s="2892" t="s">
        <v>2817</v>
      </c>
      <c r="V103" s="2892" t="s">
        <v>2817</v>
      </c>
      <c r="W103" s="2892" t="s">
        <v>3063</v>
      </c>
      <c r="X103" s="2892" t="s">
        <v>3237</v>
      </c>
      <c r="Y103" s="2892" t="s">
        <v>3069</v>
      </c>
      <c r="Z103" s="2892" t="s">
        <v>3238</v>
      </c>
      <c r="AA103" s="2892" t="s">
        <v>3238</v>
      </c>
      <c r="AB103" s="2892" t="s">
        <v>3239</v>
      </c>
      <c r="AC103" s="2892" t="s">
        <v>3059</v>
      </c>
      <c r="AD103" s="2892" t="s">
        <v>3240</v>
      </c>
      <c r="AE103" s="2892">
        <v>19870</v>
      </c>
      <c r="AF103" s="2892">
        <v>39740</v>
      </c>
      <c r="AG103" s="2892">
        <v>39740</v>
      </c>
      <c r="AH103" s="2892">
        <v>579.28</v>
      </c>
      <c r="AI103" s="2892">
        <v>579.28</v>
      </c>
      <c r="AJ103" s="2892">
        <v>3475.68</v>
      </c>
      <c r="AK103" s="2892">
        <v>3475.67</v>
      </c>
      <c r="AL103" s="2892" t="s">
        <v>2817</v>
      </c>
      <c r="AM103" s="2892" t="s">
        <v>2817</v>
      </c>
      <c r="AN103" s="2892">
        <v>0</v>
      </c>
      <c r="AO103" s="2892" t="s">
        <v>3060</v>
      </c>
      <c r="AP103" s="2892" t="s">
        <v>2817</v>
      </c>
      <c r="AQ103" s="2892" t="s">
        <v>2817</v>
      </c>
      <c r="AR103" s="2892" t="s">
        <v>2817</v>
      </c>
      <c r="AS103" s="2892" t="s">
        <v>3146</v>
      </c>
    </row>
    <row r="104" spans="1:45" s="2892" customFormat="1">
      <c r="A104" s="2892" t="s">
        <v>3590</v>
      </c>
      <c r="B104" s="2892" t="s">
        <v>3055</v>
      </c>
      <c r="C104" s="2892" t="s">
        <v>3056</v>
      </c>
      <c r="D104" s="2892" t="s">
        <v>3468</v>
      </c>
      <c r="E104" s="2892" t="s">
        <v>2817</v>
      </c>
      <c r="F104" s="2892" t="s">
        <v>3590</v>
      </c>
      <c r="G104" s="2892" t="s">
        <v>3057</v>
      </c>
      <c r="H104" s="2892" t="s">
        <v>3591</v>
      </c>
      <c r="I104" s="2892" t="s">
        <v>3166</v>
      </c>
      <c r="J104" s="2892">
        <v>13415.72</v>
      </c>
      <c r="K104" s="2892">
        <v>40247.160000000003</v>
      </c>
      <c r="L104" s="2892" t="s">
        <v>3457</v>
      </c>
      <c r="M104" s="2892" t="s">
        <v>2817</v>
      </c>
      <c r="N104" s="2892" t="s">
        <v>3592</v>
      </c>
      <c r="O104" s="2892" t="s">
        <v>3416</v>
      </c>
      <c r="P104" s="2892" t="s">
        <v>2817</v>
      </c>
      <c r="Q104" s="2892" t="s">
        <v>2817</v>
      </c>
      <c r="R104" s="2892" t="s">
        <v>2817</v>
      </c>
      <c r="S104" s="2892" t="s">
        <v>2817</v>
      </c>
      <c r="T104" s="2892" t="s">
        <v>2817</v>
      </c>
      <c r="U104" s="2892" t="s">
        <v>2817</v>
      </c>
      <c r="V104" s="2892" t="s">
        <v>2817</v>
      </c>
      <c r="W104" s="2892" t="s">
        <v>3063</v>
      </c>
      <c r="X104" s="2892" t="s">
        <v>3237</v>
      </c>
      <c r="Y104" s="2892" t="s">
        <v>3069</v>
      </c>
      <c r="Z104" s="2892" t="s">
        <v>3238</v>
      </c>
      <c r="AA104" s="2892" t="s">
        <v>3238</v>
      </c>
      <c r="AB104" s="2892" t="s">
        <v>3593</v>
      </c>
      <c r="AC104" s="2892" t="s">
        <v>3059</v>
      </c>
      <c r="AD104" s="2892" t="s">
        <v>3589</v>
      </c>
      <c r="AE104" s="2892">
        <v>5870</v>
      </c>
      <c r="AF104" s="2892">
        <v>11724</v>
      </c>
      <c r="AG104" s="2892">
        <v>11724</v>
      </c>
      <c r="AH104" s="2892">
        <v>582.6</v>
      </c>
      <c r="AI104" s="2892">
        <v>582.6</v>
      </c>
      <c r="AJ104" s="2892">
        <v>2913</v>
      </c>
      <c r="AK104" s="2892">
        <v>2913</v>
      </c>
      <c r="AL104" s="2892" t="s">
        <v>2817</v>
      </c>
      <c r="AM104" s="2892" t="s">
        <v>2817</v>
      </c>
      <c r="AN104" s="2892">
        <v>0</v>
      </c>
      <c r="AO104" s="2892" t="s">
        <v>3060</v>
      </c>
      <c r="AP104" s="2892" t="s">
        <v>2817</v>
      </c>
      <c r="AQ104" s="2892" t="s">
        <v>2817</v>
      </c>
      <c r="AR104" s="2892" t="s">
        <v>2817</v>
      </c>
      <c r="AS104" s="2892" t="s">
        <v>3117</v>
      </c>
    </row>
    <row r="105" spans="1:45" s="2892" customFormat="1">
      <c r="A105" s="2892" t="s">
        <v>3594</v>
      </c>
      <c r="B105" s="2892" t="s">
        <v>3055</v>
      </c>
      <c r="C105" s="2892" t="s">
        <v>3056</v>
      </c>
      <c r="D105" s="2892" t="s">
        <v>3468</v>
      </c>
      <c r="E105" s="2892" t="s">
        <v>2817</v>
      </c>
      <c r="F105" s="2892" t="s">
        <v>3594</v>
      </c>
      <c r="G105" s="2892" t="s">
        <v>3057</v>
      </c>
      <c r="H105" s="2892" t="s">
        <v>3595</v>
      </c>
      <c r="I105" s="2892" t="s">
        <v>3166</v>
      </c>
      <c r="J105" s="2892">
        <v>97225.98</v>
      </c>
      <c r="K105" s="2892">
        <v>340290.9</v>
      </c>
      <c r="L105" s="2892" t="s">
        <v>3167</v>
      </c>
      <c r="M105" s="2892" t="s">
        <v>2817</v>
      </c>
      <c r="N105" s="2892" t="s">
        <v>3078</v>
      </c>
      <c r="O105" s="2892" t="s">
        <v>3111</v>
      </c>
      <c r="P105" s="2892" t="s">
        <v>2817</v>
      </c>
      <c r="Q105" s="2892" t="s">
        <v>2817</v>
      </c>
      <c r="R105" s="2892" t="s">
        <v>2817</v>
      </c>
      <c r="S105" s="2892" t="s">
        <v>2817</v>
      </c>
      <c r="T105" s="2892" t="s">
        <v>3092</v>
      </c>
      <c r="U105" s="2892" t="s">
        <v>2817</v>
      </c>
      <c r="V105" s="2892" t="s">
        <v>2817</v>
      </c>
      <c r="W105" s="2892" t="s">
        <v>3063</v>
      </c>
      <c r="X105" s="2892" t="s">
        <v>3596</v>
      </c>
      <c r="Y105" s="2892" t="s">
        <v>3597</v>
      </c>
      <c r="Z105" s="2892" t="s">
        <v>3598</v>
      </c>
      <c r="AA105" s="2892" t="s">
        <v>3598</v>
      </c>
      <c r="AB105" s="2892" t="s">
        <v>3599</v>
      </c>
      <c r="AC105" s="2892" t="s">
        <v>3059</v>
      </c>
      <c r="AD105" s="2892" t="s">
        <v>3600</v>
      </c>
      <c r="AE105" s="2892">
        <v>46100</v>
      </c>
      <c r="AF105" s="2892">
        <v>92111</v>
      </c>
      <c r="AG105" s="2892">
        <v>92111</v>
      </c>
      <c r="AH105" s="2892">
        <v>631.59</v>
      </c>
      <c r="AI105" s="2892">
        <v>631.59</v>
      </c>
      <c r="AJ105" s="2892">
        <v>2706.83</v>
      </c>
      <c r="AK105" s="2892">
        <v>2706.82</v>
      </c>
      <c r="AL105" s="2892" t="s">
        <v>2817</v>
      </c>
      <c r="AM105" s="2892" t="s">
        <v>2817</v>
      </c>
      <c r="AN105" s="2892">
        <v>0</v>
      </c>
      <c r="AO105" s="2892" t="s">
        <v>3060</v>
      </c>
      <c r="AP105" s="2892" t="s">
        <v>2817</v>
      </c>
      <c r="AQ105" s="2892" t="s">
        <v>2817</v>
      </c>
      <c r="AR105" s="2892" t="s">
        <v>2817</v>
      </c>
      <c r="AS105" s="2892" t="s">
        <v>3117</v>
      </c>
    </row>
    <row r="106" spans="1:45" s="2892" customFormat="1">
      <c r="A106" s="2892" t="s">
        <v>3241</v>
      </c>
      <c r="B106" s="2892" t="s">
        <v>3055</v>
      </c>
      <c r="C106" s="2892" t="s">
        <v>3071</v>
      </c>
      <c r="D106" s="2892" t="s">
        <v>3074</v>
      </c>
      <c r="E106" s="2892" t="s">
        <v>2817</v>
      </c>
      <c r="F106" s="2892" t="s">
        <v>3241</v>
      </c>
      <c r="G106" s="2892" t="s">
        <v>3057</v>
      </c>
      <c r="H106" s="2892" t="s">
        <v>3242</v>
      </c>
      <c r="I106" s="2892" t="s">
        <v>3243</v>
      </c>
      <c r="J106" s="2892">
        <v>52192.13</v>
      </c>
      <c r="K106" s="2892">
        <v>360125.7</v>
      </c>
      <c r="L106" s="2892" t="s">
        <v>3244</v>
      </c>
      <c r="M106" s="2892" t="s">
        <v>2817</v>
      </c>
      <c r="N106" s="2892" t="s">
        <v>3245</v>
      </c>
      <c r="O106" s="2892" t="s">
        <v>3246</v>
      </c>
      <c r="P106" s="2892" t="s">
        <v>2817</v>
      </c>
      <c r="Q106" s="2892" t="s">
        <v>2817</v>
      </c>
      <c r="R106" s="2892" t="s">
        <v>2817</v>
      </c>
      <c r="S106" s="2892" t="s">
        <v>2817</v>
      </c>
      <c r="T106" s="2892" t="s">
        <v>3092</v>
      </c>
      <c r="U106" s="2892" t="s">
        <v>2817</v>
      </c>
      <c r="V106" s="2892" t="s">
        <v>2817</v>
      </c>
      <c r="W106" s="2892" t="s">
        <v>3063</v>
      </c>
      <c r="X106" s="2892" t="s">
        <v>3247</v>
      </c>
      <c r="Y106" s="2892" t="s">
        <v>3248</v>
      </c>
      <c r="Z106" s="2892" t="s">
        <v>3249</v>
      </c>
      <c r="AA106" s="2892" t="s">
        <v>3249</v>
      </c>
      <c r="AB106" s="2892" t="s">
        <v>3250</v>
      </c>
      <c r="AC106" s="2892" t="s">
        <v>3059</v>
      </c>
      <c r="AD106" s="2892" t="s">
        <v>3251</v>
      </c>
      <c r="AE106" s="2892">
        <v>56090</v>
      </c>
      <c r="AF106" s="2892">
        <v>112165</v>
      </c>
      <c r="AG106" s="2892">
        <v>112165</v>
      </c>
      <c r="AH106" s="2892">
        <v>1432.72</v>
      </c>
      <c r="AI106" s="2892">
        <v>1432.72</v>
      </c>
      <c r="AJ106" s="2892">
        <v>3114.6</v>
      </c>
      <c r="AK106" s="2892">
        <v>3114.61</v>
      </c>
      <c r="AL106" s="2892" t="s">
        <v>2817</v>
      </c>
      <c r="AM106" s="2892" t="s">
        <v>2817</v>
      </c>
      <c r="AN106" s="2892">
        <v>0</v>
      </c>
      <c r="AO106" s="2892" t="s">
        <v>3252</v>
      </c>
      <c r="AP106" s="2892" t="s">
        <v>2817</v>
      </c>
      <c r="AQ106" s="2892" t="s">
        <v>2817</v>
      </c>
      <c r="AR106" s="2892" t="s">
        <v>2817</v>
      </c>
      <c r="AS106" s="2892" t="s">
        <v>3117</v>
      </c>
    </row>
    <row r="107" spans="1:45" s="2892" customFormat="1">
      <c r="A107" s="2892" t="s">
        <v>3253</v>
      </c>
      <c r="B107" s="2892" t="s">
        <v>3055</v>
      </c>
      <c r="C107" s="2892" t="s">
        <v>3056</v>
      </c>
      <c r="D107" s="2892" t="s">
        <v>3074</v>
      </c>
      <c r="E107" s="2892" t="s">
        <v>2817</v>
      </c>
      <c r="F107" s="2892" t="s">
        <v>3253</v>
      </c>
      <c r="G107" s="2892" t="s">
        <v>3057</v>
      </c>
      <c r="H107" s="2892" t="s">
        <v>3254</v>
      </c>
      <c r="I107" s="2892" t="s">
        <v>3062</v>
      </c>
      <c r="J107" s="2892">
        <v>10914.37</v>
      </c>
      <c r="K107" s="2892">
        <v>32743.11</v>
      </c>
      <c r="L107" s="2892" t="s">
        <v>3255</v>
      </c>
      <c r="M107" s="2892" t="s">
        <v>2817</v>
      </c>
      <c r="N107" s="2892" t="s">
        <v>3078</v>
      </c>
      <c r="O107" s="2892" t="s">
        <v>3256</v>
      </c>
      <c r="P107" s="2892" t="s">
        <v>2817</v>
      </c>
      <c r="Q107" s="2892" t="s">
        <v>2817</v>
      </c>
      <c r="R107" s="2892" t="s">
        <v>2817</v>
      </c>
      <c r="S107" s="2892" t="s">
        <v>2817</v>
      </c>
      <c r="T107" s="2892" t="s">
        <v>2817</v>
      </c>
      <c r="U107" s="2892" t="s">
        <v>2817</v>
      </c>
      <c r="V107" s="2892" t="s">
        <v>2817</v>
      </c>
      <c r="W107" s="2892" t="s">
        <v>3063</v>
      </c>
      <c r="X107" s="2892" t="s">
        <v>3257</v>
      </c>
      <c r="Y107" s="2892" t="s">
        <v>3064</v>
      </c>
      <c r="Z107" s="2892" t="s">
        <v>3258</v>
      </c>
      <c r="AA107" s="2892" t="s">
        <v>3258</v>
      </c>
      <c r="AB107" s="2892" t="s">
        <v>3259</v>
      </c>
      <c r="AC107" s="2892" t="s">
        <v>3059</v>
      </c>
      <c r="AD107" s="2892" t="s">
        <v>3097</v>
      </c>
      <c r="AE107" s="2892">
        <v>5179</v>
      </c>
      <c r="AF107" s="2892">
        <v>10358</v>
      </c>
      <c r="AG107" s="2892">
        <v>10358</v>
      </c>
      <c r="AH107" s="2892">
        <v>632.67999999999995</v>
      </c>
      <c r="AI107" s="2892">
        <v>632.67999999999995</v>
      </c>
      <c r="AJ107" s="2892">
        <v>3163.41</v>
      </c>
      <c r="AK107" s="2892">
        <v>3163.4</v>
      </c>
      <c r="AL107" s="2892" t="s">
        <v>2817</v>
      </c>
      <c r="AM107" s="2892" t="s">
        <v>2817</v>
      </c>
      <c r="AN107" s="2892">
        <v>0</v>
      </c>
      <c r="AO107" s="2892" t="s">
        <v>3060</v>
      </c>
      <c r="AP107" s="2892" t="s">
        <v>2817</v>
      </c>
      <c r="AQ107" s="2892" t="s">
        <v>2817</v>
      </c>
      <c r="AR107" s="2892" t="s">
        <v>2817</v>
      </c>
      <c r="AS107" s="2892" t="s">
        <v>3086</v>
      </c>
    </row>
    <row r="108" spans="1:45" s="2892" customFormat="1">
      <c r="A108" s="2892" t="s">
        <v>3260</v>
      </c>
      <c r="B108" s="2892" t="s">
        <v>3055</v>
      </c>
      <c r="C108" s="2892" t="s">
        <v>3056</v>
      </c>
      <c r="D108" s="2892" t="s">
        <v>3074</v>
      </c>
      <c r="E108" s="2892" t="s">
        <v>2817</v>
      </c>
      <c r="F108" s="2892" t="s">
        <v>3260</v>
      </c>
      <c r="G108" s="2892" t="s">
        <v>3057</v>
      </c>
      <c r="H108" s="2892" t="s">
        <v>3261</v>
      </c>
      <c r="I108" s="2892" t="s">
        <v>3062</v>
      </c>
      <c r="J108" s="2892">
        <v>41309.620000000003</v>
      </c>
      <c r="K108" s="2892">
        <v>103274</v>
      </c>
      <c r="L108" s="2892" t="s">
        <v>3236</v>
      </c>
      <c r="M108" s="2892" t="s">
        <v>2817</v>
      </c>
      <c r="N108" s="2892" t="s">
        <v>3078</v>
      </c>
      <c r="O108" s="2892" t="s">
        <v>3262</v>
      </c>
      <c r="P108" s="2892" t="s">
        <v>2817</v>
      </c>
      <c r="Q108" s="2892" t="s">
        <v>2817</v>
      </c>
      <c r="R108" s="2892" t="s">
        <v>2817</v>
      </c>
      <c r="S108" s="2892" t="s">
        <v>2817</v>
      </c>
      <c r="T108" s="2892" t="s">
        <v>2817</v>
      </c>
      <c r="U108" s="2892" t="s">
        <v>2817</v>
      </c>
      <c r="V108" s="2892" t="s">
        <v>2817</v>
      </c>
      <c r="W108" s="2892" t="s">
        <v>3063</v>
      </c>
      <c r="X108" s="2892" t="s">
        <v>3257</v>
      </c>
      <c r="Y108" s="2892" t="s">
        <v>3064</v>
      </c>
      <c r="Z108" s="2892" t="s">
        <v>3258</v>
      </c>
      <c r="AA108" s="2892" t="s">
        <v>3258</v>
      </c>
      <c r="AB108" s="2892" t="s">
        <v>3259</v>
      </c>
      <c r="AC108" s="2892" t="s">
        <v>3059</v>
      </c>
      <c r="AD108" s="2892" t="s">
        <v>3097</v>
      </c>
      <c r="AE108" s="2892">
        <v>18668</v>
      </c>
      <c r="AF108" s="2892">
        <v>37336</v>
      </c>
      <c r="AG108" s="2892">
        <v>37336</v>
      </c>
      <c r="AH108" s="2892">
        <v>602.54</v>
      </c>
      <c r="AI108" s="2892">
        <v>602.54</v>
      </c>
      <c r="AJ108" s="2892">
        <v>3615.23</v>
      </c>
      <c r="AK108" s="2892">
        <v>3615.23</v>
      </c>
      <c r="AL108" s="2892" t="s">
        <v>2817</v>
      </c>
      <c r="AM108" s="2892" t="s">
        <v>2817</v>
      </c>
      <c r="AN108" s="2892">
        <v>0</v>
      </c>
      <c r="AO108" s="2892" t="s">
        <v>3060</v>
      </c>
      <c r="AP108" s="2892" t="s">
        <v>2817</v>
      </c>
      <c r="AQ108" s="2892" t="s">
        <v>2817</v>
      </c>
      <c r="AR108" s="2892" t="s">
        <v>2817</v>
      </c>
      <c r="AS108" s="2892" t="s">
        <v>3117</v>
      </c>
    </row>
    <row r="109" spans="1:45" s="2892" customFormat="1">
      <c r="A109" s="2892" t="s">
        <v>3263</v>
      </c>
      <c r="B109" s="2892" t="s">
        <v>3055</v>
      </c>
      <c r="C109" s="2892" t="s">
        <v>3056</v>
      </c>
      <c r="D109" s="2892" t="s">
        <v>3074</v>
      </c>
      <c r="E109" s="2892" t="s">
        <v>2817</v>
      </c>
      <c r="F109" s="2892" t="s">
        <v>3263</v>
      </c>
      <c r="G109" s="2892" t="s">
        <v>3057</v>
      </c>
      <c r="H109" s="2892" t="s">
        <v>3264</v>
      </c>
      <c r="I109" s="2892" t="s">
        <v>3062</v>
      </c>
      <c r="J109" s="2892">
        <v>44215.14</v>
      </c>
      <c r="K109" s="2892">
        <v>221075.7</v>
      </c>
      <c r="L109" s="2892" t="s">
        <v>3110</v>
      </c>
      <c r="M109" s="2892" t="s">
        <v>2817</v>
      </c>
      <c r="N109" s="2892" t="s">
        <v>3265</v>
      </c>
      <c r="O109" s="2892" t="s">
        <v>3200</v>
      </c>
      <c r="P109" s="2892" t="s">
        <v>2817</v>
      </c>
      <c r="Q109" s="2892" t="s">
        <v>2817</v>
      </c>
      <c r="R109" s="2892" t="s">
        <v>2817</v>
      </c>
      <c r="S109" s="2892" t="s">
        <v>2817</v>
      </c>
      <c r="T109" s="2892" t="s">
        <v>2817</v>
      </c>
      <c r="U109" s="2892" t="s">
        <v>2817</v>
      </c>
      <c r="V109" s="2892" t="s">
        <v>2817</v>
      </c>
      <c r="W109" s="2892" t="s">
        <v>3063</v>
      </c>
      <c r="X109" s="2892" t="s">
        <v>3266</v>
      </c>
      <c r="Y109" s="2892" t="s">
        <v>3267</v>
      </c>
      <c r="Z109" s="2892" t="s">
        <v>3268</v>
      </c>
      <c r="AA109" s="2892" t="s">
        <v>3268</v>
      </c>
      <c r="AB109" s="2892" t="s">
        <v>3269</v>
      </c>
      <c r="AC109" s="2892" t="s">
        <v>3059</v>
      </c>
      <c r="AD109" s="2892" t="s">
        <v>3270</v>
      </c>
      <c r="AE109" s="2892">
        <v>33150</v>
      </c>
      <c r="AF109" s="2892">
        <v>66300</v>
      </c>
      <c r="AG109" s="2892">
        <v>66300</v>
      </c>
      <c r="AH109" s="2892">
        <v>999.66</v>
      </c>
      <c r="AI109" s="2892">
        <v>999.66</v>
      </c>
      <c r="AJ109" s="2892">
        <v>2998.97</v>
      </c>
      <c r="AK109" s="2892">
        <v>2998.96</v>
      </c>
      <c r="AL109" s="2892" t="s">
        <v>2817</v>
      </c>
      <c r="AM109" s="2892" t="s">
        <v>2817</v>
      </c>
      <c r="AN109" s="2892">
        <v>0</v>
      </c>
      <c r="AO109" s="2892" t="s">
        <v>3060</v>
      </c>
      <c r="AP109" s="2892" t="s">
        <v>2817</v>
      </c>
      <c r="AQ109" s="2892" t="s">
        <v>2817</v>
      </c>
      <c r="AR109" s="2892" t="s">
        <v>2817</v>
      </c>
      <c r="AS109" s="2892" t="s">
        <v>3117</v>
      </c>
    </row>
    <row r="110" spans="1:45" s="2892" customFormat="1">
      <c r="A110" s="2892" t="s">
        <v>3271</v>
      </c>
      <c r="B110" s="2892" t="s">
        <v>3055</v>
      </c>
      <c r="C110" s="2892" t="s">
        <v>3071</v>
      </c>
      <c r="D110" s="2892" t="s">
        <v>3074</v>
      </c>
      <c r="E110" s="2892" t="s">
        <v>2817</v>
      </c>
      <c r="F110" s="2892" t="s">
        <v>3271</v>
      </c>
      <c r="G110" s="2892" t="s">
        <v>3057</v>
      </c>
      <c r="H110" s="2892" t="s">
        <v>3272</v>
      </c>
      <c r="I110" s="2892" t="s">
        <v>3273</v>
      </c>
      <c r="J110" s="2892">
        <v>12478.77</v>
      </c>
      <c r="K110" s="2892">
        <v>68633.240000000005</v>
      </c>
      <c r="L110" s="2892" t="s">
        <v>3274</v>
      </c>
      <c r="M110" s="2892" t="s">
        <v>2817</v>
      </c>
      <c r="N110" s="2892" t="s">
        <v>3132</v>
      </c>
      <c r="O110" s="2892" t="s">
        <v>3200</v>
      </c>
      <c r="P110" s="2892" t="s">
        <v>2817</v>
      </c>
      <c r="Q110" s="2892" t="s">
        <v>2817</v>
      </c>
      <c r="R110" s="2892" t="s">
        <v>2817</v>
      </c>
      <c r="S110" s="2892" t="s">
        <v>2817</v>
      </c>
      <c r="T110" s="2892" t="s">
        <v>2817</v>
      </c>
      <c r="U110" s="2892" t="s">
        <v>2817</v>
      </c>
      <c r="V110" s="2892" t="s">
        <v>2817</v>
      </c>
      <c r="W110" s="2892" t="s">
        <v>3063</v>
      </c>
      <c r="X110" s="2892" t="s">
        <v>3275</v>
      </c>
      <c r="Y110" s="2892" t="s">
        <v>3276</v>
      </c>
      <c r="Z110" s="2892" t="s">
        <v>3277</v>
      </c>
      <c r="AA110" s="2892" t="s">
        <v>3277</v>
      </c>
      <c r="AB110" s="2892" t="s">
        <v>3278</v>
      </c>
      <c r="AC110" s="2892" t="s">
        <v>3059</v>
      </c>
      <c r="AD110" s="2892" t="s">
        <v>3279</v>
      </c>
      <c r="AE110" s="2892">
        <v>8500</v>
      </c>
      <c r="AF110" s="2892">
        <v>16904</v>
      </c>
      <c r="AG110" s="2892">
        <v>16904</v>
      </c>
      <c r="AH110" s="2892">
        <v>903.08</v>
      </c>
      <c r="AI110" s="2892">
        <v>903.08</v>
      </c>
      <c r="AJ110" s="2892">
        <v>2462.94</v>
      </c>
      <c r="AK110" s="2892">
        <v>2462.94</v>
      </c>
      <c r="AL110" s="2892" t="s">
        <v>2817</v>
      </c>
      <c r="AM110" s="2892" t="s">
        <v>2817</v>
      </c>
      <c r="AN110" s="2892">
        <v>0</v>
      </c>
      <c r="AO110" s="2892" t="s">
        <v>3252</v>
      </c>
      <c r="AP110" s="2892" t="s">
        <v>2817</v>
      </c>
      <c r="AQ110" s="2892" t="s">
        <v>2817</v>
      </c>
      <c r="AR110" s="2892" t="s">
        <v>2817</v>
      </c>
      <c r="AS110" s="2892" t="s">
        <v>3117</v>
      </c>
    </row>
    <row r="111" spans="1:45" s="2892" customFormat="1">
      <c r="A111" s="2892" t="s">
        <v>3601</v>
      </c>
      <c r="B111" s="2892" t="s">
        <v>3055</v>
      </c>
      <c r="C111" s="2892" t="s">
        <v>3056</v>
      </c>
      <c r="D111" s="2892" t="s">
        <v>3382</v>
      </c>
      <c r="E111" s="2892" t="s">
        <v>2817</v>
      </c>
      <c r="F111" s="2892" t="s">
        <v>3601</v>
      </c>
      <c r="G111" s="2892" t="s">
        <v>3057</v>
      </c>
      <c r="H111" s="2892" t="s">
        <v>3602</v>
      </c>
      <c r="I111" s="2892" t="s">
        <v>3166</v>
      </c>
      <c r="J111" s="2892">
        <v>83616.100000000006</v>
      </c>
      <c r="K111" s="2892">
        <v>209040.3</v>
      </c>
      <c r="L111" s="2892" t="s">
        <v>3236</v>
      </c>
      <c r="M111" s="2892" t="s">
        <v>2817</v>
      </c>
      <c r="N111" s="2892" t="s">
        <v>3078</v>
      </c>
      <c r="O111" s="2892" t="s">
        <v>3416</v>
      </c>
      <c r="P111" s="2892" t="s">
        <v>2817</v>
      </c>
      <c r="Q111" s="2892" t="s">
        <v>2817</v>
      </c>
      <c r="R111" s="2892" t="s">
        <v>2817</v>
      </c>
      <c r="S111" s="2892" t="s">
        <v>2817</v>
      </c>
      <c r="T111" s="2892" t="s">
        <v>3603</v>
      </c>
      <c r="U111" s="2892" t="s">
        <v>2817</v>
      </c>
      <c r="V111" s="2892" t="s">
        <v>2817</v>
      </c>
      <c r="W111" s="2892" t="s">
        <v>3063</v>
      </c>
      <c r="X111" s="2892" t="s">
        <v>3604</v>
      </c>
      <c r="Y111" s="2892" t="s">
        <v>3605</v>
      </c>
      <c r="Z111" s="2892" t="s">
        <v>3606</v>
      </c>
      <c r="AA111" s="2892" t="s">
        <v>3606</v>
      </c>
      <c r="AB111" s="2892" t="s">
        <v>3607</v>
      </c>
      <c r="AC111" s="2892" t="s">
        <v>3059</v>
      </c>
      <c r="AD111" s="2892" t="s">
        <v>3388</v>
      </c>
      <c r="AE111" s="2892">
        <v>27117</v>
      </c>
      <c r="AF111" s="2892">
        <v>54234</v>
      </c>
      <c r="AG111" s="2892">
        <v>54234</v>
      </c>
      <c r="AH111" s="2892">
        <v>432.4</v>
      </c>
      <c r="AI111" s="2892">
        <v>432.4</v>
      </c>
      <c r="AJ111" s="2892">
        <v>2594.42</v>
      </c>
      <c r="AK111" s="2892">
        <v>2594.42</v>
      </c>
      <c r="AL111" s="2892" t="s">
        <v>2817</v>
      </c>
      <c r="AM111" s="2892" t="s">
        <v>2817</v>
      </c>
      <c r="AN111" s="2892">
        <v>0</v>
      </c>
      <c r="AO111" s="2892">
        <v>70</v>
      </c>
      <c r="AP111" s="2892" t="s">
        <v>2817</v>
      </c>
      <c r="AQ111" s="2892" t="s">
        <v>2817</v>
      </c>
      <c r="AR111" s="2892" t="s">
        <v>2817</v>
      </c>
      <c r="AS111" s="2892" t="s">
        <v>3086</v>
      </c>
    </row>
    <row r="112" spans="1:45" s="2892" customFormat="1">
      <c r="A112" s="2892" t="s">
        <v>3608</v>
      </c>
      <c r="B112" s="2892" t="s">
        <v>3055</v>
      </c>
      <c r="C112" s="2892" t="s">
        <v>3056</v>
      </c>
      <c r="D112" s="2892" t="s">
        <v>3382</v>
      </c>
      <c r="E112" s="2892" t="s">
        <v>2817</v>
      </c>
      <c r="F112" s="2892" t="s">
        <v>3608</v>
      </c>
      <c r="G112" s="2892" t="s">
        <v>3057</v>
      </c>
      <c r="H112" s="2892" t="s">
        <v>3609</v>
      </c>
      <c r="I112" s="2892" t="s">
        <v>3166</v>
      </c>
      <c r="J112" s="2892">
        <v>38382.239999999998</v>
      </c>
      <c r="K112" s="2892">
        <v>95955.6</v>
      </c>
      <c r="L112" s="2892" t="s">
        <v>3236</v>
      </c>
      <c r="M112" s="2892" t="s">
        <v>2817</v>
      </c>
      <c r="N112" s="2892" t="s">
        <v>3078</v>
      </c>
      <c r="O112" s="2892" t="s">
        <v>3610</v>
      </c>
      <c r="P112" s="2892" t="s">
        <v>2817</v>
      </c>
      <c r="Q112" s="2892" t="s">
        <v>2817</v>
      </c>
      <c r="R112" s="2892" t="s">
        <v>2817</v>
      </c>
      <c r="S112" s="2892" t="s">
        <v>2817</v>
      </c>
      <c r="T112" s="2892" t="s">
        <v>3092</v>
      </c>
      <c r="U112" s="2892" t="s">
        <v>2817</v>
      </c>
      <c r="V112" s="2892" t="s">
        <v>2817</v>
      </c>
      <c r="W112" s="2892" t="s">
        <v>3063</v>
      </c>
      <c r="X112" s="2892" t="s">
        <v>3604</v>
      </c>
      <c r="Y112" s="2892" t="s">
        <v>3605</v>
      </c>
      <c r="Z112" s="2892" t="s">
        <v>3606</v>
      </c>
      <c r="AA112" s="2892" t="s">
        <v>3606</v>
      </c>
      <c r="AB112" s="2892" t="s">
        <v>3607</v>
      </c>
      <c r="AC112" s="2892" t="s">
        <v>3059</v>
      </c>
      <c r="AD112" s="2892" t="s">
        <v>3388</v>
      </c>
      <c r="AE112" s="2892">
        <v>12442</v>
      </c>
      <c r="AF112" s="2892">
        <v>24884</v>
      </c>
      <c r="AG112" s="2892">
        <v>24884</v>
      </c>
      <c r="AH112" s="2892">
        <v>432.21</v>
      </c>
      <c r="AI112" s="2892">
        <v>432.21</v>
      </c>
      <c r="AJ112" s="2892">
        <v>2593.2800000000002</v>
      </c>
      <c r="AK112" s="2892">
        <v>2593.2800000000002</v>
      </c>
      <c r="AL112" s="2892" t="s">
        <v>2817</v>
      </c>
      <c r="AM112" s="2892" t="s">
        <v>2817</v>
      </c>
      <c r="AN112" s="2892">
        <v>0</v>
      </c>
      <c r="AO112" s="2892">
        <v>70</v>
      </c>
      <c r="AP112" s="2892" t="s">
        <v>2817</v>
      </c>
      <c r="AQ112" s="2892" t="s">
        <v>2817</v>
      </c>
      <c r="AR112" s="2892" t="s">
        <v>2817</v>
      </c>
      <c r="AS112" s="2892" t="s">
        <v>3086</v>
      </c>
    </row>
    <row r="113" spans="1:45" s="2892" customFormat="1">
      <c r="A113" s="2892" t="s">
        <v>3611</v>
      </c>
      <c r="B113" s="2892" t="s">
        <v>3055</v>
      </c>
      <c r="C113" s="2892" t="s">
        <v>3056</v>
      </c>
      <c r="D113" s="2892" t="s">
        <v>3382</v>
      </c>
      <c r="E113" s="2892" t="s">
        <v>2817</v>
      </c>
      <c r="F113" s="2892" t="s">
        <v>3611</v>
      </c>
      <c r="G113" s="2892" t="s">
        <v>3057</v>
      </c>
      <c r="H113" s="2892" t="s">
        <v>3612</v>
      </c>
      <c r="I113" s="2892" t="s">
        <v>3166</v>
      </c>
      <c r="J113" s="2892">
        <v>41388.57</v>
      </c>
      <c r="K113" s="2892">
        <v>103471.43</v>
      </c>
      <c r="L113" s="2892" t="s">
        <v>3236</v>
      </c>
      <c r="M113" s="2892" t="s">
        <v>2817</v>
      </c>
      <c r="N113" s="2892" t="s">
        <v>3078</v>
      </c>
      <c r="O113" s="2892" t="s">
        <v>3610</v>
      </c>
      <c r="P113" s="2892" t="s">
        <v>2817</v>
      </c>
      <c r="Q113" s="2892" t="s">
        <v>2817</v>
      </c>
      <c r="R113" s="2892" t="s">
        <v>2817</v>
      </c>
      <c r="S113" s="2892" t="s">
        <v>2817</v>
      </c>
      <c r="T113" s="2892" t="s">
        <v>2817</v>
      </c>
      <c r="U113" s="2892" t="s">
        <v>2817</v>
      </c>
      <c r="V113" s="2892" t="s">
        <v>2817</v>
      </c>
      <c r="W113" s="2892" t="s">
        <v>3063</v>
      </c>
      <c r="X113" s="2892" t="s">
        <v>3604</v>
      </c>
      <c r="Y113" s="2892" t="s">
        <v>3605</v>
      </c>
      <c r="Z113" s="2892" t="s">
        <v>3606</v>
      </c>
      <c r="AA113" s="2892" t="s">
        <v>3606</v>
      </c>
      <c r="AB113" s="2892" t="s">
        <v>3607</v>
      </c>
      <c r="AC113" s="2892" t="s">
        <v>3059</v>
      </c>
      <c r="AD113" s="2892" t="s">
        <v>3388</v>
      </c>
      <c r="AE113" s="2892">
        <v>13417</v>
      </c>
      <c r="AF113" s="2892">
        <v>26833</v>
      </c>
      <c r="AG113" s="2892">
        <v>26833</v>
      </c>
      <c r="AH113" s="2892">
        <v>432.21</v>
      </c>
      <c r="AI113" s="2892">
        <v>432.21</v>
      </c>
      <c r="AJ113" s="2892">
        <v>2593.27</v>
      </c>
      <c r="AK113" s="2892">
        <v>2593.2800000000002</v>
      </c>
      <c r="AL113" s="2892" t="s">
        <v>2817</v>
      </c>
      <c r="AM113" s="2892" t="s">
        <v>2817</v>
      </c>
      <c r="AN113" s="2892">
        <v>0</v>
      </c>
      <c r="AO113" s="2892">
        <v>70</v>
      </c>
      <c r="AP113" s="2892" t="s">
        <v>2817</v>
      </c>
      <c r="AQ113" s="2892" t="s">
        <v>2817</v>
      </c>
      <c r="AR113" s="2892" t="s">
        <v>2817</v>
      </c>
      <c r="AS113" s="2892" t="s">
        <v>3086</v>
      </c>
    </row>
    <row r="114" spans="1:45" s="2892" customFormat="1">
      <c r="A114" s="2892" t="s">
        <v>3613</v>
      </c>
      <c r="B114" s="2892" t="s">
        <v>3055</v>
      </c>
      <c r="C114" s="2892" t="s">
        <v>3056</v>
      </c>
      <c r="D114" s="2892" t="s">
        <v>3382</v>
      </c>
      <c r="E114" s="2892" t="s">
        <v>2817</v>
      </c>
      <c r="F114" s="2892" t="s">
        <v>3613</v>
      </c>
      <c r="G114" s="2892" t="s">
        <v>3057</v>
      </c>
      <c r="H114" s="2892" t="s">
        <v>3614</v>
      </c>
      <c r="I114" s="2892" t="s">
        <v>3166</v>
      </c>
      <c r="J114" s="2892">
        <v>27787.11</v>
      </c>
      <c r="K114" s="2892">
        <v>86140.04</v>
      </c>
      <c r="L114" s="2892" t="s">
        <v>3615</v>
      </c>
      <c r="M114" s="2892" t="s">
        <v>2817</v>
      </c>
      <c r="N114" s="2892" t="s">
        <v>3309</v>
      </c>
      <c r="O114" s="2892" t="s">
        <v>3610</v>
      </c>
      <c r="P114" s="2892" t="s">
        <v>2817</v>
      </c>
      <c r="Q114" s="2892" t="s">
        <v>2817</v>
      </c>
      <c r="R114" s="2892" t="s">
        <v>2817</v>
      </c>
      <c r="S114" s="2892" t="s">
        <v>2817</v>
      </c>
      <c r="T114" s="2892" t="s">
        <v>3092</v>
      </c>
      <c r="U114" s="2892" t="s">
        <v>2817</v>
      </c>
      <c r="V114" s="2892" t="s">
        <v>2817</v>
      </c>
      <c r="W114" s="2892" t="s">
        <v>3063</v>
      </c>
      <c r="X114" s="2892" t="s">
        <v>3604</v>
      </c>
      <c r="Y114" s="2892" t="s">
        <v>3605</v>
      </c>
      <c r="Z114" s="2892" t="s">
        <v>3606</v>
      </c>
      <c r="AA114" s="2892" t="s">
        <v>3606</v>
      </c>
      <c r="AB114" s="2892" t="s">
        <v>3607</v>
      </c>
      <c r="AC114" s="2892" t="s">
        <v>3059</v>
      </c>
      <c r="AD114" s="2892" t="s">
        <v>3388</v>
      </c>
      <c r="AE114" s="2892">
        <v>9657</v>
      </c>
      <c r="AF114" s="2892">
        <v>19313</v>
      </c>
      <c r="AG114" s="2892">
        <v>19313</v>
      </c>
      <c r="AH114" s="2892">
        <v>463.36</v>
      </c>
      <c r="AI114" s="2892">
        <v>463.36</v>
      </c>
      <c r="AJ114" s="2892">
        <v>2242.04</v>
      </c>
      <c r="AK114" s="2892">
        <v>2242.0500000000002</v>
      </c>
      <c r="AL114" s="2892" t="s">
        <v>2817</v>
      </c>
      <c r="AM114" s="2892" t="s">
        <v>2817</v>
      </c>
      <c r="AN114" s="2892">
        <v>0</v>
      </c>
      <c r="AO114" s="2892">
        <v>70</v>
      </c>
      <c r="AP114" s="2892" t="s">
        <v>2817</v>
      </c>
      <c r="AQ114" s="2892" t="s">
        <v>2817</v>
      </c>
      <c r="AR114" s="2892" t="s">
        <v>2817</v>
      </c>
      <c r="AS114" s="2892" t="s">
        <v>3086</v>
      </c>
    </row>
    <row r="115" spans="1:45" s="2892" customFormat="1">
      <c r="A115" s="2892" t="s">
        <v>3280</v>
      </c>
      <c r="B115" s="2892" t="s">
        <v>3055</v>
      </c>
      <c r="C115" s="2892" t="s">
        <v>3056</v>
      </c>
      <c r="D115" s="2892" t="s">
        <v>3074</v>
      </c>
      <c r="E115" s="2892" t="s">
        <v>2817</v>
      </c>
      <c r="F115" s="2892" t="s">
        <v>3280</v>
      </c>
      <c r="G115" s="2892" t="s">
        <v>3057</v>
      </c>
      <c r="H115" s="2892" t="s">
        <v>3281</v>
      </c>
      <c r="I115" s="2892" t="s">
        <v>3062</v>
      </c>
      <c r="J115" s="2892">
        <v>28708.29</v>
      </c>
      <c r="K115" s="2892">
        <v>86124.87</v>
      </c>
      <c r="L115" s="2892" t="s">
        <v>3255</v>
      </c>
      <c r="M115" s="2892" t="s">
        <v>2817</v>
      </c>
      <c r="N115" s="2892" t="s">
        <v>3078</v>
      </c>
      <c r="O115" s="2892" t="s">
        <v>3200</v>
      </c>
      <c r="P115" s="2892" t="s">
        <v>2817</v>
      </c>
      <c r="Q115" s="2892" t="s">
        <v>2817</v>
      </c>
      <c r="R115" s="2892" t="s">
        <v>2817</v>
      </c>
      <c r="S115" s="2892" t="s">
        <v>2817</v>
      </c>
      <c r="T115" s="2892" t="s">
        <v>2817</v>
      </c>
      <c r="U115" s="2892" t="s">
        <v>2817</v>
      </c>
      <c r="V115" s="2892" t="s">
        <v>2817</v>
      </c>
      <c r="W115" s="2892" t="s">
        <v>3063</v>
      </c>
      <c r="X115" s="2892" t="s">
        <v>3282</v>
      </c>
      <c r="Y115" s="2892" t="s">
        <v>3283</v>
      </c>
      <c r="Z115" s="2892" t="s">
        <v>3284</v>
      </c>
      <c r="AA115" s="2892" t="s">
        <v>3284</v>
      </c>
      <c r="AB115" s="2892" t="s">
        <v>3285</v>
      </c>
      <c r="AC115" s="2892" t="s">
        <v>3059</v>
      </c>
      <c r="AD115" s="2892" t="s">
        <v>3286</v>
      </c>
      <c r="AE115" s="2892">
        <v>11604</v>
      </c>
      <c r="AF115" s="2892">
        <v>23208</v>
      </c>
      <c r="AG115" s="2892">
        <v>23208</v>
      </c>
      <c r="AH115" s="2892">
        <v>538.94000000000005</v>
      </c>
      <c r="AI115" s="2892">
        <v>538.94000000000005</v>
      </c>
      <c r="AJ115" s="2892">
        <v>2694.69</v>
      </c>
      <c r="AK115" s="2892">
        <v>2694.69</v>
      </c>
      <c r="AL115" s="2892" t="s">
        <v>2817</v>
      </c>
      <c r="AM115" s="2892" t="s">
        <v>2817</v>
      </c>
      <c r="AN115" s="2892">
        <v>0</v>
      </c>
      <c r="AO115" s="2892" t="s">
        <v>3060</v>
      </c>
      <c r="AP115" s="2892" t="s">
        <v>2817</v>
      </c>
      <c r="AQ115" s="2892" t="s">
        <v>2817</v>
      </c>
      <c r="AR115" s="2892" t="s">
        <v>2817</v>
      </c>
      <c r="AS115" s="2892" t="s">
        <v>3146</v>
      </c>
    </row>
    <row r="116" spans="1:45" s="2892" customFormat="1">
      <c r="A116" s="2892" t="s">
        <v>3287</v>
      </c>
      <c r="B116" s="2892" t="s">
        <v>3055</v>
      </c>
      <c r="C116" s="2892" t="s">
        <v>3056</v>
      </c>
      <c r="D116" s="2892" t="s">
        <v>3074</v>
      </c>
      <c r="E116" s="2892" t="s">
        <v>2817</v>
      </c>
      <c r="F116" s="2892" t="s">
        <v>3287</v>
      </c>
      <c r="G116" s="2892" t="s">
        <v>3057</v>
      </c>
      <c r="H116" s="2892" t="s">
        <v>3288</v>
      </c>
      <c r="I116" s="2892" t="s">
        <v>3056</v>
      </c>
      <c r="J116" s="2892">
        <v>52314.14</v>
      </c>
      <c r="K116" s="2892">
        <v>125553.9</v>
      </c>
      <c r="L116" s="2892" t="s">
        <v>3289</v>
      </c>
      <c r="M116" s="2892" t="s">
        <v>2817</v>
      </c>
      <c r="N116" s="2892" t="s">
        <v>3078</v>
      </c>
      <c r="O116" s="2892" t="s">
        <v>3290</v>
      </c>
      <c r="P116" s="2892" t="s">
        <v>2817</v>
      </c>
      <c r="Q116" s="2892" t="s">
        <v>2817</v>
      </c>
      <c r="R116" s="2892" t="s">
        <v>2817</v>
      </c>
      <c r="S116" s="2892" t="s">
        <v>2817</v>
      </c>
      <c r="T116" s="2892" t="s">
        <v>3092</v>
      </c>
      <c r="U116" s="2892" t="s">
        <v>2817</v>
      </c>
      <c r="V116" s="2892" t="s">
        <v>2817</v>
      </c>
      <c r="W116" s="2892" t="s">
        <v>3063</v>
      </c>
      <c r="X116" s="2892" t="s">
        <v>3291</v>
      </c>
      <c r="Y116" s="2892" t="s">
        <v>3292</v>
      </c>
      <c r="Z116" s="2892" t="s">
        <v>3293</v>
      </c>
      <c r="AA116" s="2892" t="s">
        <v>3293</v>
      </c>
      <c r="AB116" s="2892" t="s">
        <v>3294</v>
      </c>
      <c r="AC116" s="2892" t="s">
        <v>3059</v>
      </c>
      <c r="AD116" s="2892" t="s">
        <v>3154</v>
      </c>
      <c r="AE116" s="2892">
        <v>19200</v>
      </c>
      <c r="AF116" s="2892">
        <v>38237</v>
      </c>
      <c r="AG116" s="2892">
        <v>38237</v>
      </c>
      <c r="AH116" s="2892">
        <v>487.27</v>
      </c>
      <c r="AI116" s="2892">
        <v>487.27</v>
      </c>
      <c r="AJ116" s="2892">
        <v>3045.46</v>
      </c>
      <c r="AK116" s="2892">
        <v>3045.46</v>
      </c>
      <c r="AL116" s="2892" t="s">
        <v>2817</v>
      </c>
      <c r="AM116" s="2892" t="s">
        <v>2817</v>
      </c>
      <c r="AN116" s="2892">
        <v>0</v>
      </c>
      <c r="AO116" s="2892" t="s">
        <v>3295</v>
      </c>
      <c r="AP116" s="2892" t="s">
        <v>2817</v>
      </c>
      <c r="AQ116" s="2892" t="s">
        <v>2817</v>
      </c>
      <c r="AR116" s="2892" t="s">
        <v>2817</v>
      </c>
      <c r="AS116" s="2892" t="s">
        <v>3117</v>
      </c>
    </row>
    <row r="117" spans="1:45" s="2892" customFormat="1">
      <c r="A117" s="2892" t="s">
        <v>3147</v>
      </c>
      <c r="B117" s="2892" t="s">
        <v>3055</v>
      </c>
      <c r="C117" s="2892" t="s">
        <v>3056</v>
      </c>
      <c r="D117" s="2892" t="s">
        <v>3074</v>
      </c>
      <c r="E117" s="2892" t="s">
        <v>2817</v>
      </c>
      <c r="F117" s="2892" t="s">
        <v>3147</v>
      </c>
      <c r="G117" s="2892" t="s">
        <v>3057</v>
      </c>
      <c r="H117" s="2892" t="s">
        <v>3296</v>
      </c>
      <c r="I117" s="2892" t="s">
        <v>3056</v>
      </c>
      <c r="J117" s="2892">
        <v>53127.33</v>
      </c>
      <c r="K117" s="2892">
        <v>132818.29999999999</v>
      </c>
      <c r="L117" s="2892" t="s">
        <v>3297</v>
      </c>
      <c r="M117" s="2892" t="s">
        <v>2817</v>
      </c>
      <c r="N117" s="2892" t="s">
        <v>3078</v>
      </c>
      <c r="O117" s="2892" t="s">
        <v>3298</v>
      </c>
      <c r="P117" s="2892" t="s">
        <v>2817</v>
      </c>
      <c r="Q117" s="2892" t="s">
        <v>2817</v>
      </c>
      <c r="R117" s="2892" t="s">
        <v>2817</v>
      </c>
      <c r="S117" s="2892" t="s">
        <v>2817</v>
      </c>
      <c r="T117" s="2892" t="s">
        <v>3092</v>
      </c>
      <c r="U117" s="2892" t="s">
        <v>2817</v>
      </c>
      <c r="V117" s="2892" t="s">
        <v>2817</v>
      </c>
      <c r="W117" s="2892" t="s">
        <v>3063</v>
      </c>
      <c r="X117" s="2892" t="s">
        <v>3291</v>
      </c>
      <c r="Y117" s="2892" t="s">
        <v>3292</v>
      </c>
      <c r="Z117" s="2892" t="s">
        <v>3293</v>
      </c>
      <c r="AA117" s="2892" t="s">
        <v>3293</v>
      </c>
      <c r="AB117" s="2892" t="s">
        <v>3299</v>
      </c>
      <c r="AC117" s="2892" t="s">
        <v>3059</v>
      </c>
      <c r="AD117" s="2892" t="s">
        <v>3154</v>
      </c>
      <c r="AE117" s="2892">
        <v>19630</v>
      </c>
      <c r="AF117" s="2892">
        <v>39251</v>
      </c>
      <c r="AG117" s="2892">
        <v>39251</v>
      </c>
      <c r="AH117" s="2892">
        <v>492.54</v>
      </c>
      <c r="AI117" s="2892">
        <v>492.54</v>
      </c>
      <c r="AJ117" s="2892">
        <v>2955.24</v>
      </c>
      <c r="AK117" s="2892">
        <v>2955.23</v>
      </c>
      <c r="AL117" s="2892" t="s">
        <v>2817</v>
      </c>
      <c r="AM117" s="2892" t="s">
        <v>2817</v>
      </c>
      <c r="AN117" s="2892">
        <v>0</v>
      </c>
      <c r="AO117" s="2892" t="s">
        <v>3295</v>
      </c>
      <c r="AP117" s="2892" t="s">
        <v>2817</v>
      </c>
      <c r="AQ117" s="2892" t="s">
        <v>2817</v>
      </c>
      <c r="AR117" s="2892" t="s">
        <v>2817</v>
      </c>
      <c r="AS117" s="2892" t="s">
        <v>3086</v>
      </c>
    </row>
    <row r="118" spans="1:45" s="2892" customFormat="1">
      <c r="A118" s="2892" t="s">
        <v>3300</v>
      </c>
      <c r="B118" s="2892" t="s">
        <v>3055</v>
      </c>
      <c r="C118" s="2892" t="s">
        <v>3056</v>
      </c>
      <c r="D118" s="2892" t="s">
        <v>3074</v>
      </c>
      <c r="E118" s="2892" t="s">
        <v>2817</v>
      </c>
      <c r="F118" s="2892" t="s">
        <v>3300</v>
      </c>
      <c r="G118" s="2892" t="s">
        <v>3057</v>
      </c>
      <c r="H118" s="2892" t="s">
        <v>3301</v>
      </c>
      <c r="I118" s="2892" t="s">
        <v>2817</v>
      </c>
      <c r="J118" s="2892">
        <v>6369.26</v>
      </c>
      <c r="K118" s="2892">
        <v>31846.3</v>
      </c>
      <c r="L118" s="2892" t="s">
        <v>3110</v>
      </c>
      <c r="M118" s="2892" t="s">
        <v>2817</v>
      </c>
      <c r="N118" s="2892" t="s">
        <v>3302</v>
      </c>
      <c r="O118" s="2892" t="s">
        <v>3303</v>
      </c>
      <c r="P118" s="2892" t="s">
        <v>2817</v>
      </c>
      <c r="Q118" s="2892" t="s">
        <v>2817</v>
      </c>
      <c r="R118" s="2892" t="s">
        <v>2817</v>
      </c>
      <c r="S118" s="2892" t="s">
        <v>2817</v>
      </c>
      <c r="T118" s="2892" t="s">
        <v>2817</v>
      </c>
      <c r="U118" s="2892" t="s">
        <v>2817</v>
      </c>
      <c r="V118" s="2892" t="s">
        <v>2817</v>
      </c>
      <c r="W118" s="2892" t="s">
        <v>3063</v>
      </c>
      <c r="X118" s="2892" t="s">
        <v>3304</v>
      </c>
      <c r="Y118" s="2892" t="s">
        <v>3305</v>
      </c>
      <c r="Z118" s="2892" t="s">
        <v>3282</v>
      </c>
      <c r="AA118" s="2892" t="s">
        <v>3282</v>
      </c>
      <c r="AB118" s="2892" t="s">
        <v>3306</v>
      </c>
      <c r="AC118" s="2892" t="s">
        <v>3059</v>
      </c>
      <c r="AD118" s="2892" t="s">
        <v>3251</v>
      </c>
      <c r="AE118" s="2892">
        <v>5982</v>
      </c>
      <c r="AF118" s="2892">
        <v>11963</v>
      </c>
      <c r="AG118" s="2892">
        <v>11963</v>
      </c>
      <c r="AH118" s="2892">
        <v>1252.1600000000001</v>
      </c>
      <c r="AI118" s="2892">
        <v>1252.1600000000001</v>
      </c>
      <c r="AJ118" s="2892">
        <v>3756.48</v>
      </c>
      <c r="AK118" s="2892">
        <v>3756.48</v>
      </c>
      <c r="AL118" s="2892" t="s">
        <v>2817</v>
      </c>
      <c r="AM118" s="2892" t="s">
        <v>2817</v>
      </c>
      <c r="AN118" s="2892">
        <v>0</v>
      </c>
      <c r="AO118" s="2892" t="s">
        <v>3060</v>
      </c>
      <c r="AP118" s="2892" t="s">
        <v>2817</v>
      </c>
      <c r="AQ118" s="2892" t="s">
        <v>2817</v>
      </c>
      <c r="AR118" s="2892" t="s">
        <v>2817</v>
      </c>
      <c r="AS118" s="2892" t="s">
        <v>3117</v>
      </c>
    </row>
    <row r="119" spans="1:45" s="2892" customFormat="1">
      <c r="A119" s="2892" t="s">
        <v>3616</v>
      </c>
      <c r="B119" s="2892" t="s">
        <v>3055</v>
      </c>
      <c r="C119" s="2892" t="s">
        <v>3056</v>
      </c>
      <c r="D119" s="2892" t="s">
        <v>3468</v>
      </c>
      <c r="E119" s="2892" t="s">
        <v>2817</v>
      </c>
      <c r="F119" s="2892" t="s">
        <v>3616</v>
      </c>
      <c r="G119" s="2892" t="s">
        <v>3057</v>
      </c>
      <c r="H119" s="2892" t="s">
        <v>3617</v>
      </c>
      <c r="I119" s="2892" t="s">
        <v>3062</v>
      </c>
      <c r="J119" s="2892">
        <v>15608.55</v>
      </c>
      <c r="K119" s="2892">
        <v>25598.02</v>
      </c>
      <c r="L119" s="2892" t="s">
        <v>3618</v>
      </c>
      <c r="M119" s="2892" t="s">
        <v>2817</v>
      </c>
      <c r="N119" s="2892" t="s">
        <v>3132</v>
      </c>
      <c r="O119" s="2892" t="s">
        <v>3079</v>
      </c>
      <c r="P119" s="2892" t="s">
        <v>2817</v>
      </c>
      <c r="Q119" s="2892" t="s">
        <v>2817</v>
      </c>
      <c r="R119" s="2892" t="s">
        <v>2817</v>
      </c>
      <c r="S119" s="2892" t="s">
        <v>2817</v>
      </c>
      <c r="T119" s="2892" t="s">
        <v>2817</v>
      </c>
      <c r="U119" s="2892" t="s">
        <v>2817</v>
      </c>
      <c r="V119" s="2892" t="s">
        <v>2817</v>
      </c>
      <c r="W119" s="2892" t="s">
        <v>3063</v>
      </c>
      <c r="X119" s="2892" t="s">
        <v>3619</v>
      </c>
      <c r="Y119" s="2892" t="s">
        <v>3620</v>
      </c>
      <c r="Z119" s="2892" t="s">
        <v>3621</v>
      </c>
      <c r="AA119" s="2892" t="s">
        <v>3621</v>
      </c>
      <c r="AB119" s="2892" t="s">
        <v>3622</v>
      </c>
      <c r="AC119" s="2892" t="s">
        <v>3059</v>
      </c>
      <c r="AD119" s="2892" t="s">
        <v>3623</v>
      </c>
      <c r="AE119" s="2892">
        <v>6022</v>
      </c>
      <c r="AF119" s="2892">
        <v>12044</v>
      </c>
      <c r="AG119" s="2892">
        <v>12044</v>
      </c>
      <c r="AH119" s="2892">
        <v>514.41999999999996</v>
      </c>
      <c r="AI119" s="2892">
        <v>514.41999999999996</v>
      </c>
      <c r="AJ119" s="2892">
        <v>4705.05</v>
      </c>
      <c r="AK119" s="2892">
        <v>4705.05</v>
      </c>
      <c r="AL119" s="2892" t="s">
        <v>2817</v>
      </c>
      <c r="AM119" s="2892" t="s">
        <v>2817</v>
      </c>
      <c r="AN119" s="2892">
        <v>0</v>
      </c>
      <c r="AO119" s="2892" t="s">
        <v>3060</v>
      </c>
      <c r="AP119" s="2892" t="s">
        <v>2817</v>
      </c>
      <c r="AQ119" s="2892" t="s">
        <v>2817</v>
      </c>
      <c r="AR119" s="2892" t="s">
        <v>2817</v>
      </c>
      <c r="AS119" s="2892" t="s">
        <v>3117</v>
      </c>
    </row>
    <row r="120" spans="1:45" s="2892" customFormat="1">
      <c r="A120" s="2892" t="s">
        <v>3624</v>
      </c>
      <c r="B120" s="2892" t="s">
        <v>3055</v>
      </c>
      <c r="C120" s="2892" t="s">
        <v>3056</v>
      </c>
      <c r="D120" s="2892" t="s">
        <v>3468</v>
      </c>
      <c r="E120" s="2892" t="s">
        <v>2817</v>
      </c>
      <c r="F120" s="2892" t="s">
        <v>3624</v>
      </c>
      <c r="G120" s="2892" t="s">
        <v>3057</v>
      </c>
      <c r="H120" s="2892" t="s">
        <v>3625</v>
      </c>
      <c r="I120" s="2892" t="s">
        <v>3062</v>
      </c>
      <c r="J120" s="2892">
        <v>50965.7</v>
      </c>
      <c r="K120" s="2892">
        <v>214055.9</v>
      </c>
      <c r="L120" s="2892" t="s">
        <v>3626</v>
      </c>
      <c r="M120" s="2892" t="s">
        <v>2817</v>
      </c>
      <c r="N120" s="2892" t="s">
        <v>3219</v>
      </c>
      <c r="O120" s="2892" t="s">
        <v>3627</v>
      </c>
      <c r="P120" s="2892" t="s">
        <v>2817</v>
      </c>
      <c r="Q120" s="2892" t="s">
        <v>2817</v>
      </c>
      <c r="R120" s="2892" t="s">
        <v>2817</v>
      </c>
      <c r="S120" s="2892" t="s">
        <v>2817</v>
      </c>
      <c r="T120" s="2892" t="s">
        <v>2817</v>
      </c>
      <c r="U120" s="2892" t="s">
        <v>2817</v>
      </c>
      <c r="V120" s="2892" t="s">
        <v>2817</v>
      </c>
      <c r="W120" s="2892" t="s">
        <v>3063</v>
      </c>
      <c r="X120" s="2892" t="s">
        <v>3310</v>
      </c>
      <c r="Y120" s="2892" t="s">
        <v>3311</v>
      </c>
      <c r="Z120" s="2892" t="s">
        <v>3312</v>
      </c>
      <c r="AA120" s="2892" t="s">
        <v>3312</v>
      </c>
      <c r="AB120" s="2892" t="s">
        <v>3628</v>
      </c>
      <c r="AC120" s="2892" t="s">
        <v>3059</v>
      </c>
      <c r="AD120" s="2892" t="s">
        <v>3629</v>
      </c>
      <c r="AE120" s="2892">
        <v>24938</v>
      </c>
      <c r="AF120" s="2892">
        <v>49876</v>
      </c>
      <c r="AG120" s="2892">
        <v>49876</v>
      </c>
      <c r="AH120" s="2892">
        <v>652.41</v>
      </c>
      <c r="AI120" s="2892">
        <v>652.41</v>
      </c>
      <c r="AJ120" s="2892">
        <v>2330.04</v>
      </c>
      <c r="AK120" s="2892">
        <v>2330.0500000000002</v>
      </c>
      <c r="AL120" s="2892" t="s">
        <v>2817</v>
      </c>
      <c r="AM120" s="2892" t="s">
        <v>2817</v>
      </c>
      <c r="AN120" s="2892">
        <v>0</v>
      </c>
      <c r="AO120" s="2892" t="s">
        <v>3060</v>
      </c>
      <c r="AP120" s="2892" t="s">
        <v>2817</v>
      </c>
      <c r="AQ120" s="2892" t="s">
        <v>2817</v>
      </c>
      <c r="AR120" s="2892" t="s">
        <v>2817</v>
      </c>
      <c r="AS120" s="2892" t="s">
        <v>3117</v>
      </c>
    </row>
    <row r="121" spans="1:45" s="2892" customFormat="1">
      <c r="A121" s="2892" t="s">
        <v>3300</v>
      </c>
      <c r="B121" s="2892" t="s">
        <v>3055</v>
      </c>
      <c r="C121" s="2892" t="s">
        <v>3056</v>
      </c>
      <c r="D121" s="2892" t="s">
        <v>3074</v>
      </c>
      <c r="E121" s="2892" t="s">
        <v>2817</v>
      </c>
      <c r="F121" s="2892" t="s">
        <v>3300</v>
      </c>
      <c r="G121" s="2892" t="s">
        <v>3057</v>
      </c>
      <c r="H121" s="2892" t="s">
        <v>3307</v>
      </c>
      <c r="I121" s="2892" t="s">
        <v>3062</v>
      </c>
      <c r="J121" s="2892">
        <v>5619.87</v>
      </c>
      <c r="K121" s="2892">
        <v>31471.27</v>
      </c>
      <c r="L121" s="2892" t="s">
        <v>3308</v>
      </c>
      <c r="M121" s="2892" t="s">
        <v>2817</v>
      </c>
      <c r="N121" s="2892" t="s">
        <v>3309</v>
      </c>
      <c r="O121" s="2892" t="s">
        <v>3200</v>
      </c>
      <c r="P121" s="2892" t="s">
        <v>2817</v>
      </c>
      <c r="Q121" s="2892" t="s">
        <v>2817</v>
      </c>
      <c r="R121" s="2892" t="s">
        <v>2817</v>
      </c>
      <c r="S121" s="2892" t="s">
        <v>2817</v>
      </c>
      <c r="T121" s="2892" t="s">
        <v>2817</v>
      </c>
      <c r="U121" s="2892" t="s">
        <v>2817</v>
      </c>
      <c r="V121" s="2892" t="s">
        <v>2817</v>
      </c>
      <c r="W121" s="2892" t="s">
        <v>3063</v>
      </c>
      <c r="X121" s="2892" t="s">
        <v>3310</v>
      </c>
      <c r="Y121" s="2892" t="s">
        <v>3311</v>
      </c>
      <c r="Z121" s="2892" t="s">
        <v>3312</v>
      </c>
      <c r="AA121" s="2892" t="s">
        <v>3312</v>
      </c>
      <c r="AB121" s="2892" t="s">
        <v>3313</v>
      </c>
      <c r="AC121" s="2892" t="s">
        <v>3059</v>
      </c>
      <c r="AD121" s="2892" t="s">
        <v>3251</v>
      </c>
      <c r="AE121" s="2892">
        <v>5491</v>
      </c>
      <c r="AF121" s="2892">
        <v>10982</v>
      </c>
      <c r="AG121" s="2892">
        <v>10982</v>
      </c>
      <c r="AH121" s="2892">
        <v>1302.76</v>
      </c>
      <c r="AI121" s="2892">
        <v>1302.76</v>
      </c>
      <c r="AJ121" s="2892">
        <v>3489.53</v>
      </c>
      <c r="AK121" s="2892">
        <v>3489.53</v>
      </c>
      <c r="AL121" s="2892" t="s">
        <v>2817</v>
      </c>
      <c r="AM121" s="2892" t="s">
        <v>2817</v>
      </c>
      <c r="AN121" s="2892">
        <v>0</v>
      </c>
      <c r="AO121" s="2892" t="s">
        <v>3060</v>
      </c>
      <c r="AP121" s="2892" t="s">
        <v>2817</v>
      </c>
      <c r="AQ121" s="2892" t="s">
        <v>2817</v>
      </c>
      <c r="AR121" s="2892" t="s">
        <v>2817</v>
      </c>
      <c r="AS121" s="2892" t="s">
        <v>3117</v>
      </c>
    </row>
    <row r="122" spans="1:45" s="2892" customFormat="1">
      <c r="A122" s="2892" t="s">
        <v>3630</v>
      </c>
      <c r="B122" s="2892" t="s">
        <v>3055</v>
      </c>
      <c r="C122" s="2892" t="s">
        <v>3056</v>
      </c>
      <c r="D122" s="2892" t="s">
        <v>3074</v>
      </c>
      <c r="E122" s="2892" t="s">
        <v>2817</v>
      </c>
      <c r="F122" s="2892" t="s">
        <v>3630</v>
      </c>
      <c r="G122" s="2892" t="s">
        <v>3057</v>
      </c>
      <c r="H122" s="2892" t="s">
        <v>3631</v>
      </c>
      <c r="I122" s="2892" t="s">
        <v>3062</v>
      </c>
      <c r="J122" s="2892">
        <v>15687.64</v>
      </c>
      <c r="K122" s="2892">
        <v>47062.92</v>
      </c>
      <c r="L122" s="2892" t="s">
        <v>3632</v>
      </c>
      <c r="M122" s="2892" t="s">
        <v>2817</v>
      </c>
      <c r="N122" s="2892" t="s">
        <v>3309</v>
      </c>
      <c r="O122" s="2892" t="s">
        <v>3200</v>
      </c>
      <c r="P122" s="2892" t="s">
        <v>2817</v>
      </c>
      <c r="Q122" s="2892" t="s">
        <v>2817</v>
      </c>
      <c r="R122" s="2892" t="s">
        <v>2817</v>
      </c>
      <c r="S122" s="2892" t="s">
        <v>2817</v>
      </c>
      <c r="T122" s="2892" t="s">
        <v>2817</v>
      </c>
      <c r="U122" s="2892" t="s">
        <v>2817</v>
      </c>
      <c r="V122" s="2892" t="s">
        <v>2817</v>
      </c>
      <c r="W122" s="2892" t="s">
        <v>3063</v>
      </c>
      <c r="X122" s="2892" t="s">
        <v>3633</v>
      </c>
      <c r="Y122" s="2892" t="s">
        <v>3634</v>
      </c>
      <c r="Z122" s="2892" t="s">
        <v>3310</v>
      </c>
      <c r="AA122" s="2892" t="s">
        <v>3310</v>
      </c>
      <c r="AB122" s="2892" t="s">
        <v>3635</v>
      </c>
      <c r="AC122" s="2892" t="s">
        <v>3059</v>
      </c>
      <c r="AD122" s="2892" t="s">
        <v>3636</v>
      </c>
      <c r="AE122" s="2892">
        <v>16992</v>
      </c>
      <c r="AF122" s="2892">
        <v>16992</v>
      </c>
      <c r="AG122" s="2892">
        <v>16992</v>
      </c>
      <c r="AH122" s="2892">
        <v>722.1</v>
      </c>
      <c r="AI122" s="2892">
        <v>722.1</v>
      </c>
      <c r="AJ122" s="2892">
        <v>3610.48</v>
      </c>
      <c r="AK122" s="2892">
        <v>3610.48</v>
      </c>
      <c r="AL122" s="2892" t="s">
        <v>2817</v>
      </c>
      <c r="AM122" s="2892" t="s">
        <v>2817</v>
      </c>
      <c r="AN122" s="2892">
        <v>0</v>
      </c>
      <c r="AO122" s="2892" t="s">
        <v>3060</v>
      </c>
      <c r="AP122" s="2892" t="s">
        <v>2817</v>
      </c>
      <c r="AQ122" s="2892" t="s">
        <v>2817</v>
      </c>
      <c r="AR122" s="2892" t="s">
        <v>2817</v>
      </c>
      <c r="AS122" s="2892" t="s">
        <v>3117</v>
      </c>
    </row>
    <row r="123" spans="1:45" s="2892" customFormat="1">
      <c r="A123" s="2892" t="s">
        <v>3637</v>
      </c>
      <c r="B123" s="2892" t="s">
        <v>3055</v>
      </c>
      <c r="C123" s="2892" t="s">
        <v>3056</v>
      </c>
      <c r="D123" s="2892" t="s">
        <v>3074</v>
      </c>
      <c r="E123" s="2892" t="s">
        <v>2817</v>
      </c>
      <c r="F123" s="2892" t="s">
        <v>3637</v>
      </c>
      <c r="G123" s="2892" t="s">
        <v>3057</v>
      </c>
      <c r="H123" s="2892" t="s">
        <v>3638</v>
      </c>
      <c r="I123" s="2892" t="s">
        <v>3062</v>
      </c>
      <c r="J123" s="2892">
        <v>58897.57</v>
      </c>
      <c r="K123" s="2892">
        <v>206141.5</v>
      </c>
      <c r="L123" s="2892" t="s">
        <v>3639</v>
      </c>
      <c r="M123" s="2892" t="s">
        <v>2817</v>
      </c>
      <c r="N123" s="2892" t="s">
        <v>3309</v>
      </c>
      <c r="O123" s="2892" t="s">
        <v>3200</v>
      </c>
      <c r="P123" s="2892" t="s">
        <v>2817</v>
      </c>
      <c r="Q123" s="2892" t="s">
        <v>2817</v>
      </c>
      <c r="R123" s="2892" t="s">
        <v>2817</v>
      </c>
      <c r="S123" s="2892" t="s">
        <v>2817</v>
      </c>
      <c r="T123" s="2892" t="s">
        <v>2817</v>
      </c>
      <c r="U123" s="2892" t="s">
        <v>2817</v>
      </c>
      <c r="V123" s="2892" t="s">
        <v>2817</v>
      </c>
      <c r="W123" s="2892" t="s">
        <v>3063</v>
      </c>
      <c r="X123" s="2892" t="s">
        <v>3633</v>
      </c>
      <c r="Y123" s="2892" t="s">
        <v>3634</v>
      </c>
      <c r="Z123" s="2892" t="s">
        <v>3310</v>
      </c>
      <c r="AA123" s="2892" t="s">
        <v>3310</v>
      </c>
      <c r="AB123" s="2892" t="s">
        <v>3640</v>
      </c>
      <c r="AC123" s="2892" t="s">
        <v>3059</v>
      </c>
      <c r="AD123" s="2892" t="s">
        <v>3636</v>
      </c>
      <c r="AE123" s="2892">
        <v>66466</v>
      </c>
      <c r="AF123" s="2892">
        <v>66466</v>
      </c>
      <c r="AG123" s="2892">
        <v>66466</v>
      </c>
      <c r="AH123" s="2892">
        <v>752.33</v>
      </c>
      <c r="AI123" s="2892">
        <v>752.33</v>
      </c>
      <c r="AJ123" s="2892">
        <v>3224.28</v>
      </c>
      <c r="AK123" s="2892">
        <v>3224.28</v>
      </c>
      <c r="AL123" s="2892" t="s">
        <v>2817</v>
      </c>
      <c r="AM123" s="2892" t="s">
        <v>2817</v>
      </c>
      <c r="AN123" s="2892">
        <v>0</v>
      </c>
      <c r="AO123" s="2892" t="s">
        <v>3060</v>
      </c>
      <c r="AP123" s="2892" t="s">
        <v>2817</v>
      </c>
      <c r="AQ123" s="2892" t="s">
        <v>2817</v>
      </c>
      <c r="AR123" s="2892" t="s">
        <v>2817</v>
      </c>
      <c r="AS123" s="2892" t="s">
        <v>3117</v>
      </c>
    </row>
    <row r="124" spans="1:45" s="2892" customFormat="1">
      <c r="A124" s="2892" t="s">
        <v>3641</v>
      </c>
      <c r="B124" s="2892" t="s">
        <v>3055</v>
      </c>
      <c r="C124" s="2892" t="s">
        <v>3056</v>
      </c>
      <c r="D124" s="2892" t="s">
        <v>3468</v>
      </c>
      <c r="E124" s="2892" t="s">
        <v>2817</v>
      </c>
      <c r="F124" s="2892" t="s">
        <v>3641</v>
      </c>
      <c r="G124" s="2892" t="s">
        <v>3057</v>
      </c>
      <c r="H124" s="2892" t="s">
        <v>3642</v>
      </c>
      <c r="I124" s="2892" t="s">
        <v>3062</v>
      </c>
      <c r="J124" s="2892">
        <v>39817.300000000003</v>
      </c>
      <c r="K124" s="2892">
        <v>119451.9</v>
      </c>
      <c r="L124" s="2892" t="s">
        <v>3632</v>
      </c>
      <c r="M124" s="2892" t="s">
        <v>2817</v>
      </c>
      <c r="N124" s="2892" t="s">
        <v>3078</v>
      </c>
      <c r="O124" s="2892" t="s">
        <v>3627</v>
      </c>
      <c r="P124" s="2892" t="s">
        <v>2817</v>
      </c>
      <c r="Q124" s="2892" t="s">
        <v>2817</v>
      </c>
      <c r="R124" s="2892" t="s">
        <v>2817</v>
      </c>
      <c r="S124" s="2892" t="s">
        <v>2817</v>
      </c>
      <c r="T124" s="2892" t="s">
        <v>2817</v>
      </c>
      <c r="U124" s="2892" t="s">
        <v>2817</v>
      </c>
      <c r="V124" s="2892" t="s">
        <v>2817</v>
      </c>
      <c r="W124" s="2892" t="s">
        <v>3063</v>
      </c>
      <c r="X124" s="2892" t="s">
        <v>3643</v>
      </c>
      <c r="Y124" s="2892" t="s">
        <v>3644</v>
      </c>
      <c r="Z124" s="2892" t="s">
        <v>3645</v>
      </c>
      <c r="AA124" s="2892" t="s">
        <v>3645</v>
      </c>
      <c r="AB124" s="2892" t="s">
        <v>3646</v>
      </c>
      <c r="AC124" s="2892" t="s">
        <v>3059</v>
      </c>
      <c r="AD124" s="2892" t="s">
        <v>3481</v>
      </c>
      <c r="AE124" s="2892">
        <v>13830</v>
      </c>
      <c r="AF124" s="2892">
        <v>27646</v>
      </c>
      <c r="AG124" s="2892">
        <v>27646</v>
      </c>
      <c r="AH124" s="2892">
        <v>462.88</v>
      </c>
      <c r="AI124" s="2892">
        <v>462.88</v>
      </c>
      <c r="AJ124" s="2892">
        <v>2314.4</v>
      </c>
      <c r="AK124" s="2892">
        <v>2314.4</v>
      </c>
      <c r="AL124" s="2892" t="s">
        <v>2817</v>
      </c>
      <c r="AM124" s="2892" t="s">
        <v>2817</v>
      </c>
      <c r="AN124" s="2892">
        <v>0</v>
      </c>
      <c r="AO124" s="2892" t="s">
        <v>3060</v>
      </c>
      <c r="AP124" s="2892" t="s">
        <v>2817</v>
      </c>
      <c r="AQ124" s="2892" t="s">
        <v>2817</v>
      </c>
      <c r="AR124" s="2892" t="s">
        <v>2817</v>
      </c>
      <c r="AS124" s="2892" t="s">
        <v>3086</v>
      </c>
    </row>
    <row r="125" spans="1:45" s="2892" customFormat="1">
      <c r="A125" s="2892" t="s">
        <v>3647</v>
      </c>
      <c r="B125" s="2892" t="s">
        <v>3055</v>
      </c>
      <c r="C125" s="2892" t="s">
        <v>3056</v>
      </c>
      <c r="D125" s="2892" t="s">
        <v>3468</v>
      </c>
      <c r="E125" s="2892" t="s">
        <v>2817</v>
      </c>
      <c r="F125" s="2892" t="s">
        <v>3647</v>
      </c>
      <c r="G125" s="2892" t="s">
        <v>3057</v>
      </c>
      <c r="H125" s="2892" t="s">
        <v>3648</v>
      </c>
      <c r="I125" s="2892" t="s">
        <v>3062</v>
      </c>
      <c r="J125" s="2892">
        <v>46745.14</v>
      </c>
      <c r="K125" s="2892">
        <v>163608</v>
      </c>
      <c r="L125" s="2892" t="s">
        <v>3639</v>
      </c>
      <c r="M125" s="2892" t="s">
        <v>2817</v>
      </c>
      <c r="N125" s="2892" t="s">
        <v>3078</v>
      </c>
      <c r="O125" s="2892" t="s">
        <v>3200</v>
      </c>
      <c r="P125" s="2892" t="s">
        <v>2817</v>
      </c>
      <c r="Q125" s="2892" t="s">
        <v>2817</v>
      </c>
      <c r="R125" s="2892" t="s">
        <v>2817</v>
      </c>
      <c r="S125" s="2892" t="s">
        <v>2817</v>
      </c>
      <c r="T125" s="2892" t="s">
        <v>2817</v>
      </c>
      <c r="U125" s="2892" t="s">
        <v>2817</v>
      </c>
      <c r="V125" s="2892" t="s">
        <v>2817</v>
      </c>
      <c r="W125" s="2892" t="s">
        <v>3063</v>
      </c>
      <c r="X125" s="2892" t="s">
        <v>3643</v>
      </c>
      <c r="Y125" s="2892" t="s">
        <v>3644</v>
      </c>
      <c r="Z125" s="2892" t="s">
        <v>3645</v>
      </c>
      <c r="AA125" s="2892" t="s">
        <v>3645</v>
      </c>
      <c r="AB125" s="2892" t="s">
        <v>3649</v>
      </c>
      <c r="AC125" s="2892" t="s">
        <v>3059</v>
      </c>
      <c r="AD125" s="2892" t="s">
        <v>3650</v>
      </c>
      <c r="AE125" s="2892">
        <v>16226</v>
      </c>
      <c r="AF125" s="2892">
        <v>32451</v>
      </c>
      <c r="AG125" s="2892">
        <v>32451</v>
      </c>
      <c r="AH125" s="2892">
        <v>462.81</v>
      </c>
      <c r="AI125" s="2892">
        <v>462.81</v>
      </c>
      <c r="AJ125" s="2892">
        <v>1983.46</v>
      </c>
      <c r="AK125" s="2892">
        <v>1983.46</v>
      </c>
      <c r="AL125" s="2892" t="s">
        <v>2817</v>
      </c>
      <c r="AM125" s="2892" t="s">
        <v>2817</v>
      </c>
      <c r="AN125" s="2892">
        <v>0</v>
      </c>
      <c r="AO125" s="2892" t="s">
        <v>3060</v>
      </c>
      <c r="AP125" s="2892" t="s">
        <v>2817</v>
      </c>
      <c r="AQ125" s="2892" t="s">
        <v>2817</v>
      </c>
      <c r="AR125" s="2892" t="s">
        <v>2817</v>
      </c>
      <c r="AS125" s="2892" t="s">
        <v>3146</v>
      </c>
    </row>
    <row r="126" spans="1:45" s="2892" customFormat="1">
      <c r="A126" s="2892" t="s">
        <v>3651</v>
      </c>
      <c r="B126" s="2892" t="s">
        <v>3055</v>
      </c>
      <c r="C126" s="2892" t="s">
        <v>3056</v>
      </c>
      <c r="D126" s="2892" t="s">
        <v>3074</v>
      </c>
      <c r="E126" s="2892" t="s">
        <v>2817</v>
      </c>
      <c r="F126" s="2892" t="s">
        <v>3651</v>
      </c>
      <c r="G126" s="2892" t="s">
        <v>3057</v>
      </c>
      <c r="H126" s="2892" t="s">
        <v>3652</v>
      </c>
      <c r="I126" s="2892" t="s">
        <v>3062</v>
      </c>
      <c r="J126" s="2892">
        <v>32321.42</v>
      </c>
      <c r="K126" s="2892">
        <v>113125</v>
      </c>
      <c r="L126" s="2892" t="s">
        <v>3639</v>
      </c>
      <c r="M126" s="2892" t="s">
        <v>2817</v>
      </c>
      <c r="N126" s="2892" t="s">
        <v>3078</v>
      </c>
      <c r="O126" s="2892" t="s">
        <v>3200</v>
      </c>
      <c r="P126" s="2892" t="s">
        <v>2817</v>
      </c>
      <c r="Q126" s="2892" t="s">
        <v>2817</v>
      </c>
      <c r="R126" s="2892" t="s">
        <v>2817</v>
      </c>
      <c r="S126" s="2892" t="s">
        <v>2817</v>
      </c>
      <c r="T126" s="2892" t="s">
        <v>2817</v>
      </c>
      <c r="U126" s="2892" t="s">
        <v>2817</v>
      </c>
      <c r="V126" s="2892" t="s">
        <v>2817</v>
      </c>
      <c r="W126" s="2892" t="s">
        <v>3063</v>
      </c>
      <c r="X126" s="2892" t="s">
        <v>3653</v>
      </c>
      <c r="Y126" s="2892" t="s">
        <v>3654</v>
      </c>
      <c r="Z126" s="2892" t="s">
        <v>3655</v>
      </c>
      <c r="AA126" s="2892" t="s">
        <v>3655</v>
      </c>
      <c r="AB126" s="2892" t="s">
        <v>3656</v>
      </c>
      <c r="AC126" s="2892" t="s">
        <v>3059</v>
      </c>
      <c r="AD126" s="2892" t="s">
        <v>3657</v>
      </c>
      <c r="AE126" s="2892">
        <v>15350</v>
      </c>
      <c r="AF126" s="2892">
        <v>30699</v>
      </c>
      <c r="AG126" s="2892">
        <v>30699</v>
      </c>
      <c r="AH126" s="2892">
        <v>633.20000000000005</v>
      </c>
      <c r="AI126" s="2892">
        <v>633.20000000000005</v>
      </c>
      <c r="AJ126" s="2892">
        <v>2713.72</v>
      </c>
      <c r="AK126" s="2892">
        <v>2713.71</v>
      </c>
      <c r="AL126" s="2892" t="s">
        <v>2817</v>
      </c>
      <c r="AM126" s="2892" t="s">
        <v>2817</v>
      </c>
      <c r="AN126" s="2892">
        <v>0</v>
      </c>
      <c r="AO126" s="2892" t="s">
        <v>3060</v>
      </c>
      <c r="AP126" s="2892" t="s">
        <v>2817</v>
      </c>
      <c r="AQ126" s="2892" t="s">
        <v>2817</v>
      </c>
      <c r="AR126" s="2892" t="s">
        <v>2817</v>
      </c>
      <c r="AS126" s="2892" t="s">
        <v>3117</v>
      </c>
    </row>
    <row r="127" spans="1:45" s="2892" customFormat="1">
      <c r="A127" s="2892" t="s">
        <v>3658</v>
      </c>
      <c r="B127" s="2892" t="s">
        <v>3055</v>
      </c>
      <c r="C127" s="2892" t="s">
        <v>3056</v>
      </c>
      <c r="D127" s="2892" t="s">
        <v>3074</v>
      </c>
      <c r="E127" s="2892" t="s">
        <v>2817</v>
      </c>
      <c r="F127" s="2892" t="s">
        <v>3658</v>
      </c>
      <c r="G127" s="2892" t="s">
        <v>3057</v>
      </c>
      <c r="H127" s="2892" t="s">
        <v>3659</v>
      </c>
      <c r="I127" s="2892" t="s">
        <v>3062</v>
      </c>
      <c r="J127" s="2892">
        <v>49981.06</v>
      </c>
      <c r="K127" s="2892">
        <v>299886.40000000002</v>
      </c>
      <c r="L127" s="2892" t="s">
        <v>3660</v>
      </c>
      <c r="M127" s="2892" t="s">
        <v>2817</v>
      </c>
      <c r="N127" s="2892" t="s">
        <v>3661</v>
      </c>
      <c r="O127" s="2892" t="s">
        <v>3200</v>
      </c>
      <c r="P127" s="2892" t="s">
        <v>2817</v>
      </c>
      <c r="Q127" s="2892" t="s">
        <v>2817</v>
      </c>
      <c r="R127" s="2892" t="s">
        <v>2817</v>
      </c>
      <c r="S127" s="2892" t="s">
        <v>2817</v>
      </c>
      <c r="T127" s="2892" t="s">
        <v>2817</v>
      </c>
      <c r="U127" s="2892" t="s">
        <v>2817</v>
      </c>
      <c r="V127" s="2892" t="s">
        <v>2817</v>
      </c>
      <c r="W127" s="2892" t="s">
        <v>3063</v>
      </c>
      <c r="X127" s="2892" t="s">
        <v>3653</v>
      </c>
      <c r="Y127" s="2892" t="s">
        <v>3654</v>
      </c>
      <c r="Z127" s="2892" t="s">
        <v>3655</v>
      </c>
      <c r="AA127" s="2892" t="s">
        <v>3655</v>
      </c>
      <c r="AB127" s="2892" t="s">
        <v>3662</v>
      </c>
      <c r="AC127" s="2892" t="s">
        <v>3059</v>
      </c>
      <c r="AD127" s="2892" t="s">
        <v>3270</v>
      </c>
      <c r="AE127" s="2892">
        <v>38316</v>
      </c>
      <c r="AF127" s="2892">
        <v>76632</v>
      </c>
      <c r="AG127" s="2892">
        <v>76632</v>
      </c>
      <c r="AH127" s="2892">
        <v>1022.15</v>
      </c>
      <c r="AI127" s="2892">
        <v>1022.15</v>
      </c>
      <c r="AJ127" s="2892">
        <v>2555.36</v>
      </c>
      <c r="AK127" s="2892">
        <v>2555.36</v>
      </c>
      <c r="AL127" s="2892" t="s">
        <v>2817</v>
      </c>
      <c r="AM127" s="2892" t="s">
        <v>2817</v>
      </c>
      <c r="AN127" s="2892">
        <v>0</v>
      </c>
      <c r="AO127" s="2892" t="s">
        <v>3060</v>
      </c>
      <c r="AP127" s="2892" t="s">
        <v>2817</v>
      </c>
      <c r="AQ127" s="2892" t="s">
        <v>2817</v>
      </c>
      <c r="AR127" s="2892" t="s">
        <v>2817</v>
      </c>
      <c r="AS127" s="2892" t="s">
        <v>3117</v>
      </c>
    </row>
    <row r="128" spans="1:45" s="2892" customFormat="1">
      <c r="A128" s="2892" t="s">
        <v>3663</v>
      </c>
      <c r="B128" s="2892" t="s">
        <v>3055</v>
      </c>
      <c r="C128" s="2892" t="s">
        <v>3056</v>
      </c>
      <c r="D128" s="2892" t="s">
        <v>3074</v>
      </c>
      <c r="E128" s="2892" t="s">
        <v>2817</v>
      </c>
      <c r="F128" s="2892" t="s">
        <v>3663</v>
      </c>
      <c r="G128" s="2892" t="s">
        <v>3057</v>
      </c>
      <c r="H128" s="2892" t="s">
        <v>3664</v>
      </c>
      <c r="I128" s="2892" t="s">
        <v>3062</v>
      </c>
      <c r="J128" s="2892">
        <v>40951.83</v>
      </c>
      <c r="K128" s="2892">
        <v>110569.9</v>
      </c>
      <c r="L128" s="2892" t="s">
        <v>3665</v>
      </c>
      <c r="M128" s="2892" t="s">
        <v>2817</v>
      </c>
      <c r="N128" s="2892" t="s">
        <v>3078</v>
      </c>
      <c r="O128" s="2892" t="s">
        <v>3200</v>
      </c>
      <c r="P128" s="2892" t="s">
        <v>2817</v>
      </c>
      <c r="Q128" s="2892" t="s">
        <v>2817</v>
      </c>
      <c r="R128" s="2892" t="s">
        <v>2817</v>
      </c>
      <c r="S128" s="2892" t="s">
        <v>2817</v>
      </c>
      <c r="T128" s="2892" t="s">
        <v>2817</v>
      </c>
      <c r="U128" s="2892" t="s">
        <v>2817</v>
      </c>
      <c r="V128" s="2892" t="s">
        <v>2817</v>
      </c>
      <c r="W128" s="2892" t="s">
        <v>3063</v>
      </c>
      <c r="X128" s="2892" t="s">
        <v>3666</v>
      </c>
      <c r="Y128" s="2892" t="s">
        <v>3667</v>
      </c>
      <c r="Z128" s="2892" t="s">
        <v>3668</v>
      </c>
      <c r="AA128" s="2892" t="s">
        <v>3668</v>
      </c>
      <c r="AB128" s="2892" t="s">
        <v>3669</v>
      </c>
      <c r="AC128" s="2892" t="s">
        <v>3059</v>
      </c>
      <c r="AD128" s="2892" t="s">
        <v>3286</v>
      </c>
      <c r="AE128" s="2892">
        <v>15773</v>
      </c>
      <c r="AF128" s="2892">
        <v>31546</v>
      </c>
      <c r="AG128" s="2892">
        <v>31546</v>
      </c>
      <c r="AH128" s="2892">
        <v>513.54999999999995</v>
      </c>
      <c r="AI128" s="2892">
        <v>513.54999999999995</v>
      </c>
      <c r="AJ128" s="2892">
        <v>2853.03</v>
      </c>
      <c r="AK128" s="2892">
        <v>2853.03</v>
      </c>
      <c r="AL128" s="2892" t="s">
        <v>2817</v>
      </c>
      <c r="AM128" s="2892" t="s">
        <v>2817</v>
      </c>
      <c r="AN128" s="2892">
        <v>0</v>
      </c>
      <c r="AO128" s="2892" t="s">
        <v>3060</v>
      </c>
      <c r="AP128" s="2892" t="s">
        <v>2817</v>
      </c>
      <c r="AQ128" s="2892" t="s">
        <v>2817</v>
      </c>
      <c r="AR128" s="2892" t="s">
        <v>2817</v>
      </c>
      <c r="AS128" s="2892" t="s">
        <v>3086</v>
      </c>
    </row>
    <row r="129" spans="1:45" s="2892" customFormat="1">
      <c r="A129" s="2892" t="s">
        <v>3670</v>
      </c>
      <c r="B129" s="2892" t="s">
        <v>3055</v>
      </c>
      <c r="C129" s="2892" t="s">
        <v>3056</v>
      </c>
      <c r="D129" s="2892" t="s">
        <v>3468</v>
      </c>
      <c r="E129" s="2892" t="s">
        <v>2817</v>
      </c>
      <c r="F129" s="2892" t="s">
        <v>3670</v>
      </c>
      <c r="G129" s="2892" t="s">
        <v>3057</v>
      </c>
      <c r="H129" s="2892" t="s">
        <v>3671</v>
      </c>
      <c r="I129" s="2892" t="s">
        <v>3062</v>
      </c>
      <c r="J129" s="2892">
        <v>10494.98</v>
      </c>
      <c r="K129" s="2892">
        <v>37781.93</v>
      </c>
      <c r="L129" s="2892" t="s">
        <v>3672</v>
      </c>
      <c r="M129" s="2892" t="s">
        <v>2817</v>
      </c>
      <c r="N129" s="2892" t="s">
        <v>3078</v>
      </c>
      <c r="O129" s="2892" t="s">
        <v>3200</v>
      </c>
      <c r="P129" s="2892" t="s">
        <v>2817</v>
      </c>
      <c r="Q129" s="2892" t="s">
        <v>2817</v>
      </c>
      <c r="R129" s="2892" t="s">
        <v>2817</v>
      </c>
      <c r="S129" s="2892" t="s">
        <v>2817</v>
      </c>
      <c r="T129" s="2892" t="s">
        <v>2817</v>
      </c>
      <c r="U129" s="2892" t="s">
        <v>2817</v>
      </c>
      <c r="V129" s="2892" t="s">
        <v>2817</v>
      </c>
      <c r="W129" s="2892" t="s">
        <v>3063</v>
      </c>
      <c r="X129" s="2892" t="s">
        <v>3666</v>
      </c>
      <c r="Y129" s="2892" t="s">
        <v>3667</v>
      </c>
      <c r="Z129" s="2892" t="s">
        <v>3668</v>
      </c>
      <c r="AA129" s="2892" t="s">
        <v>3668</v>
      </c>
      <c r="AB129" s="2892" t="s">
        <v>3673</v>
      </c>
      <c r="AC129" s="2892" t="s">
        <v>3059</v>
      </c>
      <c r="AD129" s="2892" t="s">
        <v>3674</v>
      </c>
      <c r="AE129" s="2892">
        <v>4350</v>
      </c>
      <c r="AF129" s="2892">
        <v>8699</v>
      </c>
      <c r="AG129" s="2892">
        <v>8699</v>
      </c>
      <c r="AH129" s="2892">
        <v>552.58000000000004</v>
      </c>
      <c r="AI129" s="2892">
        <v>552.58000000000004</v>
      </c>
      <c r="AJ129" s="2892">
        <v>2302.42</v>
      </c>
      <c r="AK129" s="2892">
        <v>2302.42</v>
      </c>
      <c r="AL129" s="2892" t="s">
        <v>2817</v>
      </c>
      <c r="AM129" s="2892" t="s">
        <v>2817</v>
      </c>
      <c r="AN129" s="2892">
        <v>0</v>
      </c>
      <c r="AO129" s="2892" t="s">
        <v>3060</v>
      </c>
      <c r="AP129" s="2892" t="s">
        <v>2817</v>
      </c>
      <c r="AQ129" s="2892" t="s">
        <v>2817</v>
      </c>
      <c r="AR129" s="2892" t="s">
        <v>2817</v>
      </c>
      <c r="AS129" s="2892" t="s">
        <v>3117</v>
      </c>
    </row>
    <row r="130" spans="1:45" s="2892" customFormat="1">
      <c r="A130" s="2892" t="s">
        <v>3675</v>
      </c>
      <c r="B130" s="2892" t="s">
        <v>3055</v>
      </c>
      <c r="C130" s="2892" t="s">
        <v>3056</v>
      </c>
      <c r="D130" s="2892" t="s">
        <v>3382</v>
      </c>
      <c r="E130" s="2892" t="s">
        <v>2817</v>
      </c>
      <c r="F130" s="2892" t="s">
        <v>3675</v>
      </c>
      <c r="G130" s="2892" t="s">
        <v>3057</v>
      </c>
      <c r="H130" s="2892" t="s">
        <v>3676</v>
      </c>
      <c r="I130" s="2892" t="s">
        <v>3062</v>
      </c>
      <c r="J130" s="2892">
        <v>51407.03</v>
      </c>
      <c r="K130" s="2892">
        <v>205628.1</v>
      </c>
      <c r="L130" s="2892" t="s">
        <v>3677</v>
      </c>
      <c r="M130" s="2892" t="s">
        <v>2817</v>
      </c>
      <c r="N130" s="2892" t="s">
        <v>3219</v>
      </c>
      <c r="O130" s="2892" t="s">
        <v>3200</v>
      </c>
      <c r="P130" s="2892" t="s">
        <v>2817</v>
      </c>
      <c r="Q130" s="2892" t="s">
        <v>2817</v>
      </c>
      <c r="R130" s="2892" t="s">
        <v>2817</v>
      </c>
      <c r="S130" s="2892" t="s">
        <v>2817</v>
      </c>
      <c r="T130" s="2892" t="s">
        <v>2817</v>
      </c>
      <c r="U130" s="2892" t="s">
        <v>2817</v>
      </c>
      <c r="V130" s="2892" t="s">
        <v>2817</v>
      </c>
      <c r="W130" s="2892" t="s">
        <v>3063</v>
      </c>
      <c r="X130" s="2892" t="s">
        <v>3666</v>
      </c>
      <c r="Y130" s="2892" t="s">
        <v>3667</v>
      </c>
      <c r="Z130" s="2892" t="s">
        <v>3668</v>
      </c>
      <c r="AA130" s="2892" t="s">
        <v>3668</v>
      </c>
      <c r="AB130" s="2892" t="s">
        <v>3669</v>
      </c>
      <c r="AC130" s="2892" t="s">
        <v>3059</v>
      </c>
      <c r="AD130" s="2892" t="s">
        <v>3399</v>
      </c>
      <c r="AE130" s="2892">
        <v>22208</v>
      </c>
      <c r="AF130" s="2892">
        <v>44416</v>
      </c>
      <c r="AG130" s="2892">
        <v>44416</v>
      </c>
      <c r="AH130" s="2892">
        <v>576</v>
      </c>
      <c r="AI130" s="2892">
        <v>576</v>
      </c>
      <c r="AJ130" s="2892">
        <v>2160.0100000000002</v>
      </c>
      <c r="AK130" s="2892">
        <v>2160.0100000000002</v>
      </c>
      <c r="AL130" s="2892" t="s">
        <v>2817</v>
      </c>
      <c r="AM130" s="2892" t="s">
        <v>2817</v>
      </c>
      <c r="AN130" s="2892">
        <v>0</v>
      </c>
      <c r="AO130" s="2892" t="s">
        <v>3060</v>
      </c>
      <c r="AP130" s="2892" t="s">
        <v>2817</v>
      </c>
      <c r="AQ130" s="2892" t="s">
        <v>2817</v>
      </c>
      <c r="AR130" s="2892" t="s">
        <v>2817</v>
      </c>
      <c r="AS130" s="2892" t="s">
        <v>3117</v>
      </c>
    </row>
    <row r="131" spans="1:45" s="2892" customFormat="1">
      <c r="A131" s="2892" t="s">
        <v>3678</v>
      </c>
      <c r="B131" s="2892" t="s">
        <v>3055</v>
      </c>
      <c r="C131" s="2892" t="s">
        <v>3056</v>
      </c>
      <c r="D131" s="2892" t="s">
        <v>3074</v>
      </c>
      <c r="E131" s="2892" t="s">
        <v>2817</v>
      </c>
      <c r="F131" s="2892" t="s">
        <v>3678</v>
      </c>
      <c r="G131" s="2892" t="s">
        <v>3057</v>
      </c>
      <c r="H131" s="2892" t="s">
        <v>3679</v>
      </c>
      <c r="I131" s="2892" t="s">
        <v>3062</v>
      </c>
      <c r="J131" s="2892">
        <v>55311.98</v>
      </c>
      <c r="K131" s="2892">
        <v>221247.9</v>
      </c>
      <c r="L131" s="2892" t="s">
        <v>3680</v>
      </c>
      <c r="M131" s="2892" t="s">
        <v>2817</v>
      </c>
      <c r="N131" s="2892" t="s">
        <v>3681</v>
      </c>
      <c r="O131" s="2892" t="s">
        <v>3200</v>
      </c>
      <c r="P131" s="2892" t="s">
        <v>2817</v>
      </c>
      <c r="Q131" s="2892" t="s">
        <v>2817</v>
      </c>
      <c r="R131" s="2892" t="s">
        <v>2817</v>
      </c>
      <c r="S131" s="2892" t="s">
        <v>2817</v>
      </c>
      <c r="T131" s="2892" t="s">
        <v>2817</v>
      </c>
      <c r="U131" s="2892" t="s">
        <v>2817</v>
      </c>
      <c r="V131" s="2892" t="s">
        <v>2817</v>
      </c>
      <c r="W131" s="2892" t="s">
        <v>3063</v>
      </c>
      <c r="X131" s="2892" t="s">
        <v>3666</v>
      </c>
      <c r="Y131" s="2892" t="s">
        <v>3667</v>
      </c>
      <c r="Z131" s="2892" t="s">
        <v>3668</v>
      </c>
      <c r="AA131" s="2892" t="s">
        <v>3668</v>
      </c>
      <c r="AB131" s="2892" t="s">
        <v>3673</v>
      </c>
      <c r="AC131" s="2892" t="s">
        <v>3059</v>
      </c>
      <c r="AD131" s="2892" t="s">
        <v>3682</v>
      </c>
      <c r="AE131" s="2892">
        <v>30406</v>
      </c>
      <c r="AF131" s="2892">
        <v>60812</v>
      </c>
      <c r="AG131" s="2892">
        <v>90212</v>
      </c>
      <c r="AH131" s="2892">
        <v>732.96</v>
      </c>
      <c r="AI131" s="2892">
        <v>1087.31</v>
      </c>
      <c r="AJ131" s="2892">
        <v>2748.59</v>
      </c>
      <c r="AK131" s="2892">
        <v>4077.42</v>
      </c>
      <c r="AL131" s="2892" t="s">
        <v>2817</v>
      </c>
      <c r="AM131" s="2892" t="s">
        <v>2817</v>
      </c>
      <c r="AN131" s="2892">
        <v>48.35</v>
      </c>
      <c r="AO131" s="2892" t="s">
        <v>3060</v>
      </c>
      <c r="AP131" s="2892" t="s">
        <v>2817</v>
      </c>
      <c r="AQ131" s="2892" t="s">
        <v>2817</v>
      </c>
      <c r="AR131" s="2892" t="s">
        <v>2817</v>
      </c>
      <c r="AS131" s="2892" t="s">
        <v>3117</v>
      </c>
    </row>
    <row r="132" spans="1:45" s="2892" customFormat="1">
      <c r="A132" s="2892" t="s">
        <v>3683</v>
      </c>
      <c r="B132" s="2892" t="s">
        <v>3055</v>
      </c>
      <c r="C132" s="2892" t="s">
        <v>3056</v>
      </c>
      <c r="D132" s="2892" t="s">
        <v>3074</v>
      </c>
      <c r="E132" s="2892" t="s">
        <v>2817</v>
      </c>
      <c r="F132" s="2892" t="s">
        <v>3683</v>
      </c>
      <c r="G132" s="2892" t="s">
        <v>3057</v>
      </c>
      <c r="H132" s="2892" t="s">
        <v>3684</v>
      </c>
      <c r="I132" s="2892" t="s">
        <v>3062</v>
      </c>
      <c r="J132" s="2892">
        <v>35119.06</v>
      </c>
      <c r="K132" s="2892">
        <v>105357.2</v>
      </c>
      <c r="L132" s="2892" t="s">
        <v>3685</v>
      </c>
      <c r="M132" s="2892" t="s">
        <v>2817</v>
      </c>
      <c r="N132" s="2892" t="s">
        <v>3078</v>
      </c>
      <c r="O132" s="2892" t="s">
        <v>3200</v>
      </c>
      <c r="P132" s="2892" t="s">
        <v>2817</v>
      </c>
      <c r="Q132" s="2892" t="s">
        <v>2817</v>
      </c>
      <c r="R132" s="2892" t="s">
        <v>2817</v>
      </c>
      <c r="S132" s="2892" t="s">
        <v>2817</v>
      </c>
      <c r="T132" s="2892" t="s">
        <v>2817</v>
      </c>
      <c r="U132" s="2892" t="s">
        <v>2817</v>
      </c>
      <c r="V132" s="2892" t="s">
        <v>2817</v>
      </c>
      <c r="W132" s="2892" t="s">
        <v>3063</v>
      </c>
      <c r="X132" s="2892" t="s">
        <v>3666</v>
      </c>
      <c r="Y132" s="2892" t="s">
        <v>3667</v>
      </c>
      <c r="Z132" s="2892" t="s">
        <v>3668</v>
      </c>
      <c r="AA132" s="2892" t="s">
        <v>3668</v>
      </c>
      <c r="AB132" s="2892" t="s">
        <v>3669</v>
      </c>
      <c r="AC132" s="2892" t="s">
        <v>3059</v>
      </c>
      <c r="AD132" s="2892" t="s">
        <v>3286</v>
      </c>
      <c r="AE132" s="2892">
        <v>13830</v>
      </c>
      <c r="AF132" s="2892">
        <v>27660</v>
      </c>
      <c r="AG132" s="2892">
        <v>27660</v>
      </c>
      <c r="AH132" s="2892">
        <v>525.07000000000005</v>
      </c>
      <c r="AI132" s="2892">
        <v>525.07000000000005</v>
      </c>
      <c r="AJ132" s="2892">
        <v>2625.35</v>
      </c>
      <c r="AK132" s="2892">
        <v>2625.34</v>
      </c>
      <c r="AL132" s="2892" t="s">
        <v>2817</v>
      </c>
      <c r="AM132" s="2892" t="s">
        <v>2817</v>
      </c>
      <c r="AN132" s="2892">
        <v>0</v>
      </c>
      <c r="AO132" s="2892" t="s">
        <v>3060</v>
      </c>
      <c r="AP132" s="2892" t="s">
        <v>2817</v>
      </c>
      <c r="AQ132" s="2892" t="s">
        <v>2817</v>
      </c>
      <c r="AR132" s="2892" t="s">
        <v>2817</v>
      </c>
      <c r="AS132" s="2892" t="s">
        <v>3086</v>
      </c>
    </row>
    <row r="133" spans="1:45" s="2892" customFormat="1">
      <c r="A133" s="2892" t="s">
        <v>3686</v>
      </c>
      <c r="B133" s="2892" t="s">
        <v>3055</v>
      </c>
      <c r="C133" s="2892" t="s">
        <v>3056</v>
      </c>
      <c r="D133" s="2892" t="s">
        <v>3382</v>
      </c>
      <c r="E133" s="2892" t="s">
        <v>2817</v>
      </c>
      <c r="F133" s="2892" t="s">
        <v>3686</v>
      </c>
      <c r="G133" s="2892" t="s">
        <v>3057</v>
      </c>
      <c r="H133" s="2892" t="s">
        <v>3687</v>
      </c>
      <c r="I133" s="2892" t="s">
        <v>3062</v>
      </c>
      <c r="J133" s="2892">
        <v>16854.88</v>
      </c>
      <c r="K133" s="2892">
        <v>67419.520000000004</v>
      </c>
      <c r="L133" s="2892" t="s">
        <v>3677</v>
      </c>
      <c r="M133" s="2892" t="s">
        <v>2817</v>
      </c>
      <c r="N133" s="2892" t="s">
        <v>3309</v>
      </c>
      <c r="O133" s="2892" t="s">
        <v>3200</v>
      </c>
      <c r="P133" s="2892" t="s">
        <v>2817</v>
      </c>
      <c r="Q133" s="2892" t="s">
        <v>2817</v>
      </c>
      <c r="R133" s="2892" t="s">
        <v>2817</v>
      </c>
      <c r="S133" s="2892" t="s">
        <v>2817</v>
      </c>
      <c r="T133" s="2892" t="s">
        <v>2817</v>
      </c>
      <c r="U133" s="2892" t="s">
        <v>2817</v>
      </c>
      <c r="V133" s="2892" t="s">
        <v>2817</v>
      </c>
      <c r="W133" s="2892" t="s">
        <v>3063</v>
      </c>
      <c r="X133" s="2892" t="s">
        <v>3666</v>
      </c>
      <c r="Y133" s="2892" t="s">
        <v>3667</v>
      </c>
      <c r="Z133" s="2892" t="s">
        <v>3668</v>
      </c>
      <c r="AA133" s="2892" t="s">
        <v>3668</v>
      </c>
      <c r="AB133" s="2892" t="s">
        <v>3669</v>
      </c>
      <c r="AC133" s="2892" t="s">
        <v>3059</v>
      </c>
      <c r="AD133" s="2892" t="s">
        <v>3399</v>
      </c>
      <c r="AE133" s="2892">
        <v>7170</v>
      </c>
      <c r="AF133" s="2892">
        <v>14339</v>
      </c>
      <c r="AG133" s="2892">
        <v>14339</v>
      </c>
      <c r="AH133" s="2892">
        <v>567.16</v>
      </c>
      <c r="AI133" s="2892">
        <v>567.16</v>
      </c>
      <c r="AJ133" s="2892">
        <v>2126.83</v>
      </c>
      <c r="AK133" s="2892">
        <v>2126.8200000000002</v>
      </c>
      <c r="AL133" s="2892" t="s">
        <v>2817</v>
      </c>
      <c r="AM133" s="2892" t="s">
        <v>2817</v>
      </c>
      <c r="AN133" s="2892">
        <v>0</v>
      </c>
      <c r="AO133" s="2892" t="s">
        <v>3060</v>
      </c>
      <c r="AP133" s="2892" t="s">
        <v>2817</v>
      </c>
      <c r="AQ133" s="2892" t="s">
        <v>2817</v>
      </c>
      <c r="AR133" s="2892" t="s">
        <v>2817</v>
      </c>
      <c r="AS133" s="2892" t="s">
        <v>3117</v>
      </c>
    </row>
    <row r="134" spans="1:45" s="2892" customFormat="1">
      <c r="A134" s="2892" t="s">
        <v>3688</v>
      </c>
      <c r="B134" s="2892" t="s">
        <v>3055</v>
      </c>
      <c r="C134" s="2892" t="s">
        <v>3056</v>
      </c>
      <c r="D134" s="2892" t="s">
        <v>3382</v>
      </c>
      <c r="E134" s="2892" t="s">
        <v>2817</v>
      </c>
      <c r="F134" s="2892" t="s">
        <v>3688</v>
      </c>
      <c r="G134" s="2892" t="s">
        <v>3057</v>
      </c>
      <c r="H134" s="2892" t="s">
        <v>3689</v>
      </c>
      <c r="I134" s="2892" t="s">
        <v>3062</v>
      </c>
      <c r="J134" s="2892">
        <v>51050.89</v>
      </c>
      <c r="K134" s="2892">
        <v>199098.5</v>
      </c>
      <c r="L134" s="2892" t="s">
        <v>3690</v>
      </c>
      <c r="M134" s="2892" t="s">
        <v>2817</v>
      </c>
      <c r="N134" s="2892" t="s">
        <v>3078</v>
      </c>
      <c r="O134" s="2892" t="s">
        <v>3200</v>
      </c>
      <c r="P134" s="2892" t="s">
        <v>2817</v>
      </c>
      <c r="Q134" s="2892" t="s">
        <v>2817</v>
      </c>
      <c r="R134" s="2892" t="s">
        <v>2817</v>
      </c>
      <c r="S134" s="2892" t="s">
        <v>2817</v>
      </c>
      <c r="T134" s="2892" t="s">
        <v>2817</v>
      </c>
      <c r="U134" s="2892" t="s">
        <v>2817</v>
      </c>
      <c r="V134" s="2892" t="s">
        <v>2817</v>
      </c>
      <c r="W134" s="2892" t="s">
        <v>3063</v>
      </c>
      <c r="X134" s="2892" t="s">
        <v>3666</v>
      </c>
      <c r="Y134" s="2892" t="s">
        <v>3667</v>
      </c>
      <c r="Z134" s="2892" t="s">
        <v>3668</v>
      </c>
      <c r="AA134" s="2892" t="s">
        <v>3668</v>
      </c>
      <c r="AB134" s="2892" t="s">
        <v>3669</v>
      </c>
      <c r="AC134" s="2892" t="s">
        <v>3059</v>
      </c>
      <c r="AD134" s="2892" t="s">
        <v>3399</v>
      </c>
      <c r="AE134" s="2892">
        <v>21534</v>
      </c>
      <c r="AF134" s="2892">
        <v>43067</v>
      </c>
      <c r="AG134" s="2892">
        <v>43067</v>
      </c>
      <c r="AH134" s="2892">
        <v>562.41</v>
      </c>
      <c r="AI134" s="2892">
        <v>562.41</v>
      </c>
      <c r="AJ134" s="2892">
        <v>2163.09</v>
      </c>
      <c r="AK134" s="2892">
        <v>2163.09</v>
      </c>
      <c r="AL134" s="2892" t="s">
        <v>2817</v>
      </c>
      <c r="AM134" s="2892" t="s">
        <v>2817</v>
      </c>
      <c r="AN134" s="2892">
        <v>0</v>
      </c>
      <c r="AO134" s="2892" t="s">
        <v>3060</v>
      </c>
      <c r="AP134" s="2892" t="s">
        <v>2817</v>
      </c>
      <c r="AQ134" s="2892" t="s">
        <v>2817</v>
      </c>
      <c r="AR134" s="2892" t="s">
        <v>2817</v>
      </c>
      <c r="AS134" s="2892" t="s">
        <v>3117</v>
      </c>
    </row>
    <row r="135" spans="1:45" s="2892" customFormat="1">
      <c r="A135" s="2892" t="s">
        <v>3691</v>
      </c>
      <c r="B135" s="2892" t="s">
        <v>3055</v>
      </c>
      <c r="C135" s="2892" t="s">
        <v>3056</v>
      </c>
      <c r="D135" s="2892" t="s">
        <v>3074</v>
      </c>
      <c r="E135" s="2892" t="s">
        <v>2817</v>
      </c>
      <c r="F135" s="2892" t="s">
        <v>3691</v>
      </c>
      <c r="G135" s="2892" t="s">
        <v>3057</v>
      </c>
      <c r="H135" s="2892" t="s">
        <v>3692</v>
      </c>
      <c r="I135" s="2892" t="s">
        <v>3062</v>
      </c>
      <c r="J135" s="2892">
        <v>13650.42</v>
      </c>
      <c r="K135" s="2892">
        <v>54601.68</v>
      </c>
      <c r="L135" s="2892" t="s">
        <v>3680</v>
      </c>
      <c r="M135" s="2892" t="s">
        <v>2817</v>
      </c>
      <c r="N135" s="2892" t="s">
        <v>3681</v>
      </c>
      <c r="O135" s="2892" t="s">
        <v>3200</v>
      </c>
      <c r="P135" s="2892" t="s">
        <v>2817</v>
      </c>
      <c r="Q135" s="2892" t="s">
        <v>2817</v>
      </c>
      <c r="R135" s="2892" t="s">
        <v>2817</v>
      </c>
      <c r="S135" s="2892" t="s">
        <v>2817</v>
      </c>
      <c r="T135" s="2892" t="s">
        <v>2817</v>
      </c>
      <c r="U135" s="2892" t="s">
        <v>2817</v>
      </c>
      <c r="V135" s="2892" t="s">
        <v>2817</v>
      </c>
      <c r="W135" s="2892" t="s">
        <v>3063</v>
      </c>
      <c r="X135" s="2892" t="s">
        <v>3666</v>
      </c>
      <c r="Y135" s="2892" t="s">
        <v>3667</v>
      </c>
      <c r="Z135" s="2892" t="s">
        <v>3668</v>
      </c>
      <c r="AA135" s="2892" t="s">
        <v>3668</v>
      </c>
      <c r="AB135" s="2892" t="s">
        <v>3673</v>
      </c>
      <c r="AC135" s="2892" t="s">
        <v>3059</v>
      </c>
      <c r="AD135" s="2892" t="s">
        <v>3682</v>
      </c>
      <c r="AE135" s="2892">
        <v>7497</v>
      </c>
      <c r="AF135" s="2892">
        <v>14994</v>
      </c>
      <c r="AG135" s="2892">
        <v>15194</v>
      </c>
      <c r="AH135" s="2892">
        <v>732.29</v>
      </c>
      <c r="AI135" s="2892">
        <v>742.05</v>
      </c>
      <c r="AJ135" s="2892">
        <v>2746.06</v>
      </c>
      <c r="AK135" s="2892">
        <v>2782.69</v>
      </c>
      <c r="AL135" s="2892" t="s">
        <v>2817</v>
      </c>
      <c r="AM135" s="2892" t="s">
        <v>2817</v>
      </c>
      <c r="AN135" s="2892">
        <v>1.33</v>
      </c>
      <c r="AO135" s="2892" t="s">
        <v>3060</v>
      </c>
      <c r="AP135" s="2892" t="s">
        <v>2817</v>
      </c>
      <c r="AQ135" s="2892" t="s">
        <v>2817</v>
      </c>
      <c r="AR135" s="2892" t="s">
        <v>2817</v>
      </c>
      <c r="AS135" s="2892" t="s">
        <v>3117</v>
      </c>
    </row>
    <row r="136" spans="1:45" s="2892" customFormat="1">
      <c r="A136" s="2892" t="s">
        <v>3693</v>
      </c>
      <c r="B136" s="2892" t="s">
        <v>3055</v>
      </c>
      <c r="C136" s="2892" t="s">
        <v>3071</v>
      </c>
      <c r="D136" s="2892" t="s">
        <v>3074</v>
      </c>
      <c r="E136" s="2892" t="s">
        <v>2817</v>
      </c>
      <c r="F136" s="2892" t="s">
        <v>3693</v>
      </c>
      <c r="G136" s="2892" t="s">
        <v>3057</v>
      </c>
      <c r="H136" s="2892" t="s">
        <v>3694</v>
      </c>
      <c r="I136" s="2892" t="s">
        <v>3273</v>
      </c>
      <c r="J136" s="2892">
        <v>33237.26</v>
      </c>
      <c r="K136" s="2892">
        <v>182804.9</v>
      </c>
      <c r="L136" s="2892" t="s">
        <v>3695</v>
      </c>
      <c r="M136" s="2892" t="s">
        <v>2817</v>
      </c>
      <c r="N136" s="2892" t="s">
        <v>3557</v>
      </c>
      <c r="O136" s="2892" t="s">
        <v>3200</v>
      </c>
      <c r="P136" s="2892" t="s">
        <v>2817</v>
      </c>
      <c r="Q136" s="2892" t="s">
        <v>2817</v>
      </c>
      <c r="R136" s="2892" t="s">
        <v>2817</v>
      </c>
      <c r="S136" s="2892" t="s">
        <v>2817</v>
      </c>
      <c r="T136" s="2892" t="s">
        <v>2817</v>
      </c>
      <c r="U136" s="2892" t="s">
        <v>2817</v>
      </c>
      <c r="V136" s="2892" t="s">
        <v>2817</v>
      </c>
      <c r="W136" s="2892" t="s">
        <v>3063</v>
      </c>
      <c r="X136" s="2892" t="s">
        <v>3696</v>
      </c>
      <c r="Y136" s="2892" t="s">
        <v>3697</v>
      </c>
      <c r="Z136" s="2892" t="s">
        <v>3667</v>
      </c>
      <c r="AA136" s="2892" t="s">
        <v>3667</v>
      </c>
      <c r="AB136" s="2892" t="s">
        <v>3698</v>
      </c>
      <c r="AC136" s="2892" t="s">
        <v>3059</v>
      </c>
      <c r="AD136" s="2892" t="s">
        <v>3699</v>
      </c>
      <c r="AE136" s="2892">
        <v>22785</v>
      </c>
      <c r="AF136" s="2892">
        <v>45570</v>
      </c>
      <c r="AG136" s="2892">
        <v>45570</v>
      </c>
      <c r="AH136" s="2892">
        <v>914.03</v>
      </c>
      <c r="AI136" s="2892">
        <v>914.03</v>
      </c>
      <c r="AJ136" s="2892">
        <v>2492.8200000000002</v>
      </c>
      <c r="AK136" s="2892">
        <v>2492.8200000000002</v>
      </c>
      <c r="AL136" s="2892" t="s">
        <v>2817</v>
      </c>
      <c r="AM136" s="2892" t="s">
        <v>2817</v>
      </c>
      <c r="AN136" s="2892">
        <v>0</v>
      </c>
      <c r="AO136" s="2892" t="s">
        <v>3700</v>
      </c>
      <c r="AP136" s="2892" t="s">
        <v>2817</v>
      </c>
      <c r="AQ136" s="2892" t="s">
        <v>2817</v>
      </c>
      <c r="AR136" s="2892" t="s">
        <v>2817</v>
      </c>
      <c r="AS136" s="2892" t="s">
        <v>3117</v>
      </c>
    </row>
    <row r="137" spans="1:45" s="2892" customFormat="1">
      <c r="A137" s="2892" t="s">
        <v>3701</v>
      </c>
      <c r="B137" s="2892" t="s">
        <v>3055</v>
      </c>
      <c r="C137" s="2892" t="s">
        <v>3071</v>
      </c>
      <c r="D137" s="2892" t="s">
        <v>3074</v>
      </c>
      <c r="E137" s="2892" t="s">
        <v>2817</v>
      </c>
      <c r="F137" s="2892" t="s">
        <v>3701</v>
      </c>
      <c r="G137" s="2892" t="s">
        <v>3057</v>
      </c>
      <c r="H137" s="2892" t="s">
        <v>3702</v>
      </c>
      <c r="I137" s="2892" t="s">
        <v>3273</v>
      </c>
      <c r="J137" s="2892">
        <v>28938.45</v>
      </c>
      <c r="K137" s="2892">
        <v>147586.1</v>
      </c>
      <c r="L137" s="2892" t="s">
        <v>3703</v>
      </c>
      <c r="M137" s="2892" t="s">
        <v>2817</v>
      </c>
      <c r="N137" s="2892" t="s">
        <v>3704</v>
      </c>
      <c r="O137" s="2892" t="s">
        <v>3200</v>
      </c>
      <c r="P137" s="2892" t="s">
        <v>2817</v>
      </c>
      <c r="Q137" s="2892" t="s">
        <v>2817</v>
      </c>
      <c r="R137" s="2892" t="s">
        <v>2817</v>
      </c>
      <c r="S137" s="2892" t="s">
        <v>2817</v>
      </c>
      <c r="T137" s="2892" t="s">
        <v>2817</v>
      </c>
      <c r="U137" s="2892" t="s">
        <v>2817</v>
      </c>
      <c r="V137" s="2892" t="s">
        <v>2817</v>
      </c>
      <c r="W137" s="2892" t="s">
        <v>3063</v>
      </c>
      <c r="X137" s="2892" t="s">
        <v>3696</v>
      </c>
      <c r="Y137" s="2892" t="s">
        <v>3697</v>
      </c>
      <c r="Z137" s="2892" t="s">
        <v>3667</v>
      </c>
      <c r="AA137" s="2892" t="s">
        <v>3667</v>
      </c>
      <c r="AB137" s="2892" t="s">
        <v>3698</v>
      </c>
      <c r="AC137" s="2892" t="s">
        <v>3059</v>
      </c>
      <c r="AD137" s="2892" t="s">
        <v>3699</v>
      </c>
      <c r="AE137" s="2892">
        <v>18918</v>
      </c>
      <c r="AF137" s="2892">
        <v>37836</v>
      </c>
      <c r="AG137" s="2892">
        <v>37836</v>
      </c>
      <c r="AH137" s="2892">
        <v>871.64</v>
      </c>
      <c r="AI137" s="2892">
        <v>871.64</v>
      </c>
      <c r="AJ137" s="2892">
        <v>2563.65</v>
      </c>
      <c r="AK137" s="2892">
        <v>2563.65</v>
      </c>
      <c r="AL137" s="2892" t="s">
        <v>2817</v>
      </c>
      <c r="AM137" s="2892" t="s">
        <v>2817</v>
      </c>
      <c r="AN137" s="2892">
        <v>0</v>
      </c>
      <c r="AO137" s="2892" t="s">
        <v>3700</v>
      </c>
      <c r="AP137" s="2892" t="s">
        <v>2817</v>
      </c>
      <c r="AQ137" s="2892" t="s">
        <v>2817</v>
      </c>
      <c r="AR137" s="2892" t="s">
        <v>2817</v>
      </c>
      <c r="AS137" s="2892" t="s">
        <v>3117</v>
      </c>
    </row>
    <row r="138" spans="1:45" s="2892" customFormat="1">
      <c r="A138" s="2892" t="s">
        <v>3705</v>
      </c>
      <c r="B138" s="2892" t="s">
        <v>3055</v>
      </c>
      <c r="C138" s="2892" t="s">
        <v>3071</v>
      </c>
      <c r="D138" s="2892" t="s">
        <v>3382</v>
      </c>
      <c r="E138" s="2892" t="s">
        <v>2817</v>
      </c>
      <c r="F138" s="2892" t="s">
        <v>3705</v>
      </c>
      <c r="G138" s="2892" t="s">
        <v>3057</v>
      </c>
      <c r="H138" s="2892" t="s">
        <v>3706</v>
      </c>
      <c r="I138" s="2892" t="s">
        <v>2817</v>
      </c>
      <c r="J138" s="2892">
        <v>82432.149999999994</v>
      </c>
      <c r="K138" s="2892">
        <v>370944.7</v>
      </c>
      <c r="L138" s="2892" t="s">
        <v>3707</v>
      </c>
      <c r="M138" s="2892" t="s">
        <v>2817</v>
      </c>
      <c r="N138" s="2892" t="s">
        <v>3708</v>
      </c>
      <c r="O138" s="2892" t="s">
        <v>3200</v>
      </c>
      <c r="P138" s="2892" t="s">
        <v>2817</v>
      </c>
      <c r="Q138" s="2892" t="s">
        <v>2817</v>
      </c>
      <c r="R138" s="2892" t="s">
        <v>2817</v>
      </c>
      <c r="S138" s="2892" t="s">
        <v>2817</v>
      </c>
      <c r="T138" s="2892" t="s">
        <v>2817</v>
      </c>
      <c r="U138" s="2892" t="s">
        <v>2817</v>
      </c>
      <c r="V138" s="2892" t="s">
        <v>2817</v>
      </c>
      <c r="W138" s="2892" t="s">
        <v>3063</v>
      </c>
      <c r="X138" s="2892" t="s">
        <v>3709</v>
      </c>
      <c r="Y138" s="2892" t="s">
        <v>3666</v>
      </c>
      <c r="Z138" s="2892" t="s">
        <v>3710</v>
      </c>
      <c r="AA138" s="2892" t="s">
        <v>3710</v>
      </c>
      <c r="AB138" s="2892" t="s">
        <v>3711</v>
      </c>
      <c r="AC138" s="2892" t="s">
        <v>3059</v>
      </c>
      <c r="AD138" s="2892" t="s">
        <v>3435</v>
      </c>
      <c r="AE138" s="2892">
        <v>37195</v>
      </c>
      <c r="AF138" s="2892">
        <v>74390</v>
      </c>
      <c r="AG138" s="2892">
        <v>74390</v>
      </c>
      <c r="AH138" s="2892">
        <v>601.63</v>
      </c>
      <c r="AI138" s="2892">
        <v>601.63</v>
      </c>
      <c r="AJ138" s="2892">
        <v>2005.42</v>
      </c>
      <c r="AK138" s="2892">
        <v>2005.42</v>
      </c>
      <c r="AL138" s="2892" t="s">
        <v>2817</v>
      </c>
      <c r="AM138" s="2892" t="s">
        <v>2817</v>
      </c>
      <c r="AN138" s="2892">
        <v>0</v>
      </c>
      <c r="AO138" s="2892" t="s">
        <v>3700</v>
      </c>
      <c r="AP138" s="2892" t="s">
        <v>2817</v>
      </c>
      <c r="AQ138" s="2892" t="s">
        <v>2817</v>
      </c>
      <c r="AR138" s="2892" t="s">
        <v>2817</v>
      </c>
      <c r="AS138" s="2892" t="s">
        <v>3086</v>
      </c>
    </row>
    <row r="139" spans="1:45" s="2892" customFormat="1">
      <c r="A139" s="2892" t="s">
        <v>3712</v>
      </c>
      <c r="B139" s="2892" t="s">
        <v>3055</v>
      </c>
      <c r="C139" s="2892" t="s">
        <v>3056</v>
      </c>
      <c r="D139" s="2892" t="s">
        <v>3074</v>
      </c>
      <c r="E139" s="2892" t="s">
        <v>2817</v>
      </c>
      <c r="F139" s="2892" t="s">
        <v>3712</v>
      </c>
      <c r="G139" s="2892" t="s">
        <v>3057</v>
      </c>
      <c r="H139" s="2892" t="s">
        <v>3713</v>
      </c>
      <c r="I139" s="2892" t="s">
        <v>3062</v>
      </c>
      <c r="J139" s="2892">
        <v>29220.26</v>
      </c>
      <c r="K139" s="2892">
        <v>102270.9</v>
      </c>
      <c r="L139" s="2892" t="s">
        <v>3639</v>
      </c>
      <c r="M139" s="2892" t="s">
        <v>2817</v>
      </c>
      <c r="N139" s="2892" t="s">
        <v>3078</v>
      </c>
      <c r="O139" s="2892" t="s">
        <v>3200</v>
      </c>
      <c r="P139" s="2892" t="s">
        <v>2817</v>
      </c>
      <c r="Q139" s="2892" t="s">
        <v>2817</v>
      </c>
      <c r="R139" s="2892" t="s">
        <v>2817</v>
      </c>
      <c r="S139" s="2892" t="s">
        <v>2817</v>
      </c>
      <c r="T139" s="2892" t="s">
        <v>2817</v>
      </c>
      <c r="U139" s="2892" t="s">
        <v>2817</v>
      </c>
      <c r="V139" s="2892" t="s">
        <v>2817</v>
      </c>
      <c r="W139" s="2892" t="s">
        <v>3063</v>
      </c>
      <c r="X139" s="2892" t="s">
        <v>3714</v>
      </c>
      <c r="Y139" s="2892" t="s">
        <v>3715</v>
      </c>
      <c r="Z139" s="2892" t="s">
        <v>3716</v>
      </c>
      <c r="AA139" s="2892" t="s">
        <v>3716</v>
      </c>
      <c r="AB139" s="2892" t="s">
        <v>3717</v>
      </c>
      <c r="AC139" s="2892" t="s">
        <v>3059</v>
      </c>
      <c r="AD139" s="2892" t="s">
        <v>3718</v>
      </c>
      <c r="AE139" s="2892">
        <v>14472</v>
      </c>
      <c r="AF139" s="2892">
        <v>28943</v>
      </c>
      <c r="AG139" s="2892">
        <v>28943</v>
      </c>
      <c r="AH139" s="2892">
        <v>660.34</v>
      </c>
      <c r="AI139" s="2892">
        <v>660.34</v>
      </c>
      <c r="AJ139" s="2892">
        <v>2830.03</v>
      </c>
      <c r="AK139" s="2892">
        <v>2830.03</v>
      </c>
      <c r="AL139" s="2892" t="s">
        <v>2817</v>
      </c>
      <c r="AM139" s="2892" t="s">
        <v>2817</v>
      </c>
      <c r="AN139" s="2892">
        <v>0</v>
      </c>
      <c r="AO139" s="2892" t="s">
        <v>3060</v>
      </c>
      <c r="AP139" s="2892" t="s">
        <v>2817</v>
      </c>
      <c r="AQ139" s="2892" t="s">
        <v>2817</v>
      </c>
      <c r="AR139" s="2892" t="s">
        <v>2817</v>
      </c>
      <c r="AS139" s="2892" t="s">
        <v>3117</v>
      </c>
    </row>
    <row r="140" spans="1:45" s="2892" customFormat="1">
      <c r="A140" s="2892" t="s">
        <v>3719</v>
      </c>
      <c r="B140" s="2892" t="s">
        <v>3055</v>
      </c>
      <c r="C140" s="2892" t="s">
        <v>3056</v>
      </c>
      <c r="D140" s="2892" t="s">
        <v>3468</v>
      </c>
      <c r="E140" s="2892" t="s">
        <v>2817</v>
      </c>
      <c r="F140" s="2892" t="s">
        <v>3719</v>
      </c>
      <c r="G140" s="2892" t="s">
        <v>3057</v>
      </c>
      <c r="H140" s="2892" t="s">
        <v>3720</v>
      </c>
      <c r="I140" s="2892" t="s">
        <v>3062</v>
      </c>
      <c r="J140" s="2892">
        <v>27599.26</v>
      </c>
      <c r="K140" s="2892">
        <v>82797.78</v>
      </c>
      <c r="L140" s="2892" t="s">
        <v>3685</v>
      </c>
      <c r="M140" s="2892" t="s">
        <v>2817</v>
      </c>
      <c r="N140" s="2892" t="s">
        <v>3078</v>
      </c>
      <c r="O140" s="2892" t="s">
        <v>3200</v>
      </c>
      <c r="P140" s="2892" t="s">
        <v>2817</v>
      </c>
      <c r="Q140" s="2892" t="s">
        <v>2817</v>
      </c>
      <c r="R140" s="2892" t="s">
        <v>2817</v>
      </c>
      <c r="S140" s="2892" t="s">
        <v>2817</v>
      </c>
      <c r="T140" s="2892" t="s">
        <v>2817</v>
      </c>
      <c r="U140" s="2892" t="s">
        <v>2817</v>
      </c>
      <c r="V140" s="2892" t="s">
        <v>2817</v>
      </c>
      <c r="W140" s="2892" t="s">
        <v>3063</v>
      </c>
      <c r="X140" s="2892" t="s">
        <v>3721</v>
      </c>
      <c r="Y140" s="2892" t="s">
        <v>3722</v>
      </c>
      <c r="Z140" s="2892" t="s">
        <v>3709</v>
      </c>
      <c r="AA140" s="2892" t="s">
        <v>3709</v>
      </c>
      <c r="AB140" s="2892" t="s">
        <v>3723</v>
      </c>
      <c r="AC140" s="2892" t="s">
        <v>3059</v>
      </c>
      <c r="AD140" s="2892" t="s">
        <v>3724</v>
      </c>
      <c r="AE140" s="2892">
        <v>12120</v>
      </c>
      <c r="AF140" s="2892">
        <v>24240</v>
      </c>
      <c r="AG140" s="2892">
        <v>44025</v>
      </c>
      <c r="AH140" s="2892">
        <v>585.52</v>
      </c>
      <c r="AI140" s="2892">
        <v>1063.43</v>
      </c>
      <c r="AJ140" s="2892">
        <v>2927.61</v>
      </c>
      <c r="AK140" s="2892">
        <v>5317.17</v>
      </c>
      <c r="AL140" s="2892" t="s">
        <v>2817</v>
      </c>
      <c r="AM140" s="2892" t="s">
        <v>2817</v>
      </c>
      <c r="AN140" s="2892">
        <v>81.62</v>
      </c>
      <c r="AO140" s="2892" t="s">
        <v>3060</v>
      </c>
      <c r="AP140" s="2892" t="s">
        <v>2817</v>
      </c>
      <c r="AQ140" s="2892" t="s">
        <v>2817</v>
      </c>
      <c r="AR140" s="2892" t="s">
        <v>2817</v>
      </c>
      <c r="AS140" s="2892" t="s">
        <v>3086</v>
      </c>
    </row>
    <row r="141" spans="1:45" s="2892" customFormat="1">
      <c r="A141" s="2892" t="s">
        <v>3725</v>
      </c>
      <c r="B141" s="2892" t="s">
        <v>3055</v>
      </c>
      <c r="C141" s="2892" t="s">
        <v>3056</v>
      </c>
      <c r="D141" s="2892" t="s">
        <v>3468</v>
      </c>
      <c r="E141" s="2892" t="s">
        <v>2817</v>
      </c>
      <c r="F141" s="2892" t="s">
        <v>3725</v>
      </c>
      <c r="G141" s="2892" t="s">
        <v>3057</v>
      </c>
      <c r="H141" s="2892" t="s">
        <v>3726</v>
      </c>
      <c r="I141" s="2892" t="s">
        <v>3062</v>
      </c>
      <c r="J141" s="2892">
        <v>17134.29</v>
      </c>
      <c r="K141" s="2892">
        <v>51402.87</v>
      </c>
      <c r="L141" s="2892" t="s">
        <v>3685</v>
      </c>
      <c r="M141" s="2892" t="s">
        <v>2817</v>
      </c>
      <c r="N141" s="2892" t="s">
        <v>3078</v>
      </c>
      <c r="O141" s="2892" t="s">
        <v>3200</v>
      </c>
      <c r="P141" s="2892" t="s">
        <v>2817</v>
      </c>
      <c r="Q141" s="2892" t="s">
        <v>2817</v>
      </c>
      <c r="R141" s="2892" t="s">
        <v>2817</v>
      </c>
      <c r="S141" s="2892" t="s">
        <v>2817</v>
      </c>
      <c r="T141" s="2892" t="s">
        <v>3458</v>
      </c>
      <c r="U141" s="2892" t="s">
        <v>2817</v>
      </c>
      <c r="V141" s="2892" t="s">
        <v>2817</v>
      </c>
      <c r="W141" s="2892" t="s">
        <v>3063</v>
      </c>
      <c r="X141" s="2892" t="s">
        <v>3721</v>
      </c>
      <c r="Y141" s="2892" t="s">
        <v>3722</v>
      </c>
      <c r="Z141" s="2892" t="s">
        <v>3709</v>
      </c>
      <c r="AA141" s="2892" t="s">
        <v>3709</v>
      </c>
      <c r="AB141" s="2892" t="s">
        <v>3727</v>
      </c>
      <c r="AC141" s="2892" t="s">
        <v>3059</v>
      </c>
      <c r="AD141" s="2892" t="s">
        <v>3728</v>
      </c>
      <c r="AE141" s="2892">
        <v>7530</v>
      </c>
      <c r="AF141" s="2892">
        <v>15051</v>
      </c>
      <c r="AG141" s="2892">
        <v>28145</v>
      </c>
      <c r="AH141" s="2892">
        <v>585.61</v>
      </c>
      <c r="AI141" s="2892">
        <v>1095.08</v>
      </c>
      <c r="AJ141" s="2892">
        <v>2928.04</v>
      </c>
      <c r="AK141" s="2892">
        <v>5475.38</v>
      </c>
      <c r="AL141" s="2892" t="s">
        <v>2817</v>
      </c>
      <c r="AM141" s="2892" t="s">
        <v>2817</v>
      </c>
      <c r="AN141" s="2892">
        <v>87</v>
      </c>
      <c r="AO141" s="2892" t="s">
        <v>3060</v>
      </c>
      <c r="AP141" s="2892" t="s">
        <v>2817</v>
      </c>
      <c r="AQ141" s="2892" t="s">
        <v>2817</v>
      </c>
      <c r="AR141" s="2892" t="s">
        <v>2817</v>
      </c>
      <c r="AS141" s="2892" t="s">
        <v>3086</v>
      </c>
    </row>
    <row r="142" spans="1:45" s="2892" customFormat="1">
      <c r="A142" s="2892" t="s">
        <v>3729</v>
      </c>
      <c r="B142" s="2892" t="s">
        <v>3055</v>
      </c>
      <c r="C142" s="2892" t="s">
        <v>3056</v>
      </c>
      <c r="D142" s="2892" t="s">
        <v>3468</v>
      </c>
      <c r="E142" s="2892" t="s">
        <v>2817</v>
      </c>
      <c r="F142" s="2892" t="s">
        <v>3729</v>
      </c>
      <c r="G142" s="2892" t="s">
        <v>3057</v>
      </c>
      <c r="H142" s="2892" t="s">
        <v>3730</v>
      </c>
      <c r="I142" s="2892" t="s">
        <v>3062</v>
      </c>
      <c r="J142" s="2892">
        <v>48603.87</v>
      </c>
      <c r="K142" s="2892">
        <v>145811.6</v>
      </c>
      <c r="L142" s="2892" t="s">
        <v>3632</v>
      </c>
      <c r="M142" s="2892" t="s">
        <v>2817</v>
      </c>
      <c r="N142" s="2892" t="s">
        <v>3078</v>
      </c>
      <c r="O142" s="2892" t="s">
        <v>3111</v>
      </c>
      <c r="P142" s="2892" t="s">
        <v>2817</v>
      </c>
      <c r="Q142" s="2892" t="s">
        <v>2817</v>
      </c>
      <c r="R142" s="2892" t="s">
        <v>2817</v>
      </c>
      <c r="S142" s="2892" t="s">
        <v>2817</v>
      </c>
      <c r="T142" s="2892" t="s">
        <v>3458</v>
      </c>
      <c r="U142" s="2892" t="s">
        <v>2817</v>
      </c>
      <c r="V142" s="2892" t="s">
        <v>2817</v>
      </c>
      <c r="W142" s="2892" t="s">
        <v>3063</v>
      </c>
      <c r="X142" s="2892" t="s">
        <v>3731</v>
      </c>
      <c r="Y142" s="2892" t="s">
        <v>3732</v>
      </c>
      <c r="Z142" s="2892" t="s">
        <v>3733</v>
      </c>
      <c r="AA142" s="2892" t="s">
        <v>3733</v>
      </c>
      <c r="AB142" s="2892" t="s">
        <v>3734</v>
      </c>
      <c r="AC142" s="2892" t="s">
        <v>3059</v>
      </c>
      <c r="AD142" s="2892" t="s">
        <v>3735</v>
      </c>
      <c r="AE142" s="2892">
        <v>20230</v>
      </c>
      <c r="AF142" s="2892">
        <v>40458</v>
      </c>
      <c r="AG142" s="2892">
        <v>40458</v>
      </c>
      <c r="AH142" s="2892">
        <v>554.94000000000005</v>
      </c>
      <c r="AI142" s="2892">
        <v>554.94000000000005</v>
      </c>
      <c r="AJ142" s="2892">
        <v>2774.67</v>
      </c>
      <c r="AK142" s="2892">
        <v>2774.67</v>
      </c>
      <c r="AL142" s="2892" t="s">
        <v>2817</v>
      </c>
      <c r="AM142" s="2892" t="s">
        <v>2817</v>
      </c>
      <c r="AN142" s="2892">
        <v>0</v>
      </c>
      <c r="AO142" s="2892" t="s">
        <v>3060</v>
      </c>
      <c r="AP142" s="2892" t="s">
        <v>2817</v>
      </c>
      <c r="AQ142" s="2892" t="s">
        <v>2817</v>
      </c>
      <c r="AR142" s="2892" t="s">
        <v>2817</v>
      </c>
      <c r="AS142" s="2892" t="s">
        <v>3117</v>
      </c>
    </row>
    <row r="143" spans="1:45" s="2892" customFormat="1">
      <c r="A143" s="2892" t="s">
        <v>3736</v>
      </c>
      <c r="B143" s="2892" t="s">
        <v>3055</v>
      </c>
      <c r="C143" s="2892" t="s">
        <v>3056</v>
      </c>
      <c r="D143" s="2892" t="s">
        <v>3382</v>
      </c>
      <c r="E143" s="2892" t="s">
        <v>2817</v>
      </c>
      <c r="F143" s="2892" t="s">
        <v>3736</v>
      </c>
      <c r="G143" s="2892" t="s">
        <v>3057</v>
      </c>
      <c r="H143" s="2892" t="s">
        <v>3737</v>
      </c>
      <c r="I143" s="2892" t="s">
        <v>3062</v>
      </c>
      <c r="J143" s="2892">
        <v>4855.7</v>
      </c>
      <c r="K143" s="2892">
        <v>16994.95</v>
      </c>
      <c r="L143" s="2892" t="s">
        <v>3639</v>
      </c>
      <c r="M143" s="2892" t="s">
        <v>2817</v>
      </c>
      <c r="N143" s="2892" t="s">
        <v>3078</v>
      </c>
      <c r="O143" s="2892" t="s">
        <v>3111</v>
      </c>
      <c r="P143" s="2892" t="s">
        <v>2817</v>
      </c>
      <c r="Q143" s="2892" t="s">
        <v>2817</v>
      </c>
      <c r="R143" s="2892" t="s">
        <v>2817</v>
      </c>
      <c r="S143" s="2892" t="s">
        <v>2817</v>
      </c>
      <c r="T143" s="2892" t="s">
        <v>3458</v>
      </c>
      <c r="U143" s="2892" t="s">
        <v>2817</v>
      </c>
      <c r="V143" s="2892" t="s">
        <v>2817</v>
      </c>
      <c r="W143" s="2892" t="s">
        <v>3063</v>
      </c>
      <c r="X143" s="2892" t="s">
        <v>3738</v>
      </c>
      <c r="Y143" s="2892" t="s">
        <v>3739</v>
      </c>
      <c r="Z143" s="2892" t="s">
        <v>3740</v>
      </c>
      <c r="AA143" s="2892" t="s">
        <v>3740</v>
      </c>
      <c r="AB143" s="2892" t="s">
        <v>3741</v>
      </c>
      <c r="AC143" s="2892" t="s">
        <v>3059</v>
      </c>
      <c r="AD143" s="2892" t="s">
        <v>3742</v>
      </c>
      <c r="AE143" s="2892">
        <v>2280</v>
      </c>
      <c r="AF143" s="2892">
        <v>4556</v>
      </c>
      <c r="AG143" s="2892">
        <v>4556</v>
      </c>
      <c r="AH143" s="2892">
        <v>625.52</v>
      </c>
      <c r="AI143" s="2892">
        <v>625.52</v>
      </c>
      <c r="AJ143" s="2892">
        <v>2680.79</v>
      </c>
      <c r="AK143" s="2892">
        <v>2680.8</v>
      </c>
      <c r="AL143" s="2892" t="s">
        <v>2817</v>
      </c>
      <c r="AM143" s="2892" t="s">
        <v>2817</v>
      </c>
      <c r="AN143" s="2892">
        <v>0</v>
      </c>
      <c r="AO143" s="2892" t="s">
        <v>3060</v>
      </c>
      <c r="AP143" s="2892" t="s">
        <v>2817</v>
      </c>
      <c r="AQ143" s="2892" t="s">
        <v>2817</v>
      </c>
      <c r="AR143" s="2892" t="s">
        <v>2817</v>
      </c>
      <c r="AS143" s="2892" t="s">
        <v>3146</v>
      </c>
    </row>
    <row r="144" spans="1:45" s="2892" customFormat="1">
      <c r="A144" s="2892" t="s">
        <v>3743</v>
      </c>
      <c r="B144" s="2892" t="s">
        <v>3055</v>
      </c>
      <c r="C144" s="2892" t="s">
        <v>3056</v>
      </c>
      <c r="D144" s="2892" t="s">
        <v>3382</v>
      </c>
      <c r="E144" s="2892" t="s">
        <v>2817</v>
      </c>
      <c r="F144" s="2892" t="s">
        <v>3743</v>
      </c>
      <c r="G144" s="2892" t="s">
        <v>3057</v>
      </c>
      <c r="H144" s="2892" t="s">
        <v>3744</v>
      </c>
      <c r="I144" s="2892" t="s">
        <v>3062</v>
      </c>
      <c r="J144" s="2892">
        <v>63387.67</v>
      </c>
      <c r="K144" s="2892">
        <v>285244.5</v>
      </c>
      <c r="L144" s="2892" t="s">
        <v>3745</v>
      </c>
      <c r="M144" s="2892" t="s">
        <v>2817</v>
      </c>
      <c r="N144" s="2892" t="s">
        <v>3078</v>
      </c>
      <c r="O144" s="2892" t="s">
        <v>3111</v>
      </c>
      <c r="P144" s="2892" t="s">
        <v>2817</v>
      </c>
      <c r="Q144" s="2892" t="s">
        <v>2817</v>
      </c>
      <c r="R144" s="2892" t="s">
        <v>2817</v>
      </c>
      <c r="S144" s="2892" t="s">
        <v>2817</v>
      </c>
      <c r="T144" s="2892" t="s">
        <v>3458</v>
      </c>
      <c r="U144" s="2892" t="s">
        <v>2817</v>
      </c>
      <c r="V144" s="2892" t="s">
        <v>2817</v>
      </c>
      <c r="W144" s="2892" t="s">
        <v>3063</v>
      </c>
      <c r="X144" s="2892" t="s">
        <v>3738</v>
      </c>
      <c r="Y144" s="2892" t="s">
        <v>3739</v>
      </c>
      <c r="Z144" s="2892" t="s">
        <v>3740</v>
      </c>
      <c r="AA144" s="2892" t="s">
        <v>3740</v>
      </c>
      <c r="AB144" s="2892" t="s">
        <v>3746</v>
      </c>
      <c r="AC144" s="2892" t="s">
        <v>3059</v>
      </c>
      <c r="AD144" s="2892" t="s">
        <v>3435</v>
      </c>
      <c r="AE144" s="2892">
        <v>27625</v>
      </c>
      <c r="AF144" s="2892">
        <v>55250</v>
      </c>
      <c r="AG144" s="2892">
        <v>55250</v>
      </c>
      <c r="AH144" s="2892">
        <v>581.08000000000004</v>
      </c>
      <c r="AI144" s="2892">
        <v>581.08000000000004</v>
      </c>
      <c r="AJ144" s="2892">
        <v>1936.93</v>
      </c>
      <c r="AK144" s="2892">
        <v>1936.93</v>
      </c>
      <c r="AL144" s="2892" t="s">
        <v>2817</v>
      </c>
      <c r="AM144" s="2892" t="s">
        <v>2817</v>
      </c>
      <c r="AN144" s="2892">
        <v>0</v>
      </c>
      <c r="AO144" s="2892" t="s">
        <v>3060</v>
      </c>
      <c r="AP144" s="2892" t="s">
        <v>2817</v>
      </c>
      <c r="AQ144" s="2892" t="s">
        <v>2817</v>
      </c>
      <c r="AR144" s="2892" t="s">
        <v>2817</v>
      </c>
      <c r="AS144" s="2892" t="s">
        <v>3086</v>
      </c>
    </row>
    <row r="145" spans="1:45" s="2892" customFormat="1">
      <c r="A145" s="2892" t="s">
        <v>3747</v>
      </c>
      <c r="B145" s="2892" t="s">
        <v>3055</v>
      </c>
      <c r="C145" s="2892" t="s">
        <v>3056</v>
      </c>
      <c r="D145" s="2892" t="s">
        <v>3382</v>
      </c>
      <c r="E145" s="2892" t="s">
        <v>2817</v>
      </c>
      <c r="F145" s="2892" t="s">
        <v>3747</v>
      </c>
      <c r="G145" s="2892" t="s">
        <v>3057</v>
      </c>
      <c r="H145" s="2892" t="s">
        <v>3748</v>
      </c>
      <c r="I145" s="2892" t="s">
        <v>3062</v>
      </c>
      <c r="J145" s="2892">
        <v>58178.48</v>
      </c>
      <c r="K145" s="2892">
        <v>290892.40000000002</v>
      </c>
      <c r="L145" s="2892" t="s">
        <v>3749</v>
      </c>
      <c r="M145" s="2892" t="s">
        <v>2817</v>
      </c>
      <c r="N145" s="2892" t="s">
        <v>3078</v>
      </c>
      <c r="O145" s="2892" t="s">
        <v>3111</v>
      </c>
      <c r="P145" s="2892" t="s">
        <v>2817</v>
      </c>
      <c r="Q145" s="2892" t="s">
        <v>2817</v>
      </c>
      <c r="R145" s="2892" t="s">
        <v>2817</v>
      </c>
      <c r="S145" s="2892" t="s">
        <v>2817</v>
      </c>
      <c r="T145" s="2892" t="s">
        <v>3458</v>
      </c>
      <c r="U145" s="2892" t="s">
        <v>2817</v>
      </c>
      <c r="V145" s="2892" t="s">
        <v>2817</v>
      </c>
      <c r="W145" s="2892" t="s">
        <v>3063</v>
      </c>
      <c r="X145" s="2892" t="s">
        <v>3738</v>
      </c>
      <c r="Y145" s="2892" t="s">
        <v>3739</v>
      </c>
      <c r="Z145" s="2892" t="s">
        <v>3740</v>
      </c>
      <c r="AA145" s="2892" t="s">
        <v>3740</v>
      </c>
      <c r="AB145" s="2892" t="s">
        <v>3750</v>
      </c>
      <c r="AC145" s="2892" t="s">
        <v>3059</v>
      </c>
      <c r="AD145" s="2892" t="s">
        <v>3751</v>
      </c>
      <c r="AE145" s="2892">
        <v>31880</v>
      </c>
      <c r="AF145" s="2892">
        <v>63758</v>
      </c>
      <c r="AG145" s="2892">
        <v>63758</v>
      </c>
      <c r="AH145" s="2892">
        <v>730.6</v>
      </c>
      <c r="AI145" s="2892">
        <v>730.6</v>
      </c>
      <c r="AJ145" s="2892">
        <v>2191.8000000000002</v>
      </c>
      <c r="AK145" s="2892">
        <v>2191.8000000000002</v>
      </c>
      <c r="AL145" s="2892" t="s">
        <v>2817</v>
      </c>
      <c r="AM145" s="2892" t="s">
        <v>2817</v>
      </c>
      <c r="AN145" s="2892">
        <v>0</v>
      </c>
      <c r="AO145" s="2892" t="s">
        <v>3060</v>
      </c>
      <c r="AP145" s="2892" t="s">
        <v>2817</v>
      </c>
      <c r="AQ145" s="2892" t="s">
        <v>2817</v>
      </c>
      <c r="AR145" s="2892" t="s">
        <v>2817</v>
      </c>
      <c r="AS145" s="2892" t="s">
        <v>3117</v>
      </c>
    </row>
    <row r="146" spans="1:45" s="2892" customFormat="1">
      <c r="A146" s="2892" t="s">
        <v>3752</v>
      </c>
      <c r="B146" s="2892" t="s">
        <v>3055</v>
      </c>
      <c r="C146" s="2892" t="s">
        <v>3056</v>
      </c>
      <c r="D146" s="2892" t="s">
        <v>3382</v>
      </c>
      <c r="E146" s="2892" t="s">
        <v>2817</v>
      </c>
      <c r="F146" s="2892" t="s">
        <v>3752</v>
      </c>
      <c r="G146" s="2892" t="s">
        <v>3057</v>
      </c>
      <c r="H146" s="2892" t="s">
        <v>3753</v>
      </c>
      <c r="I146" s="2892" t="s">
        <v>3062</v>
      </c>
      <c r="J146" s="2892">
        <v>23308.880000000001</v>
      </c>
      <c r="K146" s="2892">
        <v>139853.29999999999</v>
      </c>
      <c r="L146" s="2892" t="s">
        <v>3754</v>
      </c>
      <c r="M146" s="2892" t="s">
        <v>2817</v>
      </c>
      <c r="N146" s="2892" t="s">
        <v>3755</v>
      </c>
      <c r="O146" s="2892" t="s">
        <v>3111</v>
      </c>
      <c r="P146" s="2892" t="s">
        <v>2817</v>
      </c>
      <c r="Q146" s="2892" t="s">
        <v>2817</v>
      </c>
      <c r="R146" s="2892" t="s">
        <v>2817</v>
      </c>
      <c r="S146" s="2892" t="s">
        <v>2817</v>
      </c>
      <c r="T146" s="2892" t="s">
        <v>3458</v>
      </c>
      <c r="U146" s="2892" t="s">
        <v>2817</v>
      </c>
      <c r="V146" s="2892" t="s">
        <v>2817</v>
      </c>
      <c r="W146" s="2892" t="s">
        <v>3063</v>
      </c>
      <c r="X146" s="2892" t="s">
        <v>3738</v>
      </c>
      <c r="Y146" s="2892" t="s">
        <v>3739</v>
      </c>
      <c r="Z146" s="2892" t="s">
        <v>3740</v>
      </c>
      <c r="AA146" s="2892" t="s">
        <v>3740</v>
      </c>
      <c r="AB146" s="2892" t="s">
        <v>3756</v>
      </c>
      <c r="AC146" s="2892" t="s">
        <v>3059</v>
      </c>
      <c r="AD146" s="2892" t="s">
        <v>3742</v>
      </c>
      <c r="AE146" s="2892">
        <v>15098</v>
      </c>
      <c r="AF146" s="2892">
        <v>30196</v>
      </c>
      <c r="AG146" s="2892">
        <v>30196</v>
      </c>
      <c r="AH146" s="2892">
        <v>863.65</v>
      </c>
      <c r="AI146" s="2892">
        <v>863.65</v>
      </c>
      <c r="AJ146" s="2892">
        <v>2159.11</v>
      </c>
      <c r="AK146" s="2892">
        <v>2159.11</v>
      </c>
      <c r="AL146" s="2892" t="s">
        <v>2817</v>
      </c>
      <c r="AM146" s="2892" t="s">
        <v>2817</v>
      </c>
      <c r="AN146" s="2892">
        <v>0</v>
      </c>
      <c r="AO146" s="2892" t="s">
        <v>3060</v>
      </c>
      <c r="AP146" s="2892" t="s">
        <v>2817</v>
      </c>
      <c r="AQ146" s="2892" t="s">
        <v>2817</v>
      </c>
      <c r="AR146" s="2892" t="s">
        <v>2817</v>
      </c>
      <c r="AS146" s="2892" t="s">
        <v>3086</v>
      </c>
    </row>
    <row r="147" spans="1:45" s="2892" customFormat="1">
      <c r="A147" s="2892" t="s">
        <v>3736</v>
      </c>
      <c r="B147" s="2892" t="s">
        <v>3055</v>
      </c>
      <c r="C147" s="2892" t="s">
        <v>3056</v>
      </c>
      <c r="D147" s="2892" t="s">
        <v>3382</v>
      </c>
      <c r="E147" s="2892" t="s">
        <v>2817</v>
      </c>
      <c r="F147" s="2892" t="s">
        <v>3736</v>
      </c>
      <c r="G147" s="2892" t="s">
        <v>3057</v>
      </c>
      <c r="H147" s="2892" t="s">
        <v>3757</v>
      </c>
      <c r="I147" s="2892" t="s">
        <v>3062</v>
      </c>
      <c r="J147" s="2892">
        <v>24508.93</v>
      </c>
      <c r="K147" s="2892">
        <v>134799.1</v>
      </c>
      <c r="L147" s="2892" t="s">
        <v>3695</v>
      </c>
      <c r="M147" s="2892" t="s">
        <v>2817</v>
      </c>
      <c r="N147" s="2892" t="s">
        <v>3078</v>
      </c>
      <c r="O147" s="2892" t="s">
        <v>3111</v>
      </c>
      <c r="P147" s="2892" t="s">
        <v>2817</v>
      </c>
      <c r="Q147" s="2892" t="s">
        <v>2817</v>
      </c>
      <c r="R147" s="2892" t="s">
        <v>2817</v>
      </c>
      <c r="S147" s="2892" t="s">
        <v>2817</v>
      </c>
      <c r="T147" s="2892" t="s">
        <v>3458</v>
      </c>
      <c r="U147" s="2892" t="s">
        <v>2817</v>
      </c>
      <c r="V147" s="2892" t="s">
        <v>2817</v>
      </c>
      <c r="W147" s="2892" t="s">
        <v>3063</v>
      </c>
      <c r="X147" s="2892" t="s">
        <v>3758</v>
      </c>
      <c r="Y147" s="2892" t="s">
        <v>3759</v>
      </c>
      <c r="Z147" s="2892" t="s">
        <v>3760</v>
      </c>
      <c r="AA147" s="2892" t="s">
        <v>3760</v>
      </c>
      <c r="AB147" s="2892" t="s">
        <v>3761</v>
      </c>
      <c r="AC147" s="2892" t="s">
        <v>3059</v>
      </c>
      <c r="AD147" s="2892" t="s">
        <v>3762</v>
      </c>
      <c r="AE147" s="2892">
        <v>15300</v>
      </c>
      <c r="AF147" s="2892">
        <v>30561</v>
      </c>
      <c r="AG147" s="2892">
        <v>30561</v>
      </c>
      <c r="AH147" s="2892">
        <v>831.29</v>
      </c>
      <c r="AI147" s="2892">
        <v>831.29</v>
      </c>
      <c r="AJ147" s="2892">
        <v>2267.15</v>
      </c>
      <c r="AK147" s="2892">
        <v>2267.15</v>
      </c>
      <c r="AL147" s="2892" t="s">
        <v>2817</v>
      </c>
      <c r="AM147" s="2892" t="s">
        <v>2817</v>
      </c>
      <c r="AN147" s="2892">
        <v>0</v>
      </c>
      <c r="AO147" s="2892" t="s">
        <v>3060</v>
      </c>
      <c r="AP147" s="2892" t="s">
        <v>2817</v>
      </c>
      <c r="AQ147" s="2892" t="s">
        <v>2817</v>
      </c>
      <c r="AR147" s="2892" t="s">
        <v>2817</v>
      </c>
      <c r="AS147" s="2892" t="s">
        <v>3146</v>
      </c>
    </row>
    <row r="148" spans="1:45" s="2892" customFormat="1">
      <c r="A148" s="2892" t="s">
        <v>3763</v>
      </c>
      <c r="B148" s="2892" t="s">
        <v>3055</v>
      </c>
      <c r="C148" s="2892" t="s">
        <v>3056</v>
      </c>
      <c r="D148" s="2892" t="s">
        <v>3074</v>
      </c>
      <c r="E148" s="2892" t="s">
        <v>2817</v>
      </c>
      <c r="F148" s="2892" t="s">
        <v>3763</v>
      </c>
      <c r="G148" s="2892" t="s">
        <v>3057</v>
      </c>
      <c r="H148" s="2892" t="s">
        <v>3764</v>
      </c>
      <c r="I148" s="2892" t="s">
        <v>3062</v>
      </c>
      <c r="J148" s="2892">
        <v>58621.56</v>
      </c>
      <c r="K148" s="2892">
        <v>281383.5</v>
      </c>
      <c r="L148" s="2892" t="s">
        <v>3765</v>
      </c>
      <c r="M148" s="2892" t="s">
        <v>2817</v>
      </c>
      <c r="N148" s="2892" t="s">
        <v>3302</v>
      </c>
      <c r="O148" s="2892" t="s">
        <v>3111</v>
      </c>
      <c r="P148" s="2892" t="s">
        <v>2817</v>
      </c>
      <c r="Q148" s="2892" t="s">
        <v>2817</v>
      </c>
      <c r="R148" s="2892" t="s">
        <v>2817</v>
      </c>
      <c r="S148" s="2892" t="s">
        <v>2817</v>
      </c>
      <c r="T148" s="2892" t="s">
        <v>3092</v>
      </c>
      <c r="U148" s="2892" t="s">
        <v>2817</v>
      </c>
      <c r="V148" s="2892" t="s">
        <v>2817</v>
      </c>
      <c r="W148" s="2892" t="s">
        <v>3063</v>
      </c>
      <c r="X148" s="2892" t="s">
        <v>3766</v>
      </c>
      <c r="Y148" s="2892" t="s">
        <v>3767</v>
      </c>
      <c r="Z148" s="2892" t="s">
        <v>3758</v>
      </c>
      <c r="AA148" s="2892" t="s">
        <v>3758</v>
      </c>
      <c r="AB148" s="2892" t="s">
        <v>3768</v>
      </c>
      <c r="AC148" s="2892" t="s">
        <v>3059</v>
      </c>
      <c r="AD148" s="2892" t="s">
        <v>3769</v>
      </c>
      <c r="AE148" s="2892">
        <v>37390</v>
      </c>
      <c r="AF148" s="2892">
        <v>74771</v>
      </c>
      <c r="AG148" s="2892">
        <v>74771</v>
      </c>
      <c r="AH148" s="2892">
        <v>850.32</v>
      </c>
      <c r="AI148" s="2892">
        <v>850.32</v>
      </c>
      <c r="AJ148" s="2892">
        <v>2657.26</v>
      </c>
      <c r="AK148" s="2892">
        <v>2657.26</v>
      </c>
      <c r="AL148" s="2892" t="s">
        <v>2817</v>
      </c>
      <c r="AM148" s="2892" t="s">
        <v>2817</v>
      </c>
      <c r="AN148" s="2892">
        <v>0</v>
      </c>
      <c r="AO148" s="2892" t="s">
        <v>3060</v>
      </c>
      <c r="AP148" s="2892" t="s">
        <v>2817</v>
      </c>
      <c r="AQ148" s="2892" t="s">
        <v>2817</v>
      </c>
      <c r="AR148" s="2892" t="s">
        <v>2817</v>
      </c>
      <c r="AS148" s="2892" t="s">
        <v>3117</v>
      </c>
    </row>
    <row r="149" spans="1:45" s="2892" customFormat="1">
      <c r="A149" s="2892" t="s">
        <v>3770</v>
      </c>
      <c r="B149" s="2892" t="s">
        <v>3055</v>
      </c>
      <c r="C149" s="2892" t="s">
        <v>3056</v>
      </c>
      <c r="D149" s="2892" t="s">
        <v>3074</v>
      </c>
      <c r="E149" s="2892" t="s">
        <v>2817</v>
      </c>
      <c r="F149" s="2892" t="s">
        <v>3770</v>
      </c>
      <c r="G149" s="2892" t="s">
        <v>3057</v>
      </c>
      <c r="H149" s="2892" t="s">
        <v>3771</v>
      </c>
      <c r="I149" s="2892" t="s">
        <v>3062</v>
      </c>
      <c r="J149" s="2892">
        <v>30424.78</v>
      </c>
      <c r="K149" s="2892">
        <v>76061.95</v>
      </c>
      <c r="L149" s="2892" t="s">
        <v>3772</v>
      </c>
      <c r="M149" s="2892" t="s">
        <v>2817</v>
      </c>
      <c r="N149" s="2892" t="s">
        <v>3090</v>
      </c>
      <c r="O149" s="2892" t="s">
        <v>3101</v>
      </c>
      <c r="P149" s="2892" t="s">
        <v>2817</v>
      </c>
      <c r="Q149" s="2892" t="s">
        <v>2817</v>
      </c>
      <c r="R149" s="2892" t="s">
        <v>2817</v>
      </c>
      <c r="S149" s="2892" t="s">
        <v>2817</v>
      </c>
      <c r="T149" s="2892" t="s">
        <v>3458</v>
      </c>
      <c r="U149" s="2892" t="s">
        <v>2817</v>
      </c>
      <c r="V149" s="2892" t="s">
        <v>2817</v>
      </c>
      <c r="W149" s="2892" t="s">
        <v>3063</v>
      </c>
      <c r="X149" s="2892" t="s">
        <v>3766</v>
      </c>
      <c r="Y149" s="2892" t="s">
        <v>3767</v>
      </c>
      <c r="Z149" s="2892" t="s">
        <v>3758</v>
      </c>
      <c r="AA149" s="2892" t="s">
        <v>3758</v>
      </c>
      <c r="AB149" s="2892" t="s">
        <v>3773</v>
      </c>
      <c r="AC149" s="2892" t="s">
        <v>3059</v>
      </c>
      <c r="AD149" s="2892" t="s">
        <v>3774</v>
      </c>
      <c r="AE149" s="2892">
        <v>22640</v>
      </c>
      <c r="AF149" s="2892">
        <v>22640</v>
      </c>
      <c r="AG149" s="2892">
        <v>22640</v>
      </c>
      <c r="AH149" s="2892">
        <v>496.09</v>
      </c>
      <c r="AI149" s="2892">
        <v>496.09</v>
      </c>
      <c r="AJ149" s="2892">
        <v>2976.52</v>
      </c>
      <c r="AK149" s="2892">
        <v>2976.51</v>
      </c>
      <c r="AL149" s="2892" t="s">
        <v>2817</v>
      </c>
      <c r="AM149" s="2892" t="s">
        <v>2817</v>
      </c>
      <c r="AN149" s="2892">
        <v>0</v>
      </c>
      <c r="AO149" s="2892" t="s">
        <v>3060</v>
      </c>
      <c r="AP149" s="2892" t="s">
        <v>2817</v>
      </c>
      <c r="AQ149" s="2892" t="s">
        <v>2817</v>
      </c>
      <c r="AR149" s="2892" t="s">
        <v>2817</v>
      </c>
      <c r="AS149" s="2892" t="s">
        <v>3146</v>
      </c>
    </row>
    <row r="150" spans="1:45" s="2892" customFormat="1">
      <c r="A150" s="2892" t="s">
        <v>3775</v>
      </c>
      <c r="B150" s="2892" t="s">
        <v>3055</v>
      </c>
      <c r="C150" s="2892" t="s">
        <v>3056</v>
      </c>
      <c r="D150" s="2892" t="s">
        <v>3382</v>
      </c>
      <c r="E150" s="2892" t="s">
        <v>2817</v>
      </c>
      <c r="F150" s="2892" t="s">
        <v>3775</v>
      </c>
      <c r="G150" s="2892" t="s">
        <v>3057</v>
      </c>
      <c r="H150" s="2892" t="s">
        <v>3776</v>
      </c>
      <c r="I150" s="2892" t="s">
        <v>3062</v>
      </c>
      <c r="J150" s="2892">
        <v>76756.55</v>
      </c>
      <c r="K150" s="2892">
        <v>268647.90000000002</v>
      </c>
      <c r="L150" s="2892" t="s">
        <v>3777</v>
      </c>
      <c r="M150" s="2892" t="s">
        <v>2817</v>
      </c>
      <c r="N150" s="2892" t="s">
        <v>3778</v>
      </c>
      <c r="O150" s="2892" t="s">
        <v>3416</v>
      </c>
      <c r="P150" s="2892" t="s">
        <v>2817</v>
      </c>
      <c r="Q150" s="2892" t="s">
        <v>2817</v>
      </c>
      <c r="R150" s="2892" t="s">
        <v>2817</v>
      </c>
      <c r="S150" s="2892" t="s">
        <v>2817</v>
      </c>
      <c r="T150" s="2892" t="s">
        <v>3092</v>
      </c>
      <c r="U150" s="2892" t="s">
        <v>2817</v>
      </c>
      <c r="V150" s="2892" t="s">
        <v>2817</v>
      </c>
      <c r="W150" s="2892" t="s">
        <v>3063</v>
      </c>
      <c r="X150" s="2892" t="s">
        <v>3766</v>
      </c>
      <c r="Y150" s="2892" t="s">
        <v>3779</v>
      </c>
      <c r="Z150" s="2892" t="s">
        <v>3780</v>
      </c>
      <c r="AA150" s="2892" t="s">
        <v>3780</v>
      </c>
      <c r="AB150" s="2892" t="s">
        <v>3781</v>
      </c>
      <c r="AC150" s="2892" t="s">
        <v>3059</v>
      </c>
      <c r="AD150" s="2892" t="s">
        <v>3782</v>
      </c>
      <c r="AE150" s="2892">
        <v>27300</v>
      </c>
      <c r="AF150" s="2892">
        <v>54586</v>
      </c>
      <c r="AG150" s="2892">
        <v>54586</v>
      </c>
      <c r="AH150" s="2892">
        <v>474.11</v>
      </c>
      <c r="AI150" s="2892">
        <v>474.11</v>
      </c>
      <c r="AJ150" s="2892">
        <v>2031.87</v>
      </c>
      <c r="AK150" s="2892">
        <v>2031.88</v>
      </c>
      <c r="AL150" s="2892" t="s">
        <v>2817</v>
      </c>
      <c r="AM150" s="2892" t="s">
        <v>2817</v>
      </c>
      <c r="AN150" s="2892">
        <v>0</v>
      </c>
      <c r="AO150" s="2892" t="s">
        <v>3060</v>
      </c>
      <c r="AP150" s="2892" t="s">
        <v>2817</v>
      </c>
      <c r="AQ150" s="2892" t="s">
        <v>2817</v>
      </c>
      <c r="AR150" s="2892" t="s">
        <v>2817</v>
      </c>
      <c r="AS150" s="2892" t="s">
        <v>3086</v>
      </c>
    </row>
    <row r="151" spans="1:45" s="2892" customFormat="1">
      <c r="A151" s="2892" t="s">
        <v>3783</v>
      </c>
      <c r="B151" s="2892" t="s">
        <v>3055</v>
      </c>
      <c r="C151" s="2892" t="s">
        <v>3056</v>
      </c>
      <c r="D151" s="2892" t="s">
        <v>3382</v>
      </c>
      <c r="E151" s="2892" t="s">
        <v>2817</v>
      </c>
      <c r="F151" s="2892" t="s">
        <v>3783</v>
      </c>
      <c r="G151" s="2892" t="s">
        <v>3057</v>
      </c>
      <c r="H151" s="2892" t="s">
        <v>3784</v>
      </c>
      <c r="I151" s="2892" t="s">
        <v>3062</v>
      </c>
      <c r="J151" s="2892">
        <v>46390.59</v>
      </c>
      <c r="K151" s="2892">
        <v>162367.1</v>
      </c>
      <c r="L151" s="2892" t="s">
        <v>3777</v>
      </c>
      <c r="M151" s="2892" t="s">
        <v>2817</v>
      </c>
      <c r="N151" s="2892" t="s">
        <v>3302</v>
      </c>
      <c r="O151" s="2892" t="s">
        <v>3111</v>
      </c>
      <c r="P151" s="2892" t="s">
        <v>2817</v>
      </c>
      <c r="Q151" s="2892" t="s">
        <v>2817</v>
      </c>
      <c r="R151" s="2892" t="s">
        <v>2817</v>
      </c>
      <c r="S151" s="2892" t="s">
        <v>2817</v>
      </c>
      <c r="T151" s="2892" t="s">
        <v>3092</v>
      </c>
      <c r="U151" s="2892" t="s">
        <v>2817</v>
      </c>
      <c r="V151" s="2892" t="s">
        <v>2817</v>
      </c>
      <c r="W151" s="2892" t="s">
        <v>3063</v>
      </c>
      <c r="X151" s="2892" t="s">
        <v>3766</v>
      </c>
      <c r="Y151" s="2892" t="s">
        <v>3779</v>
      </c>
      <c r="Z151" s="2892" t="s">
        <v>3780</v>
      </c>
      <c r="AA151" s="2892" t="s">
        <v>3780</v>
      </c>
      <c r="AB151" s="2892" t="s">
        <v>3781</v>
      </c>
      <c r="AC151" s="2892" t="s">
        <v>3059</v>
      </c>
      <c r="AD151" s="2892" t="s">
        <v>3782</v>
      </c>
      <c r="AE151" s="2892">
        <v>16920</v>
      </c>
      <c r="AF151" s="2892">
        <v>33840</v>
      </c>
      <c r="AG151" s="2892">
        <v>33840</v>
      </c>
      <c r="AH151" s="2892">
        <v>486.31</v>
      </c>
      <c r="AI151" s="2892">
        <v>486.31</v>
      </c>
      <c r="AJ151" s="2892">
        <v>2084.16</v>
      </c>
      <c r="AK151" s="2892">
        <v>2084.17</v>
      </c>
      <c r="AL151" s="2892" t="s">
        <v>2817</v>
      </c>
      <c r="AM151" s="2892" t="s">
        <v>2817</v>
      </c>
      <c r="AN151" s="2892">
        <v>0</v>
      </c>
      <c r="AO151" s="2892" t="s">
        <v>3060</v>
      </c>
      <c r="AP151" s="2892" t="s">
        <v>2817</v>
      </c>
      <c r="AQ151" s="2892" t="s">
        <v>2817</v>
      </c>
      <c r="AR151" s="2892" t="s">
        <v>2817</v>
      </c>
      <c r="AS151" s="2892" t="s">
        <v>3086</v>
      </c>
    </row>
    <row r="152" spans="1:45" s="2892" customFormat="1">
      <c r="A152" s="2892" t="s">
        <v>3785</v>
      </c>
      <c r="B152" s="2892" t="s">
        <v>3055</v>
      </c>
      <c r="C152" s="2892" t="s">
        <v>3056</v>
      </c>
      <c r="D152" s="2892" t="s">
        <v>3382</v>
      </c>
      <c r="E152" s="2892" t="s">
        <v>2817</v>
      </c>
      <c r="F152" s="2892" t="s">
        <v>3785</v>
      </c>
      <c r="G152" s="2892" t="s">
        <v>3057</v>
      </c>
      <c r="H152" s="2892" t="s">
        <v>3786</v>
      </c>
      <c r="I152" s="2892" t="s">
        <v>3062</v>
      </c>
      <c r="J152" s="2892">
        <v>46299.71</v>
      </c>
      <c r="K152" s="2892">
        <v>162049</v>
      </c>
      <c r="L152" s="2892" t="s">
        <v>3777</v>
      </c>
      <c r="M152" s="2892" t="s">
        <v>2817</v>
      </c>
      <c r="N152" s="2892" t="s">
        <v>3302</v>
      </c>
      <c r="O152" s="2892" t="s">
        <v>3111</v>
      </c>
      <c r="P152" s="2892" t="s">
        <v>2817</v>
      </c>
      <c r="Q152" s="2892" t="s">
        <v>2817</v>
      </c>
      <c r="R152" s="2892" t="s">
        <v>2817</v>
      </c>
      <c r="S152" s="2892" t="s">
        <v>2817</v>
      </c>
      <c r="T152" s="2892" t="s">
        <v>3092</v>
      </c>
      <c r="U152" s="2892" t="s">
        <v>2817</v>
      </c>
      <c r="V152" s="2892" t="s">
        <v>2817</v>
      </c>
      <c r="W152" s="2892" t="s">
        <v>3063</v>
      </c>
      <c r="X152" s="2892" t="s">
        <v>3766</v>
      </c>
      <c r="Y152" s="2892" t="s">
        <v>3779</v>
      </c>
      <c r="Z152" s="2892" t="s">
        <v>3780</v>
      </c>
      <c r="AA152" s="2892" t="s">
        <v>3780</v>
      </c>
      <c r="AB152" s="2892" t="s">
        <v>3781</v>
      </c>
      <c r="AC152" s="2892" t="s">
        <v>3059</v>
      </c>
      <c r="AD152" s="2892" t="s">
        <v>3782</v>
      </c>
      <c r="AE152" s="2892">
        <v>16887</v>
      </c>
      <c r="AF152" s="2892">
        <v>33774</v>
      </c>
      <c r="AG152" s="2892">
        <v>33774</v>
      </c>
      <c r="AH152" s="2892">
        <v>486.31</v>
      </c>
      <c r="AI152" s="2892">
        <v>486.31</v>
      </c>
      <c r="AJ152" s="2892">
        <v>2084.1799999999998</v>
      </c>
      <c r="AK152" s="2892">
        <v>2084.17</v>
      </c>
      <c r="AL152" s="2892" t="s">
        <v>2817</v>
      </c>
      <c r="AM152" s="2892" t="s">
        <v>2817</v>
      </c>
      <c r="AN152" s="2892">
        <v>0</v>
      </c>
      <c r="AO152" s="2892" t="s">
        <v>3060</v>
      </c>
      <c r="AP152" s="2892" t="s">
        <v>2817</v>
      </c>
      <c r="AQ152" s="2892" t="s">
        <v>2817</v>
      </c>
      <c r="AR152" s="2892" t="s">
        <v>2817</v>
      </c>
      <c r="AS152" s="2892" t="s">
        <v>3086</v>
      </c>
    </row>
    <row r="153" spans="1:45" s="2892" customFormat="1">
      <c r="A153" s="2892" t="s">
        <v>3787</v>
      </c>
      <c r="B153" s="2892" t="s">
        <v>3055</v>
      </c>
      <c r="C153" s="2892" t="s">
        <v>3056</v>
      </c>
      <c r="D153" s="2892" t="s">
        <v>3382</v>
      </c>
      <c r="E153" s="2892" t="s">
        <v>2817</v>
      </c>
      <c r="F153" s="2892" t="s">
        <v>3787</v>
      </c>
      <c r="G153" s="2892" t="s">
        <v>3057</v>
      </c>
      <c r="H153" s="2892" t="s">
        <v>3788</v>
      </c>
      <c r="I153" s="2892" t="s">
        <v>3062</v>
      </c>
      <c r="J153" s="2892">
        <v>129526.8</v>
      </c>
      <c r="K153" s="2892">
        <v>453343.6</v>
      </c>
      <c r="L153" s="2892" t="s">
        <v>3639</v>
      </c>
      <c r="M153" s="2892" t="s">
        <v>2817</v>
      </c>
      <c r="N153" s="2892" t="s">
        <v>3090</v>
      </c>
      <c r="O153" s="2892" t="s">
        <v>3111</v>
      </c>
      <c r="P153" s="2892" t="s">
        <v>2817</v>
      </c>
      <c r="Q153" s="2892" t="s">
        <v>2817</v>
      </c>
      <c r="R153" s="2892" t="s">
        <v>2817</v>
      </c>
      <c r="S153" s="2892" t="s">
        <v>2817</v>
      </c>
      <c r="T153" s="2892" t="s">
        <v>3092</v>
      </c>
      <c r="U153" s="2892" t="s">
        <v>2817</v>
      </c>
      <c r="V153" s="2892" t="s">
        <v>2817</v>
      </c>
      <c r="W153" s="2892" t="s">
        <v>3063</v>
      </c>
      <c r="X153" s="2892" t="s">
        <v>3789</v>
      </c>
      <c r="Y153" s="2892" t="s">
        <v>3790</v>
      </c>
      <c r="Z153" s="2892" t="s">
        <v>3791</v>
      </c>
      <c r="AA153" s="2892" t="s">
        <v>3791</v>
      </c>
      <c r="AB153" s="2892" t="s">
        <v>3792</v>
      </c>
      <c r="AC153" s="2892" t="s">
        <v>3059</v>
      </c>
      <c r="AD153" s="2892" t="s">
        <v>3793</v>
      </c>
      <c r="AE153" s="2892">
        <v>39006</v>
      </c>
      <c r="AF153" s="2892">
        <v>78012</v>
      </c>
      <c r="AG153" s="2892">
        <v>78012</v>
      </c>
      <c r="AH153" s="2892">
        <v>401.52</v>
      </c>
      <c r="AI153" s="2892">
        <v>401.52</v>
      </c>
      <c r="AJ153" s="2892">
        <v>1720.81</v>
      </c>
      <c r="AK153" s="2892">
        <v>1720.8</v>
      </c>
      <c r="AL153" s="2892" t="s">
        <v>2817</v>
      </c>
      <c r="AM153" s="2892" t="s">
        <v>2817</v>
      </c>
      <c r="AN153" s="2892">
        <v>0</v>
      </c>
      <c r="AO153" s="2892" t="s">
        <v>3060</v>
      </c>
      <c r="AP153" s="2892" t="s">
        <v>2817</v>
      </c>
      <c r="AQ153" s="2892" t="s">
        <v>2817</v>
      </c>
      <c r="AR153" s="2892" t="s">
        <v>2817</v>
      </c>
      <c r="AS153" s="2892" t="s">
        <v>3086</v>
      </c>
    </row>
    <row r="154" spans="1:45" s="2892" customFormat="1">
      <c r="A154" s="2892" t="s">
        <v>3794</v>
      </c>
      <c r="B154" s="2892" t="s">
        <v>3055</v>
      </c>
      <c r="C154" s="2892" t="s">
        <v>3056</v>
      </c>
      <c r="D154" s="2892" t="s">
        <v>3074</v>
      </c>
      <c r="E154" s="2892" t="s">
        <v>2817</v>
      </c>
      <c r="F154" s="2892" t="s">
        <v>3794</v>
      </c>
      <c r="G154" s="2892" t="s">
        <v>3057</v>
      </c>
      <c r="H154" s="2892" t="s">
        <v>3795</v>
      </c>
      <c r="I154" s="2892" t="s">
        <v>3062</v>
      </c>
      <c r="J154" s="2892">
        <v>15442.96</v>
      </c>
      <c r="K154" s="2892">
        <v>54050.36</v>
      </c>
      <c r="L154" s="2892" t="s">
        <v>3639</v>
      </c>
      <c r="M154" s="2892" t="s">
        <v>2817</v>
      </c>
      <c r="N154" s="2892" t="s">
        <v>3796</v>
      </c>
      <c r="O154" s="2892" t="s">
        <v>3111</v>
      </c>
      <c r="P154" s="2892" t="s">
        <v>2817</v>
      </c>
      <c r="Q154" s="2892" t="s">
        <v>2817</v>
      </c>
      <c r="R154" s="2892" t="s">
        <v>2817</v>
      </c>
      <c r="S154" s="2892" t="s">
        <v>2817</v>
      </c>
      <c r="T154" s="2892" t="s">
        <v>3092</v>
      </c>
      <c r="U154" s="2892" t="s">
        <v>2817</v>
      </c>
      <c r="V154" s="2892" t="s">
        <v>2817</v>
      </c>
      <c r="W154" s="2892" t="s">
        <v>3063</v>
      </c>
      <c r="X154" s="2892" t="s">
        <v>3789</v>
      </c>
      <c r="Y154" s="2892" t="s">
        <v>3790</v>
      </c>
      <c r="Z154" s="2892" t="s">
        <v>3791</v>
      </c>
      <c r="AA154" s="2892" t="s">
        <v>3791</v>
      </c>
      <c r="AB154" s="2892" t="s">
        <v>3797</v>
      </c>
      <c r="AC154" s="2892" t="s">
        <v>3059</v>
      </c>
      <c r="AD154" s="2892" t="s">
        <v>3798</v>
      </c>
      <c r="AE154" s="2892">
        <v>20710</v>
      </c>
      <c r="AF154" s="2892">
        <v>20710</v>
      </c>
      <c r="AG154" s="2892">
        <v>20710</v>
      </c>
      <c r="AH154" s="2892">
        <v>894.04</v>
      </c>
      <c r="AI154" s="2892">
        <v>894.04</v>
      </c>
      <c r="AJ154" s="2892">
        <v>3831.61</v>
      </c>
      <c r="AK154" s="2892">
        <v>3831.61</v>
      </c>
      <c r="AL154" s="2892" t="s">
        <v>2817</v>
      </c>
      <c r="AM154" s="2892" t="s">
        <v>2817</v>
      </c>
      <c r="AN154" s="2892">
        <v>0</v>
      </c>
      <c r="AO154" s="2892" t="s">
        <v>3060</v>
      </c>
      <c r="AP154" s="2892" t="s">
        <v>2817</v>
      </c>
      <c r="AQ154" s="2892" t="s">
        <v>2817</v>
      </c>
      <c r="AR154" s="2892" t="s">
        <v>2817</v>
      </c>
      <c r="AS154" s="2892" t="s">
        <v>3117</v>
      </c>
    </row>
    <row r="155" spans="1:45" s="2892" customFormat="1">
      <c r="A155" s="2892" t="s">
        <v>3799</v>
      </c>
      <c r="B155" s="2892" t="s">
        <v>3055</v>
      </c>
      <c r="C155" s="2892" t="s">
        <v>3056</v>
      </c>
      <c r="D155" s="2892" t="s">
        <v>3074</v>
      </c>
      <c r="E155" s="2892" t="s">
        <v>2817</v>
      </c>
      <c r="F155" s="2892" t="s">
        <v>3799</v>
      </c>
      <c r="G155" s="2892" t="s">
        <v>3057</v>
      </c>
      <c r="H155" s="2892" t="s">
        <v>3800</v>
      </c>
      <c r="I155" s="2892" t="s">
        <v>3062</v>
      </c>
      <c r="J155" s="2892">
        <v>8785.0499999999993</v>
      </c>
      <c r="K155" s="2892">
        <v>14056.08</v>
      </c>
      <c r="L155" s="2892" t="s">
        <v>3801</v>
      </c>
      <c r="M155" s="2892" t="s">
        <v>2817</v>
      </c>
      <c r="N155" s="2892" t="s">
        <v>3090</v>
      </c>
      <c r="O155" s="2892" t="s">
        <v>3101</v>
      </c>
      <c r="P155" s="2892" t="s">
        <v>2817</v>
      </c>
      <c r="Q155" s="2892" t="s">
        <v>2817</v>
      </c>
      <c r="R155" s="2892" t="s">
        <v>2817</v>
      </c>
      <c r="S155" s="2892" t="s">
        <v>2817</v>
      </c>
      <c r="T155" s="2892" t="s">
        <v>3092</v>
      </c>
      <c r="U155" s="2892" t="s">
        <v>2817</v>
      </c>
      <c r="V155" s="2892" t="s">
        <v>2817</v>
      </c>
      <c r="W155" s="2892" t="s">
        <v>3063</v>
      </c>
      <c r="X155" s="2892" t="s">
        <v>3802</v>
      </c>
      <c r="Y155" s="2892" t="s">
        <v>3803</v>
      </c>
      <c r="Z155" s="2892" t="s">
        <v>3804</v>
      </c>
      <c r="AA155" s="2892" t="s">
        <v>3804</v>
      </c>
      <c r="AB155" s="2892" t="s">
        <v>3805</v>
      </c>
      <c r="AC155" s="2892" t="s">
        <v>3059</v>
      </c>
      <c r="AD155" s="2892" t="s">
        <v>3806</v>
      </c>
      <c r="AE155" s="2892">
        <v>7421</v>
      </c>
      <c r="AF155" s="2892">
        <v>7421</v>
      </c>
      <c r="AG155" s="2892">
        <v>7421</v>
      </c>
      <c r="AH155" s="2892">
        <v>563.15</v>
      </c>
      <c r="AI155" s="2892">
        <v>563.15</v>
      </c>
      <c r="AJ155" s="2892">
        <v>5279.56</v>
      </c>
      <c r="AK155" s="2892">
        <v>5279.56</v>
      </c>
      <c r="AL155" s="2892" t="s">
        <v>2817</v>
      </c>
      <c r="AM155" s="2892" t="s">
        <v>2817</v>
      </c>
      <c r="AN155" s="2892">
        <v>0</v>
      </c>
      <c r="AO155" s="2892" t="s">
        <v>3060</v>
      </c>
      <c r="AP155" s="2892" t="s">
        <v>2817</v>
      </c>
      <c r="AQ155" s="2892" t="s">
        <v>2817</v>
      </c>
      <c r="AR155" s="2892" t="s">
        <v>2817</v>
      </c>
      <c r="AS155" s="2892" t="s">
        <v>3117</v>
      </c>
    </row>
    <row r="156" spans="1:45" s="2892" customFormat="1">
      <c r="A156" s="2892" t="s">
        <v>3807</v>
      </c>
      <c r="B156" s="2892" t="s">
        <v>3055</v>
      </c>
      <c r="C156" s="2892" t="s">
        <v>3071</v>
      </c>
      <c r="D156" s="2892" t="s">
        <v>3382</v>
      </c>
      <c r="E156" s="2892" t="s">
        <v>2817</v>
      </c>
      <c r="F156" s="2892" t="s">
        <v>3807</v>
      </c>
      <c r="G156" s="2892" t="s">
        <v>3057</v>
      </c>
      <c r="H156" s="2892" t="s">
        <v>3808</v>
      </c>
      <c r="I156" s="2892" t="s">
        <v>3809</v>
      </c>
      <c r="J156" s="2892">
        <v>21069.55</v>
      </c>
      <c r="K156" s="2892">
        <v>84278.2</v>
      </c>
      <c r="L156" s="2892" t="s">
        <v>3680</v>
      </c>
      <c r="M156" s="2892" t="s">
        <v>2817</v>
      </c>
      <c r="N156" s="2892" t="s">
        <v>3810</v>
      </c>
      <c r="O156" s="2892" t="s">
        <v>3111</v>
      </c>
      <c r="P156" s="2892" t="s">
        <v>2817</v>
      </c>
      <c r="Q156" s="2892" t="s">
        <v>2817</v>
      </c>
      <c r="R156" s="2892" t="s">
        <v>2817</v>
      </c>
      <c r="S156" s="2892" t="s">
        <v>2817</v>
      </c>
      <c r="T156" s="2892" t="s">
        <v>3092</v>
      </c>
      <c r="U156" s="2892" t="s">
        <v>2817</v>
      </c>
      <c r="V156" s="2892" t="s">
        <v>2817</v>
      </c>
      <c r="W156" s="2892" t="s">
        <v>3063</v>
      </c>
      <c r="X156" s="2892" t="s">
        <v>3811</v>
      </c>
      <c r="Y156" s="2892" t="s">
        <v>3812</v>
      </c>
      <c r="Z156" s="2892" t="s">
        <v>3813</v>
      </c>
      <c r="AA156" s="2892" t="s">
        <v>3813</v>
      </c>
      <c r="AB156" s="2892" t="s">
        <v>3814</v>
      </c>
      <c r="AC156" s="2892" t="s">
        <v>3059</v>
      </c>
      <c r="AD156" s="2892" t="s">
        <v>3815</v>
      </c>
      <c r="AE156" s="2892">
        <v>17427</v>
      </c>
      <c r="AF156" s="2892">
        <v>17427</v>
      </c>
      <c r="AG156" s="2892">
        <v>17427</v>
      </c>
      <c r="AH156" s="2892">
        <v>551.41</v>
      </c>
      <c r="AI156" s="2892">
        <v>551.41</v>
      </c>
      <c r="AJ156" s="2892">
        <v>2067.79</v>
      </c>
      <c r="AK156" s="2892">
        <v>2067.7800000000002</v>
      </c>
      <c r="AL156" s="2892" t="s">
        <v>2817</v>
      </c>
      <c r="AM156" s="2892" t="s">
        <v>2817</v>
      </c>
      <c r="AN156" s="2892">
        <v>0</v>
      </c>
      <c r="AO156" s="2892" t="s">
        <v>3816</v>
      </c>
      <c r="AP156" s="2892" t="s">
        <v>2817</v>
      </c>
      <c r="AQ156" s="2892" t="s">
        <v>2817</v>
      </c>
      <c r="AR156" s="2892" t="s">
        <v>2817</v>
      </c>
      <c r="AS156" s="2892" t="s">
        <v>3117</v>
      </c>
    </row>
    <row r="157" spans="1:45" s="2892" customFormat="1">
      <c r="A157" s="2892" t="s">
        <v>3817</v>
      </c>
      <c r="B157" s="2892" t="s">
        <v>3055</v>
      </c>
      <c r="C157" s="2892" t="s">
        <v>3056</v>
      </c>
      <c r="D157" s="2892" t="s">
        <v>3074</v>
      </c>
      <c r="E157" s="2892" t="s">
        <v>2817</v>
      </c>
      <c r="F157" s="2892" t="s">
        <v>3817</v>
      </c>
      <c r="G157" s="2892" t="s">
        <v>3057</v>
      </c>
      <c r="H157" s="2892" t="s">
        <v>3818</v>
      </c>
      <c r="I157" s="2892" t="s">
        <v>3062</v>
      </c>
      <c r="J157" s="2892">
        <v>51703.839999999997</v>
      </c>
      <c r="K157" s="2892">
        <v>155111.5</v>
      </c>
      <c r="L157" s="2892" t="s">
        <v>3685</v>
      </c>
      <c r="M157" s="2892" t="s">
        <v>2817</v>
      </c>
      <c r="N157" s="2892" t="s">
        <v>3819</v>
      </c>
      <c r="O157" s="2892" t="s">
        <v>3111</v>
      </c>
      <c r="P157" s="2892" t="s">
        <v>2817</v>
      </c>
      <c r="Q157" s="2892" t="s">
        <v>2817</v>
      </c>
      <c r="R157" s="2892" t="s">
        <v>2817</v>
      </c>
      <c r="S157" s="2892" t="s">
        <v>2817</v>
      </c>
      <c r="T157" s="2892" t="s">
        <v>3092</v>
      </c>
      <c r="U157" s="2892" t="s">
        <v>2817</v>
      </c>
      <c r="V157" s="2892" t="s">
        <v>2817</v>
      </c>
      <c r="W157" s="2892" t="s">
        <v>3063</v>
      </c>
      <c r="X157" s="2892" t="s">
        <v>3820</v>
      </c>
      <c r="Y157" s="2892" t="s">
        <v>3821</v>
      </c>
      <c r="Z157" s="2892" t="s">
        <v>3822</v>
      </c>
      <c r="AA157" s="2892" t="s">
        <v>3822</v>
      </c>
      <c r="AB157" s="2892" t="s">
        <v>3823</v>
      </c>
      <c r="AC157" s="2892" t="s">
        <v>3059</v>
      </c>
      <c r="AD157" s="2892" t="s">
        <v>3824</v>
      </c>
      <c r="AE157" s="2892">
        <v>18800</v>
      </c>
      <c r="AF157" s="2892">
        <v>37439</v>
      </c>
      <c r="AG157" s="2892">
        <v>37439</v>
      </c>
      <c r="AH157" s="2892">
        <v>482.74</v>
      </c>
      <c r="AI157" s="2892">
        <v>482.74</v>
      </c>
      <c r="AJ157" s="2892">
        <v>2413.6799999999998</v>
      </c>
      <c r="AK157" s="2892">
        <v>2413.67</v>
      </c>
      <c r="AL157" s="2892" t="s">
        <v>2817</v>
      </c>
      <c r="AM157" s="2892" t="s">
        <v>2817</v>
      </c>
      <c r="AN157" s="2892">
        <v>0</v>
      </c>
      <c r="AO157" s="2892" t="s">
        <v>3060</v>
      </c>
      <c r="AP157" s="2892" t="s">
        <v>2817</v>
      </c>
      <c r="AQ157" s="2892" t="s">
        <v>2817</v>
      </c>
      <c r="AR157" s="2892" t="s">
        <v>2817</v>
      </c>
      <c r="AS157" s="2892" t="s">
        <v>3086</v>
      </c>
    </row>
    <row r="158" spans="1:45" s="2892" customFormat="1">
      <c r="A158" s="2892" t="s">
        <v>3825</v>
      </c>
      <c r="B158" s="2892" t="s">
        <v>3055</v>
      </c>
      <c r="C158" s="2892" t="s">
        <v>3056</v>
      </c>
      <c r="D158" s="2892" t="s">
        <v>3074</v>
      </c>
      <c r="E158" s="2892" t="s">
        <v>2817</v>
      </c>
      <c r="F158" s="2892" t="s">
        <v>3825</v>
      </c>
      <c r="G158" s="2892" t="s">
        <v>3057</v>
      </c>
      <c r="H158" s="2892" t="s">
        <v>3826</v>
      </c>
      <c r="I158" s="2892" t="s">
        <v>3062</v>
      </c>
      <c r="J158" s="2892">
        <v>66650.83</v>
      </c>
      <c r="K158" s="2892">
        <v>199952.5</v>
      </c>
      <c r="L158" s="2892" t="s">
        <v>3632</v>
      </c>
      <c r="M158" s="2892" t="s">
        <v>2817</v>
      </c>
      <c r="N158" s="2892" t="s">
        <v>3090</v>
      </c>
      <c r="O158" s="2892" t="s">
        <v>3827</v>
      </c>
      <c r="P158" s="2892" t="s">
        <v>2817</v>
      </c>
      <c r="Q158" s="2892" t="s">
        <v>2817</v>
      </c>
      <c r="R158" s="2892" t="s">
        <v>2817</v>
      </c>
      <c r="S158" s="2892" t="s">
        <v>2817</v>
      </c>
      <c r="T158" s="2892" t="s">
        <v>3092</v>
      </c>
      <c r="U158" s="2892" t="s">
        <v>2817</v>
      </c>
      <c r="V158" s="2892" t="s">
        <v>2817</v>
      </c>
      <c r="W158" s="2892" t="s">
        <v>3063</v>
      </c>
      <c r="X158" s="2892" t="s">
        <v>3828</v>
      </c>
      <c r="Y158" s="2892" t="s">
        <v>3829</v>
      </c>
      <c r="Z158" s="2892" t="s">
        <v>3812</v>
      </c>
      <c r="AA158" s="2892" t="s">
        <v>3812</v>
      </c>
      <c r="AB158" s="2892" t="s">
        <v>3830</v>
      </c>
      <c r="AC158" s="2892" t="s">
        <v>3059</v>
      </c>
      <c r="AD158" s="2892" t="s">
        <v>3636</v>
      </c>
      <c r="AE158" s="2892">
        <v>47270</v>
      </c>
      <c r="AF158" s="2892">
        <v>47270</v>
      </c>
      <c r="AG158" s="2892">
        <v>47270</v>
      </c>
      <c r="AH158" s="2892">
        <v>472.81</v>
      </c>
      <c r="AI158" s="2892">
        <v>472.81</v>
      </c>
      <c r="AJ158" s="2892">
        <v>2364.06</v>
      </c>
      <c r="AK158" s="2892">
        <v>2364.0500000000002</v>
      </c>
      <c r="AL158" s="2892" t="s">
        <v>2817</v>
      </c>
      <c r="AM158" s="2892" t="s">
        <v>2817</v>
      </c>
      <c r="AN158" s="2892">
        <v>0</v>
      </c>
      <c r="AO158" s="2892" t="s">
        <v>3060</v>
      </c>
      <c r="AP158" s="2892" t="s">
        <v>2817</v>
      </c>
      <c r="AQ158" s="2892" t="s">
        <v>2817</v>
      </c>
      <c r="AR158" s="2892" t="s">
        <v>2817</v>
      </c>
      <c r="AS158" s="2892" t="s">
        <v>3086</v>
      </c>
    </row>
    <row r="159" spans="1:45" s="2892" customFormat="1">
      <c r="A159" s="2892" t="s">
        <v>3831</v>
      </c>
      <c r="B159" s="2892" t="s">
        <v>3055</v>
      </c>
      <c r="C159" s="2892" t="s">
        <v>3056</v>
      </c>
      <c r="D159" s="2892" t="s">
        <v>3382</v>
      </c>
      <c r="E159" s="2892" t="s">
        <v>2817</v>
      </c>
      <c r="F159" s="2892" t="s">
        <v>3831</v>
      </c>
      <c r="G159" s="2892" t="s">
        <v>3057</v>
      </c>
      <c r="H159" s="2892" t="s">
        <v>3832</v>
      </c>
      <c r="I159" s="2892" t="s">
        <v>3833</v>
      </c>
      <c r="J159" s="2892">
        <v>28249.200000000001</v>
      </c>
      <c r="K159" s="2892">
        <v>84747.6</v>
      </c>
      <c r="L159" s="2892" t="s">
        <v>3632</v>
      </c>
      <c r="M159" s="2892" t="s">
        <v>2817</v>
      </c>
      <c r="N159" s="2892" t="s">
        <v>3778</v>
      </c>
      <c r="O159" s="2892" t="s">
        <v>3111</v>
      </c>
      <c r="P159" s="2892" t="s">
        <v>2817</v>
      </c>
      <c r="Q159" s="2892" t="s">
        <v>2817</v>
      </c>
      <c r="R159" s="2892" t="s">
        <v>2817</v>
      </c>
      <c r="S159" s="2892" t="s">
        <v>2817</v>
      </c>
      <c r="T159" s="2892" t="s">
        <v>3092</v>
      </c>
      <c r="U159" s="2892" t="s">
        <v>2817</v>
      </c>
      <c r="V159" s="2892" t="s">
        <v>2817</v>
      </c>
      <c r="W159" s="2892" t="s">
        <v>3063</v>
      </c>
      <c r="X159" s="2892" t="s">
        <v>3834</v>
      </c>
      <c r="Y159" s="2892" t="s">
        <v>3835</v>
      </c>
      <c r="Z159" s="2892" t="s">
        <v>3836</v>
      </c>
      <c r="AA159" s="2892" t="s">
        <v>3836</v>
      </c>
      <c r="AB159" s="2892" t="s">
        <v>3837</v>
      </c>
      <c r="AC159" s="2892" t="s">
        <v>3059</v>
      </c>
      <c r="AD159" s="2892" t="s">
        <v>3838</v>
      </c>
      <c r="AE159" s="2892">
        <v>20086</v>
      </c>
      <c r="AF159" s="2892">
        <v>20086</v>
      </c>
      <c r="AG159" s="2892">
        <v>30286</v>
      </c>
      <c r="AH159" s="2892">
        <v>474.02</v>
      </c>
      <c r="AI159" s="2892">
        <v>714.73</v>
      </c>
      <c r="AJ159" s="2892">
        <v>2370.09</v>
      </c>
      <c r="AK159" s="2892">
        <v>3573.67</v>
      </c>
      <c r="AL159" s="2892" t="s">
        <v>2817</v>
      </c>
      <c r="AM159" s="2892" t="s">
        <v>2817</v>
      </c>
      <c r="AN159" s="2892">
        <v>50.78</v>
      </c>
      <c r="AO159" s="2892" t="s">
        <v>3060</v>
      </c>
      <c r="AP159" s="2892" t="s">
        <v>2817</v>
      </c>
      <c r="AQ159" s="2892" t="s">
        <v>2817</v>
      </c>
      <c r="AR159" s="2892" t="s">
        <v>2817</v>
      </c>
      <c r="AS159" s="2892" t="s">
        <v>3086</v>
      </c>
    </row>
    <row r="160" spans="1:45" s="2892" customFormat="1">
      <c r="A160" s="2892" t="s">
        <v>3839</v>
      </c>
      <c r="B160" s="2892" t="s">
        <v>3055</v>
      </c>
      <c r="C160" s="2892" t="s">
        <v>3056</v>
      </c>
      <c r="D160" s="2892" t="s">
        <v>3074</v>
      </c>
      <c r="E160" s="2892" t="s">
        <v>2817</v>
      </c>
      <c r="F160" s="2892" t="s">
        <v>3839</v>
      </c>
      <c r="G160" s="2892" t="s">
        <v>3057</v>
      </c>
      <c r="H160" s="2892" t="s">
        <v>3840</v>
      </c>
      <c r="I160" s="2892" t="s">
        <v>3833</v>
      </c>
      <c r="J160" s="2892">
        <v>23368.42</v>
      </c>
      <c r="K160" s="2892">
        <v>119178.9</v>
      </c>
      <c r="L160" s="2892" t="s">
        <v>3703</v>
      </c>
      <c r="M160" s="2892" t="s">
        <v>2817</v>
      </c>
      <c r="N160" s="2892" t="s">
        <v>3302</v>
      </c>
      <c r="O160" s="2892" t="s">
        <v>3111</v>
      </c>
      <c r="P160" s="2892" t="s">
        <v>2817</v>
      </c>
      <c r="Q160" s="2892" t="s">
        <v>2817</v>
      </c>
      <c r="R160" s="2892" t="s">
        <v>2817</v>
      </c>
      <c r="S160" s="2892" t="s">
        <v>2817</v>
      </c>
      <c r="T160" s="2892" t="s">
        <v>3092</v>
      </c>
      <c r="U160" s="2892" t="s">
        <v>2817</v>
      </c>
      <c r="V160" s="2892" t="s">
        <v>2817</v>
      </c>
      <c r="W160" s="2892" t="s">
        <v>3063</v>
      </c>
      <c r="X160" s="2892" t="s">
        <v>3834</v>
      </c>
      <c r="Y160" s="2892" t="s">
        <v>3835</v>
      </c>
      <c r="Z160" s="2892" t="s">
        <v>3836</v>
      </c>
      <c r="AA160" s="2892" t="s">
        <v>3836</v>
      </c>
      <c r="AB160" s="2892" t="s">
        <v>3841</v>
      </c>
      <c r="AC160" s="2892" t="s">
        <v>3059</v>
      </c>
      <c r="AD160" s="2892" t="s">
        <v>3842</v>
      </c>
      <c r="AE160" s="2892">
        <v>15160</v>
      </c>
      <c r="AF160" s="2892">
        <v>30311</v>
      </c>
      <c r="AG160" s="2892">
        <v>30311</v>
      </c>
      <c r="AH160" s="2892">
        <v>864.73</v>
      </c>
      <c r="AI160" s="2892">
        <v>864.73</v>
      </c>
      <c r="AJ160" s="2892">
        <v>2543.31</v>
      </c>
      <c r="AK160" s="2892">
        <v>2543.3200000000002</v>
      </c>
      <c r="AL160" s="2892" t="s">
        <v>2817</v>
      </c>
      <c r="AM160" s="2892" t="s">
        <v>2817</v>
      </c>
      <c r="AN160" s="2892">
        <v>0</v>
      </c>
      <c r="AO160" s="2892" t="s">
        <v>3060</v>
      </c>
      <c r="AP160" s="2892" t="s">
        <v>2817</v>
      </c>
      <c r="AQ160" s="2892" t="s">
        <v>2817</v>
      </c>
      <c r="AR160" s="2892" t="s">
        <v>2817</v>
      </c>
      <c r="AS160" s="2892" t="s">
        <v>3117</v>
      </c>
    </row>
    <row r="161" spans="1:45" s="2892" customFormat="1">
      <c r="A161" s="2892" t="s">
        <v>3843</v>
      </c>
      <c r="B161" s="2892" t="s">
        <v>3055</v>
      </c>
      <c r="C161" s="2892" t="s">
        <v>3056</v>
      </c>
      <c r="D161" s="2892" t="s">
        <v>3468</v>
      </c>
      <c r="E161" s="2892" t="s">
        <v>2817</v>
      </c>
      <c r="F161" s="2892" t="s">
        <v>3843</v>
      </c>
      <c r="G161" s="2892" t="s">
        <v>3057</v>
      </c>
      <c r="H161" s="2892" t="s">
        <v>3844</v>
      </c>
      <c r="I161" s="2892" t="s">
        <v>3062</v>
      </c>
      <c r="J161" s="2892">
        <v>37474.449999999997</v>
      </c>
      <c r="K161" s="2892">
        <v>93686.13</v>
      </c>
      <c r="L161" s="2892" t="s">
        <v>3772</v>
      </c>
      <c r="M161" s="2892" t="s">
        <v>2817</v>
      </c>
      <c r="N161" s="2892" t="s">
        <v>3090</v>
      </c>
      <c r="O161" s="2892" t="s">
        <v>3529</v>
      </c>
      <c r="P161" s="2892" t="s">
        <v>2817</v>
      </c>
      <c r="Q161" s="2892" t="s">
        <v>2817</v>
      </c>
      <c r="R161" s="2892" t="s">
        <v>2817</v>
      </c>
      <c r="S161" s="2892" t="s">
        <v>2817</v>
      </c>
      <c r="T161" s="2892" t="s">
        <v>3092</v>
      </c>
      <c r="U161" s="2892" t="s">
        <v>2817</v>
      </c>
      <c r="V161" s="2892" t="s">
        <v>2817</v>
      </c>
      <c r="W161" s="2892" t="s">
        <v>3063</v>
      </c>
      <c r="X161" s="2892" t="s">
        <v>3845</v>
      </c>
      <c r="Y161" s="2892" t="s">
        <v>3846</v>
      </c>
      <c r="Z161" s="2892" t="s">
        <v>3847</v>
      </c>
      <c r="AA161" s="2892" t="s">
        <v>3847</v>
      </c>
      <c r="AB161" s="2892" t="s">
        <v>3848</v>
      </c>
      <c r="AC161" s="2892" t="s">
        <v>3059</v>
      </c>
      <c r="AD161" s="2892" t="s">
        <v>3849</v>
      </c>
      <c r="AE161" s="2892">
        <v>14150</v>
      </c>
      <c r="AF161" s="2892">
        <v>28297</v>
      </c>
      <c r="AG161" s="2892">
        <v>28297</v>
      </c>
      <c r="AH161" s="2892">
        <v>503.4</v>
      </c>
      <c r="AI161" s="2892">
        <v>503.4</v>
      </c>
      <c r="AJ161" s="2892">
        <v>3020.4</v>
      </c>
      <c r="AK161" s="2892">
        <v>3020.4</v>
      </c>
      <c r="AL161" s="2892" t="s">
        <v>2817</v>
      </c>
      <c r="AM161" s="2892" t="s">
        <v>2817</v>
      </c>
      <c r="AN161" s="2892">
        <v>0</v>
      </c>
      <c r="AO161" s="2892" t="s">
        <v>3060</v>
      </c>
      <c r="AP161" s="2892" t="s">
        <v>2817</v>
      </c>
      <c r="AQ161" s="2892" t="s">
        <v>2817</v>
      </c>
      <c r="AR161" s="2892" t="s">
        <v>2817</v>
      </c>
      <c r="AS161" s="2892" t="s">
        <v>3086</v>
      </c>
    </row>
    <row r="162" spans="1:45" s="2892" customFormat="1">
      <c r="A162" s="2892" t="s">
        <v>3850</v>
      </c>
      <c r="B162" s="2892" t="s">
        <v>3055</v>
      </c>
      <c r="C162" s="2892" t="s">
        <v>3056</v>
      </c>
      <c r="D162" s="2892" t="s">
        <v>3074</v>
      </c>
      <c r="E162" s="2892" t="s">
        <v>2817</v>
      </c>
      <c r="F162" s="2892" t="s">
        <v>3850</v>
      </c>
      <c r="G162" s="2892" t="s">
        <v>3057</v>
      </c>
      <c r="H162" s="2892" t="s">
        <v>3851</v>
      </c>
      <c r="I162" s="2892" t="s">
        <v>3062</v>
      </c>
      <c r="J162" s="2892">
        <v>8169.2</v>
      </c>
      <c r="K162" s="2892">
        <v>40029.08</v>
      </c>
      <c r="L162" s="2892" t="s">
        <v>3852</v>
      </c>
      <c r="M162" s="2892" t="s">
        <v>2817</v>
      </c>
      <c r="N162" s="2892" t="s">
        <v>3796</v>
      </c>
      <c r="O162" s="2892" t="s">
        <v>3111</v>
      </c>
      <c r="P162" s="2892" t="s">
        <v>2817</v>
      </c>
      <c r="Q162" s="2892" t="s">
        <v>2817</v>
      </c>
      <c r="R162" s="2892" t="s">
        <v>2817</v>
      </c>
      <c r="S162" s="2892" t="s">
        <v>2817</v>
      </c>
      <c r="T162" s="2892" t="s">
        <v>3092</v>
      </c>
      <c r="U162" s="2892" t="s">
        <v>2817</v>
      </c>
      <c r="V162" s="2892" t="s">
        <v>2817</v>
      </c>
      <c r="W162" s="2892" t="s">
        <v>3063</v>
      </c>
      <c r="X162" s="2892" t="s">
        <v>3845</v>
      </c>
      <c r="Y162" s="2892" t="s">
        <v>3846</v>
      </c>
      <c r="Z162" s="2892" t="s">
        <v>3847</v>
      </c>
      <c r="AA162" s="2892" t="s">
        <v>3847</v>
      </c>
      <c r="AB162" s="2892" t="s">
        <v>3853</v>
      </c>
      <c r="AC162" s="2892" t="s">
        <v>3059</v>
      </c>
      <c r="AD162" s="2892" t="s">
        <v>3854</v>
      </c>
      <c r="AE162" s="2892">
        <v>5450</v>
      </c>
      <c r="AF162" s="2892">
        <v>10892</v>
      </c>
      <c r="AG162" s="2892">
        <v>10892</v>
      </c>
      <c r="AH162" s="2892">
        <v>888.87</v>
      </c>
      <c r="AI162" s="2892">
        <v>888.87</v>
      </c>
      <c r="AJ162" s="2892">
        <v>2721.02</v>
      </c>
      <c r="AK162" s="2892">
        <v>2721.01</v>
      </c>
      <c r="AL162" s="2892" t="s">
        <v>2817</v>
      </c>
      <c r="AM162" s="2892" t="s">
        <v>2817</v>
      </c>
      <c r="AN162" s="2892">
        <v>0</v>
      </c>
      <c r="AO162" s="2892" t="s">
        <v>3060</v>
      </c>
      <c r="AP162" s="2892" t="s">
        <v>2817</v>
      </c>
      <c r="AQ162" s="2892" t="s">
        <v>2817</v>
      </c>
      <c r="AR162" s="2892" t="s">
        <v>2817</v>
      </c>
      <c r="AS162" s="2892" t="s">
        <v>3117</v>
      </c>
    </row>
    <row r="163" spans="1:45" s="2892" customFormat="1">
      <c r="A163" s="2892" t="s">
        <v>3855</v>
      </c>
      <c r="B163" s="2892" t="s">
        <v>3055</v>
      </c>
      <c r="C163" s="2892" t="s">
        <v>3056</v>
      </c>
      <c r="D163" s="2892" t="s">
        <v>3468</v>
      </c>
      <c r="E163" s="2892" t="s">
        <v>2817</v>
      </c>
      <c r="F163" s="2892" t="s">
        <v>3855</v>
      </c>
      <c r="G163" s="2892" t="s">
        <v>3057</v>
      </c>
      <c r="H163" s="2892" t="s">
        <v>3856</v>
      </c>
      <c r="I163" s="2892" t="s">
        <v>3062</v>
      </c>
      <c r="J163" s="2892">
        <v>37130.589999999997</v>
      </c>
      <c r="K163" s="2892">
        <v>92826.47</v>
      </c>
      <c r="L163" s="2892" t="s">
        <v>3772</v>
      </c>
      <c r="M163" s="2892" t="s">
        <v>2817</v>
      </c>
      <c r="N163" s="2892" t="s">
        <v>3090</v>
      </c>
      <c r="O163" s="2892" t="s">
        <v>3529</v>
      </c>
      <c r="P163" s="2892" t="s">
        <v>2817</v>
      </c>
      <c r="Q163" s="2892" t="s">
        <v>2817</v>
      </c>
      <c r="R163" s="2892" t="s">
        <v>2817</v>
      </c>
      <c r="S163" s="2892" t="s">
        <v>2817</v>
      </c>
      <c r="T163" s="2892" t="s">
        <v>3092</v>
      </c>
      <c r="U163" s="2892" t="s">
        <v>2817</v>
      </c>
      <c r="V163" s="2892" t="s">
        <v>2817</v>
      </c>
      <c r="W163" s="2892" t="s">
        <v>3063</v>
      </c>
      <c r="X163" s="2892" t="s">
        <v>3845</v>
      </c>
      <c r="Y163" s="2892" t="s">
        <v>3846</v>
      </c>
      <c r="Z163" s="2892" t="s">
        <v>3847</v>
      </c>
      <c r="AA163" s="2892" t="s">
        <v>3847</v>
      </c>
      <c r="AB163" s="2892" t="s">
        <v>3857</v>
      </c>
      <c r="AC163" s="2892" t="s">
        <v>3059</v>
      </c>
      <c r="AD163" s="2892" t="s">
        <v>3849</v>
      </c>
      <c r="AE163" s="2892">
        <v>14030</v>
      </c>
      <c r="AF163" s="2892">
        <v>28049</v>
      </c>
      <c r="AG163" s="2892">
        <v>28049</v>
      </c>
      <c r="AH163" s="2892">
        <v>503.61</v>
      </c>
      <c r="AI163" s="2892">
        <v>503.61</v>
      </c>
      <c r="AJ163" s="2892">
        <v>3021.65</v>
      </c>
      <c r="AK163" s="2892">
        <v>3021.65</v>
      </c>
      <c r="AL163" s="2892" t="s">
        <v>2817</v>
      </c>
      <c r="AM163" s="2892" t="s">
        <v>2817</v>
      </c>
      <c r="AN163" s="2892">
        <v>0</v>
      </c>
      <c r="AO163" s="2892" t="s">
        <v>3060</v>
      </c>
      <c r="AP163" s="2892" t="s">
        <v>2817</v>
      </c>
      <c r="AQ163" s="2892" t="s">
        <v>2817</v>
      </c>
      <c r="AR163" s="2892" t="s">
        <v>2817</v>
      </c>
      <c r="AS163" s="2892" t="s">
        <v>3146</v>
      </c>
    </row>
    <row r="164" spans="1:45" s="2892" customFormat="1">
      <c r="A164" s="2892" t="s">
        <v>3858</v>
      </c>
      <c r="B164" s="2892" t="s">
        <v>3055</v>
      </c>
      <c r="C164" s="2892" t="s">
        <v>3056</v>
      </c>
      <c r="D164" s="2892" t="s">
        <v>3074</v>
      </c>
      <c r="E164" s="2892" t="s">
        <v>2817</v>
      </c>
      <c r="F164" s="2892" t="s">
        <v>3858</v>
      </c>
      <c r="G164" s="2892" t="s">
        <v>3057</v>
      </c>
      <c r="H164" s="2892" t="s">
        <v>3859</v>
      </c>
      <c r="I164" s="2892" t="s">
        <v>3062</v>
      </c>
      <c r="J164" s="2892">
        <v>48579.03</v>
      </c>
      <c r="K164" s="2892">
        <v>126305.5</v>
      </c>
      <c r="L164" s="2892" t="s">
        <v>3860</v>
      </c>
      <c r="M164" s="2892" t="s">
        <v>2817</v>
      </c>
      <c r="N164" s="2892" t="s">
        <v>3090</v>
      </c>
      <c r="O164" s="2892" t="s">
        <v>3101</v>
      </c>
      <c r="P164" s="2892" t="s">
        <v>2817</v>
      </c>
      <c r="Q164" s="2892" t="s">
        <v>2817</v>
      </c>
      <c r="R164" s="2892" t="s">
        <v>2817</v>
      </c>
      <c r="S164" s="2892" t="s">
        <v>2817</v>
      </c>
      <c r="T164" s="2892" t="s">
        <v>3092</v>
      </c>
      <c r="U164" s="2892" t="s">
        <v>2817</v>
      </c>
      <c r="V164" s="2892" t="s">
        <v>2817</v>
      </c>
      <c r="W164" s="2892" t="s">
        <v>3063</v>
      </c>
      <c r="X164" s="2892" t="s">
        <v>3845</v>
      </c>
      <c r="Y164" s="2892" t="s">
        <v>3846</v>
      </c>
      <c r="Z164" s="2892" t="s">
        <v>3847</v>
      </c>
      <c r="AA164" s="2892" t="s">
        <v>3847</v>
      </c>
      <c r="AB164" s="2892" t="s">
        <v>3861</v>
      </c>
      <c r="AC164" s="2892" t="s">
        <v>3059</v>
      </c>
      <c r="AD164" s="2892" t="s">
        <v>3145</v>
      </c>
      <c r="AE164" s="2892">
        <v>17120</v>
      </c>
      <c r="AF164" s="2892">
        <v>34239</v>
      </c>
      <c r="AG164" s="2892">
        <v>34239</v>
      </c>
      <c r="AH164" s="2892">
        <v>469.87</v>
      </c>
      <c r="AI164" s="2892">
        <v>469.87</v>
      </c>
      <c r="AJ164" s="2892">
        <v>2710.8</v>
      </c>
      <c r="AK164" s="2892">
        <v>2710.8</v>
      </c>
      <c r="AL164" s="2892" t="s">
        <v>2817</v>
      </c>
      <c r="AM164" s="2892" t="s">
        <v>2817</v>
      </c>
      <c r="AN164" s="2892">
        <v>0</v>
      </c>
      <c r="AO164" s="2892" t="s">
        <v>3060</v>
      </c>
      <c r="AP164" s="2892" t="s">
        <v>2817</v>
      </c>
      <c r="AQ164" s="2892" t="s">
        <v>2817</v>
      </c>
      <c r="AR164" s="2892" t="s">
        <v>2817</v>
      </c>
      <c r="AS164" s="2892" t="s">
        <v>3146</v>
      </c>
    </row>
    <row r="165" spans="1:45" s="2892" customFormat="1">
      <c r="A165" s="2892" t="s">
        <v>3862</v>
      </c>
      <c r="B165" s="2892" t="s">
        <v>3055</v>
      </c>
      <c r="C165" s="2892" t="s">
        <v>3056</v>
      </c>
      <c r="D165" s="2892" t="s">
        <v>3382</v>
      </c>
      <c r="E165" s="2892" t="s">
        <v>2817</v>
      </c>
      <c r="F165" s="2892" t="s">
        <v>3862</v>
      </c>
      <c r="G165" s="2892" t="s">
        <v>3057</v>
      </c>
      <c r="H165" s="2892" t="s">
        <v>3863</v>
      </c>
      <c r="I165" s="2892" t="s">
        <v>3833</v>
      </c>
      <c r="J165" s="2892">
        <v>37819.760000000002</v>
      </c>
      <c r="K165" s="2892">
        <v>132369.20000000001</v>
      </c>
      <c r="L165" s="2892" t="s">
        <v>3777</v>
      </c>
      <c r="M165" s="2892" t="s">
        <v>2817</v>
      </c>
      <c r="N165" s="2892" t="s">
        <v>3302</v>
      </c>
      <c r="O165" s="2892" t="s">
        <v>3111</v>
      </c>
      <c r="P165" s="2892" t="s">
        <v>2817</v>
      </c>
      <c r="Q165" s="2892" t="s">
        <v>2817</v>
      </c>
      <c r="R165" s="2892" t="s">
        <v>2817</v>
      </c>
      <c r="S165" s="2892" t="s">
        <v>2817</v>
      </c>
      <c r="T165" s="2892" t="s">
        <v>2817</v>
      </c>
      <c r="U165" s="2892" t="s">
        <v>2817</v>
      </c>
      <c r="V165" s="2892" t="s">
        <v>2817</v>
      </c>
      <c r="W165" s="2892" t="s">
        <v>3063</v>
      </c>
      <c r="X165" s="2892" t="s">
        <v>3864</v>
      </c>
      <c r="Y165" s="2892" t="s">
        <v>3865</v>
      </c>
      <c r="Z165" s="2892" t="s">
        <v>3866</v>
      </c>
      <c r="AA165" s="2892" t="s">
        <v>3866</v>
      </c>
      <c r="AB165" s="2892" t="s">
        <v>3867</v>
      </c>
      <c r="AC165" s="2892" t="s">
        <v>3059</v>
      </c>
      <c r="AD165" s="2892" t="s">
        <v>3782</v>
      </c>
      <c r="AE165" s="2892">
        <v>13306</v>
      </c>
      <c r="AF165" s="2892">
        <v>26611</v>
      </c>
      <c r="AG165" s="2892">
        <v>26611</v>
      </c>
      <c r="AH165" s="2892">
        <v>469.08</v>
      </c>
      <c r="AI165" s="2892">
        <v>469.08</v>
      </c>
      <c r="AJ165" s="2892">
        <v>2010.36</v>
      </c>
      <c r="AK165" s="2892">
        <v>2010.35</v>
      </c>
      <c r="AL165" s="2892" t="s">
        <v>2817</v>
      </c>
      <c r="AM165" s="2892" t="s">
        <v>2817</v>
      </c>
      <c r="AN165" s="2892">
        <v>0</v>
      </c>
      <c r="AO165" s="2892" t="s">
        <v>3060</v>
      </c>
      <c r="AP165" s="2892" t="s">
        <v>2817</v>
      </c>
      <c r="AQ165" s="2892" t="s">
        <v>2817</v>
      </c>
      <c r="AR165" s="2892" t="s">
        <v>2817</v>
      </c>
      <c r="AS165" s="2892" t="s">
        <v>3086</v>
      </c>
    </row>
    <row r="166" spans="1:45" s="2892" customFormat="1">
      <c r="A166" s="2892" t="s">
        <v>3868</v>
      </c>
      <c r="B166" s="2892" t="s">
        <v>3055</v>
      </c>
      <c r="C166" s="2892" t="s">
        <v>3056</v>
      </c>
      <c r="D166" s="2892" t="s">
        <v>3074</v>
      </c>
      <c r="E166" s="2892" t="s">
        <v>2817</v>
      </c>
      <c r="F166" s="2892" t="s">
        <v>3868</v>
      </c>
      <c r="G166" s="2892" t="s">
        <v>3057</v>
      </c>
      <c r="H166" s="2892" t="s">
        <v>3869</v>
      </c>
      <c r="I166" s="2892" t="s">
        <v>3833</v>
      </c>
      <c r="J166" s="2892">
        <v>54313.53</v>
      </c>
      <c r="K166" s="2892">
        <v>114058.4</v>
      </c>
      <c r="L166" s="2892" t="s">
        <v>3870</v>
      </c>
      <c r="M166" s="2892" t="s">
        <v>2817</v>
      </c>
      <c r="N166" s="2892" t="s">
        <v>3090</v>
      </c>
      <c r="O166" s="2892" t="s">
        <v>3871</v>
      </c>
      <c r="P166" s="2892" t="s">
        <v>2817</v>
      </c>
      <c r="Q166" s="2892" t="s">
        <v>2817</v>
      </c>
      <c r="R166" s="2892" t="s">
        <v>2817</v>
      </c>
      <c r="S166" s="2892" t="s">
        <v>2817</v>
      </c>
      <c r="T166" s="2892" t="s">
        <v>2817</v>
      </c>
      <c r="U166" s="2892" t="s">
        <v>2817</v>
      </c>
      <c r="V166" s="2892" t="s">
        <v>2817</v>
      </c>
      <c r="W166" s="2892" t="s">
        <v>3063</v>
      </c>
      <c r="X166" s="2892" t="s">
        <v>3864</v>
      </c>
      <c r="Y166" s="2892" t="s">
        <v>3865</v>
      </c>
      <c r="Z166" s="2892" t="s">
        <v>3866</v>
      </c>
      <c r="AA166" s="2892" t="s">
        <v>3866</v>
      </c>
      <c r="AB166" s="2892" t="s">
        <v>3872</v>
      </c>
      <c r="AC166" s="2892" t="s">
        <v>3059</v>
      </c>
      <c r="AD166" s="2892" t="s">
        <v>3873</v>
      </c>
      <c r="AE166" s="2892">
        <v>17650</v>
      </c>
      <c r="AF166" s="2892">
        <v>35288</v>
      </c>
      <c r="AG166" s="2892">
        <v>35288</v>
      </c>
      <c r="AH166" s="2892">
        <v>433.14</v>
      </c>
      <c r="AI166" s="2892">
        <v>433.14</v>
      </c>
      <c r="AJ166" s="2892">
        <v>3093.85</v>
      </c>
      <c r="AK166" s="2892">
        <v>3093.84</v>
      </c>
      <c r="AL166" s="2892" t="s">
        <v>2817</v>
      </c>
      <c r="AM166" s="2892" t="s">
        <v>2817</v>
      </c>
      <c r="AN166" s="2892">
        <v>0</v>
      </c>
      <c r="AO166" s="2892" t="s">
        <v>3060</v>
      </c>
      <c r="AP166" s="2892" t="s">
        <v>2817</v>
      </c>
      <c r="AQ166" s="2892" t="s">
        <v>2817</v>
      </c>
      <c r="AR166" s="2892" t="s">
        <v>2817</v>
      </c>
      <c r="AS166" s="2892" t="s">
        <v>3117</v>
      </c>
    </row>
    <row r="167" spans="1:45" s="2892" customFormat="1">
      <c r="A167" s="2892" t="s">
        <v>3874</v>
      </c>
      <c r="B167" s="2892" t="s">
        <v>3055</v>
      </c>
      <c r="C167" s="2892" t="s">
        <v>3056</v>
      </c>
      <c r="D167" s="2892" t="s">
        <v>3382</v>
      </c>
      <c r="E167" s="2892" t="s">
        <v>2817</v>
      </c>
      <c r="F167" s="2892" t="s">
        <v>3874</v>
      </c>
      <c r="G167" s="2892" t="s">
        <v>3057</v>
      </c>
      <c r="H167" s="2892" t="s">
        <v>3875</v>
      </c>
      <c r="I167" s="2892" t="s">
        <v>3833</v>
      </c>
      <c r="J167" s="2892">
        <v>58361.47</v>
      </c>
      <c r="K167" s="2892">
        <v>175084.4</v>
      </c>
      <c r="L167" s="2892" t="s">
        <v>3685</v>
      </c>
      <c r="M167" s="2892" t="s">
        <v>2817</v>
      </c>
      <c r="N167" s="2892" t="s">
        <v>3876</v>
      </c>
      <c r="O167" s="2892" t="s">
        <v>3111</v>
      </c>
      <c r="P167" s="2892" t="s">
        <v>2817</v>
      </c>
      <c r="Q167" s="2892" t="s">
        <v>2817</v>
      </c>
      <c r="R167" s="2892" t="s">
        <v>2817</v>
      </c>
      <c r="S167" s="2892" t="s">
        <v>2817</v>
      </c>
      <c r="T167" s="2892" t="s">
        <v>2817</v>
      </c>
      <c r="U167" s="2892" t="s">
        <v>2817</v>
      </c>
      <c r="V167" s="2892" t="s">
        <v>2817</v>
      </c>
      <c r="W167" s="2892" t="s">
        <v>3063</v>
      </c>
      <c r="X167" s="2892" t="s">
        <v>3864</v>
      </c>
      <c r="Y167" s="2892" t="s">
        <v>3865</v>
      </c>
      <c r="Z167" s="2892" t="s">
        <v>3866</v>
      </c>
      <c r="AA167" s="2892" t="s">
        <v>3866</v>
      </c>
      <c r="AB167" s="2892" t="s">
        <v>3877</v>
      </c>
      <c r="AC167" s="2892" t="s">
        <v>3059</v>
      </c>
      <c r="AD167" s="2892" t="s">
        <v>3782</v>
      </c>
      <c r="AE167" s="2892">
        <v>18463</v>
      </c>
      <c r="AF167" s="2892">
        <v>36926</v>
      </c>
      <c r="AG167" s="2892">
        <v>36926</v>
      </c>
      <c r="AH167" s="2892">
        <v>421.81</v>
      </c>
      <c r="AI167" s="2892">
        <v>421.81</v>
      </c>
      <c r="AJ167" s="2892">
        <v>2109.0300000000002</v>
      </c>
      <c r="AK167" s="2892">
        <v>2109.0300000000002</v>
      </c>
      <c r="AL167" s="2892" t="s">
        <v>2817</v>
      </c>
      <c r="AM167" s="2892" t="s">
        <v>2817</v>
      </c>
      <c r="AN167" s="2892">
        <v>0</v>
      </c>
      <c r="AO167" s="2892" t="s">
        <v>3060</v>
      </c>
      <c r="AP167" s="2892" t="s">
        <v>2817</v>
      </c>
      <c r="AQ167" s="2892" t="s">
        <v>2817</v>
      </c>
      <c r="AR167" s="2892" t="s">
        <v>2817</v>
      </c>
      <c r="AS167" s="2892" t="s">
        <v>3117</v>
      </c>
    </row>
    <row r="168" spans="1:45" s="2892" customFormat="1">
      <c r="A168" s="2892" t="s">
        <v>3878</v>
      </c>
      <c r="B168" s="2892" t="s">
        <v>3055</v>
      </c>
      <c r="C168" s="2892" t="s">
        <v>3056</v>
      </c>
      <c r="D168" s="2892" t="s">
        <v>3382</v>
      </c>
      <c r="E168" s="2892" t="s">
        <v>2817</v>
      </c>
      <c r="F168" s="2892" t="s">
        <v>3878</v>
      </c>
      <c r="G168" s="2892" t="s">
        <v>3057</v>
      </c>
      <c r="H168" s="2892" t="s">
        <v>3879</v>
      </c>
      <c r="I168" s="2892" t="s">
        <v>3833</v>
      </c>
      <c r="J168" s="2892">
        <v>32161.37</v>
      </c>
      <c r="K168" s="2892">
        <v>96484.11</v>
      </c>
      <c r="L168" s="2892" t="s">
        <v>3685</v>
      </c>
      <c r="M168" s="2892" t="s">
        <v>2817</v>
      </c>
      <c r="N168" s="2892" t="s">
        <v>3090</v>
      </c>
      <c r="O168" s="2892" t="s">
        <v>2817</v>
      </c>
      <c r="P168" s="2892" t="s">
        <v>2817</v>
      </c>
      <c r="Q168" s="2892" t="s">
        <v>2817</v>
      </c>
      <c r="R168" s="2892" t="s">
        <v>2817</v>
      </c>
      <c r="S168" s="2892" t="s">
        <v>2817</v>
      </c>
      <c r="T168" s="2892" t="s">
        <v>2817</v>
      </c>
      <c r="U168" s="2892" t="s">
        <v>2817</v>
      </c>
      <c r="V168" s="2892" t="s">
        <v>2817</v>
      </c>
      <c r="W168" s="2892" t="s">
        <v>3063</v>
      </c>
      <c r="X168" s="2892" t="s">
        <v>3864</v>
      </c>
      <c r="Y168" s="2892" t="s">
        <v>3865</v>
      </c>
      <c r="Z168" s="2892" t="s">
        <v>3866</v>
      </c>
      <c r="AA168" s="2892" t="s">
        <v>3866</v>
      </c>
      <c r="AB168" s="2892" t="s">
        <v>3880</v>
      </c>
      <c r="AC168" s="2892" t="s">
        <v>3059</v>
      </c>
      <c r="AD168" s="2892" t="s">
        <v>3782</v>
      </c>
      <c r="AE168" s="2892">
        <v>10175</v>
      </c>
      <c r="AF168" s="2892">
        <v>20349</v>
      </c>
      <c r="AG168" s="2892">
        <v>20349</v>
      </c>
      <c r="AH168" s="2892">
        <v>421.81</v>
      </c>
      <c r="AI168" s="2892">
        <v>421.81</v>
      </c>
      <c r="AJ168" s="2892">
        <v>2109.0500000000002</v>
      </c>
      <c r="AK168" s="2892">
        <v>2109.0500000000002</v>
      </c>
      <c r="AL168" s="2892" t="s">
        <v>2817</v>
      </c>
      <c r="AM168" s="2892" t="s">
        <v>2817</v>
      </c>
      <c r="AN168" s="2892">
        <v>0</v>
      </c>
      <c r="AO168" s="2892" t="s">
        <v>3060</v>
      </c>
      <c r="AP168" s="2892" t="s">
        <v>2817</v>
      </c>
      <c r="AQ168" s="2892" t="s">
        <v>2817</v>
      </c>
      <c r="AR168" s="2892" t="s">
        <v>2817</v>
      </c>
      <c r="AS168" s="2892" t="s">
        <v>3086</v>
      </c>
    </row>
    <row r="169" spans="1:45" s="2892" customFormat="1">
      <c r="A169" s="2892" t="s">
        <v>3881</v>
      </c>
      <c r="B169" s="2892" t="s">
        <v>3055</v>
      </c>
      <c r="C169" s="2892" t="s">
        <v>3056</v>
      </c>
      <c r="D169" s="2892" t="s">
        <v>3382</v>
      </c>
      <c r="E169" s="2892" t="s">
        <v>2817</v>
      </c>
      <c r="F169" s="2892" t="s">
        <v>3881</v>
      </c>
      <c r="G169" s="2892" t="s">
        <v>3057</v>
      </c>
      <c r="H169" s="2892" t="s">
        <v>3882</v>
      </c>
      <c r="I169" s="2892" t="s">
        <v>3833</v>
      </c>
      <c r="J169" s="2892">
        <v>56169.68</v>
      </c>
      <c r="K169" s="2892">
        <v>196593.9</v>
      </c>
      <c r="L169" s="2892" t="s">
        <v>3777</v>
      </c>
      <c r="M169" s="2892" t="s">
        <v>2817</v>
      </c>
      <c r="N169" s="2892" t="s">
        <v>3090</v>
      </c>
      <c r="O169" s="2892" t="s">
        <v>3111</v>
      </c>
      <c r="P169" s="2892" t="s">
        <v>2817</v>
      </c>
      <c r="Q169" s="2892" t="s">
        <v>2817</v>
      </c>
      <c r="R169" s="2892" t="s">
        <v>2817</v>
      </c>
      <c r="S169" s="2892" t="s">
        <v>2817</v>
      </c>
      <c r="T169" s="2892" t="s">
        <v>2817</v>
      </c>
      <c r="U169" s="2892" t="s">
        <v>2817</v>
      </c>
      <c r="V169" s="2892" t="s">
        <v>2817</v>
      </c>
      <c r="W169" s="2892" t="s">
        <v>3063</v>
      </c>
      <c r="X169" s="2892" t="s">
        <v>3864</v>
      </c>
      <c r="Y169" s="2892" t="s">
        <v>3865</v>
      </c>
      <c r="Z169" s="2892" t="s">
        <v>3866</v>
      </c>
      <c r="AA169" s="2892" t="s">
        <v>3866</v>
      </c>
      <c r="AB169" s="2892" t="s">
        <v>3883</v>
      </c>
      <c r="AC169" s="2892" t="s">
        <v>3059</v>
      </c>
      <c r="AD169" s="2892" t="s">
        <v>3782</v>
      </c>
      <c r="AE169" s="2892">
        <v>18733</v>
      </c>
      <c r="AF169" s="2892">
        <v>37466</v>
      </c>
      <c r="AG169" s="2892">
        <v>37466</v>
      </c>
      <c r="AH169" s="2892">
        <v>444.68</v>
      </c>
      <c r="AI169" s="2892">
        <v>444.68</v>
      </c>
      <c r="AJ169" s="2892">
        <v>1905.75</v>
      </c>
      <c r="AK169" s="2892">
        <v>1905.75</v>
      </c>
      <c r="AL169" s="2892" t="s">
        <v>2817</v>
      </c>
      <c r="AM169" s="2892" t="s">
        <v>2817</v>
      </c>
      <c r="AN169" s="2892">
        <v>0</v>
      </c>
      <c r="AO169" s="2892" t="s">
        <v>3060</v>
      </c>
      <c r="AP169" s="2892" t="s">
        <v>2817</v>
      </c>
      <c r="AQ169" s="2892" t="s">
        <v>2817</v>
      </c>
      <c r="AR169" s="2892" t="s">
        <v>2817</v>
      </c>
      <c r="AS169" s="2892" t="s">
        <v>3117</v>
      </c>
    </row>
    <row r="170" spans="1:45" s="2892" customFormat="1">
      <c r="A170" s="2892" t="s">
        <v>3884</v>
      </c>
      <c r="B170" s="2892" t="s">
        <v>3055</v>
      </c>
      <c r="C170" s="2892" t="s">
        <v>3056</v>
      </c>
      <c r="D170" s="2892" t="s">
        <v>3468</v>
      </c>
      <c r="E170" s="2892" t="s">
        <v>2817</v>
      </c>
      <c r="F170" s="2892" t="s">
        <v>3884</v>
      </c>
      <c r="G170" s="2892" t="s">
        <v>3057</v>
      </c>
      <c r="H170" s="2892" t="s">
        <v>3885</v>
      </c>
      <c r="I170" s="2892" t="s">
        <v>3833</v>
      </c>
      <c r="J170" s="2892">
        <v>28916.31</v>
      </c>
      <c r="K170" s="2892">
        <v>86748.93</v>
      </c>
      <c r="L170" s="2892" t="s">
        <v>3632</v>
      </c>
      <c r="M170" s="2892" t="s">
        <v>2817</v>
      </c>
      <c r="N170" s="2892" t="s">
        <v>3090</v>
      </c>
      <c r="O170" s="2892" t="s">
        <v>3529</v>
      </c>
      <c r="P170" s="2892" t="s">
        <v>2817</v>
      </c>
      <c r="Q170" s="2892" t="s">
        <v>2817</v>
      </c>
      <c r="R170" s="2892" t="s">
        <v>2817</v>
      </c>
      <c r="S170" s="2892" t="s">
        <v>2817</v>
      </c>
      <c r="T170" s="2892" t="s">
        <v>2817</v>
      </c>
      <c r="U170" s="2892" t="s">
        <v>2817</v>
      </c>
      <c r="V170" s="2892" t="s">
        <v>2817</v>
      </c>
      <c r="W170" s="2892" t="s">
        <v>3063</v>
      </c>
      <c r="X170" s="2892" t="s">
        <v>3886</v>
      </c>
      <c r="Y170" s="2892" t="s">
        <v>3887</v>
      </c>
      <c r="Z170" s="2892" t="s">
        <v>3888</v>
      </c>
      <c r="AA170" s="2892" t="s">
        <v>3888</v>
      </c>
      <c r="AB170" s="2892" t="s">
        <v>3889</v>
      </c>
      <c r="AC170" s="2892" t="s">
        <v>3059</v>
      </c>
      <c r="AD170" s="2892" t="s">
        <v>3890</v>
      </c>
      <c r="AE170" s="2892">
        <v>10915</v>
      </c>
      <c r="AF170" s="2892">
        <v>21830</v>
      </c>
      <c r="AG170" s="2892">
        <v>21830</v>
      </c>
      <c r="AH170" s="2892">
        <v>503.29</v>
      </c>
      <c r="AI170" s="2892">
        <v>503.29</v>
      </c>
      <c r="AJ170" s="2892">
        <v>2516.4499999999998</v>
      </c>
      <c r="AK170" s="2892">
        <v>2516.46</v>
      </c>
      <c r="AL170" s="2892" t="s">
        <v>2817</v>
      </c>
      <c r="AM170" s="2892" t="s">
        <v>2817</v>
      </c>
      <c r="AN170" s="2892">
        <v>0</v>
      </c>
      <c r="AO170" s="2892" t="s">
        <v>3060</v>
      </c>
      <c r="AP170" s="2892" t="s">
        <v>2817</v>
      </c>
      <c r="AQ170" s="2892" t="s">
        <v>2817</v>
      </c>
      <c r="AR170" s="2892" t="s">
        <v>2817</v>
      </c>
      <c r="AS170" s="2892" t="s">
        <v>3146</v>
      </c>
    </row>
    <row r="171" spans="1:45" s="2892" customFormat="1">
      <c r="A171" s="2892" t="s">
        <v>3891</v>
      </c>
      <c r="B171" s="2892" t="s">
        <v>3055</v>
      </c>
      <c r="C171" s="2892" t="s">
        <v>3056</v>
      </c>
      <c r="D171" s="2892" t="s">
        <v>3074</v>
      </c>
      <c r="E171" s="2892" t="s">
        <v>2817</v>
      </c>
      <c r="F171" s="2892" t="s">
        <v>3891</v>
      </c>
      <c r="G171" s="2892" t="s">
        <v>3057</v>
      </c>
      <c r="H171" s="2892" t="s">
        <v>3892</v>
      </c>
      <c r="I171" s="2892" t="s">
        <v>3833</v>
      </c>
      <c r="J171" s="2892">
        <v>30667.67</v>
      </c>
      <c r="K171" s="2892">
        <v>107336.9</v>
      </c>
      <c r="L171" s="2892" t="s">
        <v>3639</v>
      </c>
      <c r="M171" s="2892" t="s">
        <v>2817</v>
      </c>
      <c r="N171" s="2892" t="s">
        <v>3090</v>
      </c>
      <c r="O171" s="2892" t="s">
        <v>3111</v>
      </c>
      <c r="P171" s="2892" t="s">
        <v>2817</v>
      </c>
      <c r="Q171" s="2892" t="s">
        <v>2817</v>
      </c>
      <c r="R171" s="2892" t="s">
        <v>2817</v>
      </c>
      <c r="S171" s="2892" t="s">
        <v>2817</v>
      </c>
      <c r="T171" s="2892" t="s">
        <v>2817</v>
      </c>
      <c r="U171" s="2892" t="s">
        <v>2817</v>
      </c>
      <c r="V171" s="2892" t="s">
        <v>2817</v>
      </c>
      <c r="W171" s="2892" t="s">
        <v>3063</v>
      </c>
      <c r="X171" s="2892" t="s">
        <v>3886</v>
      </c>
      <c r="Y171" s="2892" t="s">
        <v>3887</v>
      </c>
      <c r="Z171" s="2892" t="s">
        <v>3888</v>
      </c>
      <c r="AA171" s="2892" t="s">
        <v>3888</v>
      </c>
      <c r="AB171" s="2892" t="s">
        <v>3893</v>
      </c>
      <c r="AC171" s="2892" t="s">
        <v>3059</v>
      </c>
      <c r="AD171" s="2892" t="s">
        <v>3894</v>
      </c>
      <c r="AE171" s="2892">
        <v>9710</v>
      </c>
      <c r="AF171" s="2892">
        <v>19416</v>
      </c>
      <c r="AG171" s="2892">
        <v>19416</v>
      </c>
      <c r="AH171" s="2892">
        <v>422.07</v>
      </c>
      <c r="AI171" s="2892">
        <v>422.07</v>
      </c>
      <c r="AJ171" s="2892">
        <v>1808.88</v>
      </c>
      <c r="AK171" s="2892">
        <v>1808.88</v>
      </c>
      <c r="AL171" s="2892" t="s">
        <v>2817</v>
      </c>
      <c r="AM171" s="2892" t="s">
        <v>2817</v>
      </c>
      <c r="AN171" s="2892">
        <v>0</v>
      </c>
      <c r="AO171" s="2892" t="s">
        <v>3060</v>
      </c>
      <c r="AP171" s="2892" t="s">
        <v>2817</v>
      </c>
      <c r="AQ171" s="2892" t="s">
        <v>2817</v>
      </c>
      <c r="AR171" s="2892" t="s">
        <v>2817</v>
      </c>
      <c r="AS171" s="2892" t="s">
        <v>3117</v>
      </c>
    </row>
    <row r="172" spans="1:45" s="2892" customFormat="1">
      <c r="A172" s="2892" t="s">
        <v>3895</v>
      </c>
      <c r="B172" s="2892" t="s">
        <v>3055</v>
      </c>
      <c r="C172" s="2892" t="s">
        <v>3056</v>
      </c>
      <c r="D172" s="2892" t="s">
        <v>3468</v>
      </c>
      <c r="E172" s="2892" t="s">
        <v>2817</v>
      </c>
      <c r="F172" s="2892" t="s">
        <v>3895</v>
      </c>
      <c r="G172" s="2892" t="s">
        <v>3057</v>
      </c>
      <c r="H172" s="2892" t="s">
        <v>3896</v>
      </c>
      <c r="I172" s="2892" t="s">
        <v>3833</v>
      </c>
      <c r="J172" s="2892">
        <v>39079.449999999997</v>
      </c>
      <c r="K172" s="2892">
        <v>97698.63</v>
      </c>
      <c r="L172" s="2892" t="s">
        <v>3772</v>
      </c>
      <c r="M172" s="2892" t="s">
        <v>2817</v>
      </c>
      <c r="N172" s="2892" t="s">
        <v>3090</v>
      </c>
      <c r="O172" s="2892" t="s">
        <v>3529</v>
      </c>
      <c r="P172" s="2892" t="s">
        <v>2817</v>
      </c>
      <c r="Q172" s="2892" t="s">
        <v>2817</v>
      </c>
      <c r="R172" s="2892" t="s">
        <v>2817</v>
      </c>
      <c r="S172" s="2892" t="s">
        <v>2817</v>
      </c>
      <c r="T172" s="2892" t="s">
        <v>2817</v>
      </c>
      <c r="U172" s="2892" t="s">
        <v>2817</v>
      </c>
      <c r="V172" s="2892" t="s">
        <v>2817</v>
      </c>
      <c r="W172" s="2892" t="s">
        <v>3063</v>
      </c>
      <c r="X172" s="2892" t="s">
        <v>3897</v>
      </c>
      <c r="Y172" s="2892" t="s">
        <v>3898</v>
      </c>
      <c r="Z172" s="2892" t="s">
        <v>3899</v>
      </c>
      <c r="AA172" s="2892" t="s">
        <v>3899</v>
      </c>
      <c r="AB172" s="2892" t="s">
        <v>3900</v>
      </c>
      <c r="AC172" s="2892" t="s">
        <v>3059</v>
      </c>
      <c r="AD172" s="2892" t="s">
        <v>3901</v>
      </c>
      <c r="AE172" s="2892">
        <v>33150</v>
      </c>
      <c r="AF172" s="2892">
        <v>33150</v>
      </c>
      <c r="AG172" s="2892">
        <v>57318</v>
      </c>
      <c r="AH172" s="2892">
        <v>565.51</v>
      </c>
      <c r="AI172" s="2892">
        <v>977.8</v>
      </c>
      <c r="AJ172" s="2892">
        <v>3393.08</v>
      </c>
      <c r="AK172" s="2892">
        <v>5866.81</v>
      </c>
      <c r="AL172" s="2892" t="s">
        <v>2817</v>
      </c>
      <c r="AM172" s="2892" t="s">
        <v>2817</v>
      </c>
      <c r="AN172" s="2892">
        <v>72.900000000000006</v>
      </c>
      <c r="AO172" s="2892" t="s">
        <v>3060</v>
      </c>
      <c r="AP172" s="2892" t="s">
        <v>2817</v>
      </c>
      <c r="AQ172" s="2892" t="s">
        <v>2817</v>
      </c>
      <c r="AR172" s="2892" t="s">
        <v>2817</v>
      </c>
      <c r="AS172" s="2892" t="s">
        <v>3086</v>
      </c>
    </row>
    <row r="173" spans="1:45" s="2892" customFormat="1">
      <c r="A173" s="2892" t="s">
        <v>3902</v>
      </c>
      <c r="B173" s="2892" t="s">
        <v>3055</v>
      </c>
      <c r="C173" s="2892" t="s">
        <v>3071</v>
      </c>
      <c r="D173" s="2892" t="s">
        <v>3382</v>
      </c>
      <c r="E173" s="2892" t="s">
        <v>2817</v>
      </c>
      <c r="F173" s="2892" t="s">
        <v>3902</v>
      </c>
      <c r="G173" s="2892" t="s">
        <v>3057</v>
      </c>
      <c r="H173" s="2892" t="s">
        <v>3903</v>
      </c>
      <c r="I173" s="2892" t="s">
        <v>3904</v>
      </c>
      <c r="J173" s="2892">
        <v>12312.06</v>
      </c>
      <c r="K173" s="2892">
        <v>49248.24</v>
      </c>
      <c r="L173" s="2892" t="s">
        <v>3680</v>
      </c>
      <c r="M173" s="2892" t="s">
        <v>2817</v>
      </c>
      <c r="N173" s="2892" t="s">
        <v>3796</v>
      </c>
      <c r="O173" s="2892" t="s">
        <v>3111</v>
      </c>
      <c r="P173" s="2892" t="s">
        <v>2817</v>
      </c>
      <c r="Q173" s="2892" t="s">
        <v>2817</v>
      </c>
      <c r="R173" s="2892" t="s">
        <v>2817</v>
      </c>
      <c r="S173" s="2892" t="s">
        <v>2817</v>
      </c>
      <c r="T173" s="2892" t="s">
        <v>2817</v>
      </c>
      <c r="U173" s="2892" t="s">
        <v>2817</v>
      </c>
      <c r="V173" s="2892" t="s">
        <v>2817</v>
      </c>
      <c r="W173" s="2892" t="s">
        <v>3063</v>
      </c>
      <c r="X173" s="2892" t="s">
        <v>3897</v>
      </c>
      <c r="Y173" s="2892" t="s">
        <v>3898</v>
      </c>
      <c r="Z173" s="2892" t="s">
        <v>3899</v>
      </c>
      <c r="AA173" s="2892" t="s">
        <v>3899</v>
      </c>
      <c r="AB173" s="2892" t="s">
        <v>3905</v>
      </c>
      <c r="AC173" s="2892" t="s">
        <v>3059</v>
      </c>
      <c r="AD173" s="2892" t="s">
        <v>3906</v>
      </c>
      <c r="AE173" s="2892">
        <v>9770</v>
      </c>
      <c r="AF173" s="2892">
        <v>9770</v>
      </c>
      <c r="AG173" s="2892">
        <v>9770</v>
      </c>
      <c r="AH173" s="2892">
        <v>529.02</v>
      </c>
      <c r="AI173" s="2892">
        <v>529.02</v>
      </c>
      <c r="AJ173" s="2892">
        <v>1983.82</v>
      </c>
      <c r="AK173" s="2892">
        <v>1983.82</v>
      </c>
      <c r="AL173" s="2892" t="s">
        <v>2817</v>
      </c>
      <c r="AM173" s="2892" t="s">
        <v>2817</v>
      </c>
      <c r="AN173" s="2892">
        <v>0</v>
      </c>
      <c r="AO173" s="2892" t="s">
        <v>3700</v>
      </c>
      <c r="AP173" s="2892" t="s">
        <v>2817</v>
      </c>
      <c r="AQ173" s="2892" t="s">
        <v>2817</v>
      </c>
      <c r="AR173" s="2892" t="s">
        <v>2817</v>
      </c>
      <c r="AS173" s="2892" t="s">
        <v>3086</v>
      </c>
    </row>
    <row r="174" spans="1:45" s="3202" customFormat="1">
      <c r="A174" s="3203" t="s">
        <v>4020</v>
      </c>
      <c r="B174" s="3202" t="s">
        <v>3055</v>
      </c>
      <c r="C174" s="3202" t="s">
        <v>3056</v>
      </c>
      <c r="D174" s="3202" t="s">
        <v>3468</v>
      </c>
      <c r="E174" s="3202" t="s">
        <v>2817</v>
      </c>
      <c r="F174" s="3202" t="s">
        <v>3907</v>
      </c>
      <c r="G174" s="3202" t="s">
        <v>3057</v>
      </c>
      <c r="H174" s="3202" t="s">
        <v>3908</v>
      </c>
      <c r="I174" s="3202" t="s">
        <v>3833</v>
      </c>
      <c r="J174" s="3202">
        <v>69439.19</v>
      </c>
      <c r="K174" s="3202">
        <v>173598</v>
      </c>
      <c r="L174" s="3202" t="s">
        <v>3772</v>
      </c>
      <c r="M174" s="3202" t="s">
        <v>2817</v>
      </c>
      <c r="N174" s="3202" t="s">
        <v>3090</v>
      </c>
      <c r="O174" s="3202" t="s">
        <v>3529</v>
      </c>
      <c r="P174" s="3202" t="s">
        <v>2817</v>
      </c>
      <c r="Q174" s="3202" t="s">
        <v>2817</v>
      </c>
      <c r="R174" s="3202" t="s">
        <v>2817</v>
      </c>
      <c r="S174" s="3202" t="s">
        <v>2817</v>
      </c>
      <c r="T174" s="3202" t="s">
        <v>2817</v>
      </c>
      <c r="U174" s="3202" t="s">
        <v>2817</v>
      </c>
      <c r="V174" s="3202" t="s">
        <v>2817</v>
      </c>
      <c r="W174" s="3202" t="s">
        <v>3063</v>
      </c>
      <c r="X174" s="3202" t="s">
        <v>3897</v>
      </c>
      <c r="Y174" s="3202" t="s">
        <v>3898</v>
      </c>
      <c r="Z174" s="3202" t="s">
        <v>3909</v>
      </c>
      <c r="AA174" s="3202" t="s">
        <v>3909</v>
      </c>
      <c r="AB174" s="3202" t="s">
        <v>3910</v>
      </c>
      <c r="AC174" s="3202" t="s">
        <v>3059</v>
      </c>
      <c r="AD174" s="3202" t="s">
        <v>3911</v>
      </c>
      <c r="AE174" s="3202">
        <v>29451</v>
      </c>
      <c r="AF174" s="3202">
        <v>58902</v>
      </c>
      <c r="AG174" s="3202">
        <v>98888</v>
      </c>
      <c r="AH174" s="3202">
        <v>565.5</v>
      </c>
      <c r="AI174" s="3202">
        <v>949.4</v>
      </c>
      <c r="AJ174" s="3202">
        <v>3393.01</v>
      </c>
      <c r="AK174" s="3202">
        <v>5696.38</v>
      </c>
      <c r="AL174" s="3202" t="s">
        <v>2817</v>
      </c>
      <c r="AM174" s="3202" t="s">
        <v>2817</v>
      </c>
      <c r="AN174" s="3202">
        <v>67.89</v>
      </c>
      <c r="AO174" s="3202" t="s">
        <v>3060</v>
      </c>
      <c r="AP174" s="3202" t="s">
        <v>2817</v>
      </c>
      <c r="AQ174" s="3202" t="s">
        <v>2817</v>
      </c>
      <c r="AR174" s="3202" t="s">
        <v>2817</v>
      </c>
      <c r="AS174" s="3202" t="s">
        <v>3117</v>
      </c>
    </row>
    <row r="175" spans="1:45" s="2892" customFormat="1">
      <c r="A175" s="2892" t="s">
        <v>3912</v>
      </c>
      <c r="B175" s="2892" t="s">
        <v>3055</v>
      </c>
      <c r="C175" s="2892" t="s">
        <v>3056</v>
      </c>
      <c r="D175" s="2892" t="s">
        <v>3468</v>
      </c>
      <c r="E175" s="2892" t="s">
        <v>2817</v>
      </c>
      <c r="F175" s="2892" t="s">
        <v>3912</v>
      </c>
      <c r="G175" s="2892" t="s">
        <v>3057</v>
      </c>
      <c r="H175" s="2892" t="s">
        <v>3913</v>
      </c>
      <c r="I175" s="2892" t="s">
        <v>3833</v>
      </c>
      <c r="J175" s="2892">
        <v>55513.41</v>
      </c>
      <c r="K175" s="2892">
        <v>166540.20000000001</v>
      </c>
      <c r="L175" s="2892" t="s">
        <v>3632</v>
      </c>
      <c r="M175" s="2892" t="s">
        <v>2817</v>
      </c>
      <c r="N175" s="2892" t="s">
        <v>3090</v>
      </c>
      <c r="O175" s="2892" t="s">
        <v>3416</v>
      </c>
      <c r="P175" s="2892" t="s">
        <v>2817</v>
      </c>
      <c r="Q175" s="2892" t="s">
        <v>2817</v>
      </c>
      <c r="R175" s="2892" t="s">
        <v>2817</v>
      </c>
      <c r="S175" s="2892" t="s">
        <v>2817</v>
      </c>
      <c r="T175" s="2892" t="s">
        <v>2817</v>
      </c>
      <c r="U175" s="2892" t="s">
        <v>2817</v>
      </c>
      <c r="V175" s="2892" t="s">
        <v>2817</v>
      </c>
      <c r="W175" s="2892" t="s">
        <v>3063</v>
      </c>
      <c r="X175" s="2892" t="s">
        <v>3897</v>
      </c>
      <c r="Y175" s="2892" t="s">
        <v>3898</v>
      </c>
      <c r="Z175" s="2892" t="s">
        <v>3909</v>
      </c>
      <c r="AA175" s="2892" t="s">
        <v>3909</v>
      </c>
      <c r="AB175" s="2892" t="s">
        <v>3914</v>
      </c>
      <c r="AC175" s="2892" t="s">
        <v>3059</v>
      </c>
      <c r="AD175" s="2892" t="s">
        <v>3492</v>
      </c>
      <c r="AE175" s="2892">
        <v>23545</v>
      </c>
      <c r="AF175" s="2892">
        <v>47090</v>
      </c>
      <c r="AG175" s="2892">
        <v>47090</v>
      </c>
      <c r="AH175" s="2892">
        <v>565.51</v>
      </c>
      <c r="AI175" s="2892">
        <v>565.51</v>
      </c>
      <c r="AJ175" s="2892">
        <v>2827.54</v>
      </c>
      <c r="AK175" s="2892">
        <v>2827.55</v>
      </c>
      <c r="AL175" s="2892" t="s">
        <v>2817</v>
      </c>
      <c r="AM175" s="2892" t="s">
        <v>2817</v>
      </c>
      <c r="AN175" s="2892">
        <v>0</v>
      </c>
      <c r="AO175" s="2892" t="s">
        <v>3060</v>
      </c>
      <c r="AP175" s="2892" t="s">
        <v>2817</v>
      </c>
      <c r="AQ175" s="2892" t="s">
        <v>2817</v>
      </c>
      <c r="AR175" s="2892" t="s">
        <v>2817</v>
      </c>
      <c r="AS175" s="2892" t="s">
        <v>3117</v>
      </c>
    </row>
    <row r="176" spans="1:45" s="2892" customFormat="1">
      <c r="A176" s="2892" t="s">
        <v>3915</v>
      </c>
      <c r="B176" s="2892" t="s">
        <v>3055</v>
      </c>
      <c r="C176" s="2892" t="s">
        <v>3056</v>
      </c>
      <c r="D176" s="2892" t="s">
        <v>3074</v>
      </c>
      <c r="E176" s="2892" t="s">
        <v>2817</v>
      </c>
      <c r="F176" s="2892" t="s">
        <v>3915</v>
      </c>
      <c r="G176" s="2892" t="s">
        <v>3057</v>
      </c>
      <c r="H176" s="2892" t="s">
        <v>3916</v>
      </c>
      <c r="I176" s="2892" t="s">
        <v>3833</v>
      </c>
      <c r="J176" s="2892">
        <v>4191.99</v>
      </c>
      <c r="K176" s="2892">
        <v>16767.96</v>
      </c>
      <c r="L176" s="2892" t="s">
        <v>3680</v>
      </c>
      <c r="M176" s="2892" t="s">
        <v>2817</v>
      </c>
      <c r="N176" s="2892" t="s">
        <v>3101</v>
      </c>
      <c r="O176" s="2892" t="s">
        <v>3111</v>
      </c>
      <c r="P176" s="2892" t="s">
        <v>2817</v>
      </c>
      <c r="Q176" s="2892" t="s">
        <v>2817</v>
      </c>
      <c r="R176" s="2892" t="s">
        <v>2817</v>
      </c>
      <c r="S176" s="2892" t="s">
        <v>2817</v>
      </c>
      <c r="T176" s="2892" t="s">
        <v>2817</v>
      </c>
      <c r="U176" s="2892" t="s">
        <v>2817</v>
      </c>
      <c r="V176" s="2892" t="s">
        <v>2817</v>
      </c>
      <c r="W176" s="2892" t="s">
        <v>3063</v>
      </c>
      <c r="X176" s="2892" t="s">
        <v>3897</v>
      </c>
      <c r="Y176" s="2892" t="s">
        <v>3898</v>
      </c>
      <c r="Z176" s="2892" t="s">
        <v>3917</v>
      </c>
      <c r="AA176" s="2892" t="s">
        <v>3917</v>
      </c>
      <c r="AB176" s="2892" t="s">
        <v>3918</v>
      </c>
      <c r="AC176" s="2892" t="s">
        <v>3059</v>
      </c>
      <c r="AD176" s="2892" t="s">
        <v>3919</v>
      </c>
      <c r="AE176" s="2892">
        <v>2810</v>
      </c>
      <c r="AF176" s="2892">
        <v>5611</v>
      </c>
      <c r="AG176" s="2892">
        <v>5611</v>
      </c>
      <c r="AH176" s="2892">
        <v>892.34</v>
      </c>
      <c r="AI176" s="2892">
        <v>892.34</v>
      </c>
      <c r="AJ176" s="2892">
        <v>3346.26</v>
      </c>
      <c r="AK176" s="2892">
        <v>3346.26</v>
      </c>
      <c r="AL176" s="2892" t="s">
        <v>2817</v>
      </c>
      <c r="AM176" s="2892" t="s">
        <v>2817</v>
      </c>
      <c r="AN176" s="2892">
        <v>0</v>
      </c>
      <c r="AO176" s="2892" t="s">
        <v>3060</v>
      </c>
      <c r="AP176" s="2892" t="s">
        <v>2817</v>
      </c>
      <c r="AQ176" s="2892" t="s">
        <v>2817</v>
      </c>
      <c r="AR176" s="2892" t="s">
        <v>2817</v>
      </c>
      <c r="AS176" s="2892" t="s">
        <v>3117</v>
      </c>
    </row>
    <row r="177" spans="1:45" s="2892" customFormat="1">
      <c r="A177" s="2892" t="s">
        <v>3920</v>
      </c>
      <c r="B177" s="2892" t="s">
        <v>3055</v>
      </c>
      <c r="C177" s="2892" t="s">
        <v>3071</v>
      </c>
      <c r="D177" s="2892" t="s">
        <v>3468</v>
      </c>
      <c r="E177" s="2892" t="s">
        <v>2817</v>
      </c>
      <c r="F177" s="2892" t="s">
        <v>3920</v>
      </c>
      <c r="G177" s="2892" t="s">
        <v>3057</v>
      </c>
      <c r="H177" s="2892" t="s">
        <v>3921</v>
      </c>
      <c r="I177" s="2892" t="s">
        <v>3833</v>
      </c>
      <c r="J177" s="2892">
        <v>43347.07</v>
      </c>
      <c r="K177" s="2892">
        <v>130041.2</v>
      </c>
      <c r="L177" s="2892" t="s">
        <v>3632</v>
      </c>
      <c r="M177" s="2892" t="s">
        <v>2817</v>
      </c>
      <c r="N177" s="2892" t="s">
        <v>3090</v>
      </c>
      <c r="O177" s="2892" t="s">
        <v>3111</v>
      </c>
      <c r="P177" s="2892" t="s">
        <v>2817</v>
      </c>
      <c r="Q177" s="2892" t="s">
        <v>2817</v>
      </c>
      <c r="R177" s="2892" t="s">
        <v>2817</v>
      </c>
      <c r="S177" s="2892" t="s">
        <v>2817</v>
      </c>
      <c r="T177" s="2892" t="s">
        <v>2817</v>
      </c>
      <c r="U177" s="2892" t="s">
        <v>2817</v>
      </c>
      <c r="V177" s="2892" t="s">
        <v>2817</v>
      </c>
      <c r="W177" s="2892" t="s">
        <v>3063</v>
      </c>
      <c r="X177" s="2892" t="s">
        <v>3922</v>
      </c>
      <c r="Y177" s="2892" t="s">
        <v>3923</v>
      </c>
      <c r="Z177" s="2892" t="s">
        <v>3924</v>
      </c>
      <c r="AA177" s="2892" t="s">
        <v>3924</v>
      </c>
      <c r="AB177" s="2892" t="s">
        <v>3925</v>
      </c>
      <c r="AC177" s="2892" t="s">
        <v>3059</v>
      </c>
      <c r="AD177" s="2892" t="s">
        <v>3492</v>
      </c>
      <c r="AE177" s="2892">
        <v>16650</v>
      </c>
      <c r="AF177" s="2892">
        <v>33250</v>
      </c>
      <c r="AG177" s="2892">
        <v>33250</v>
      </c>
      <c r="AH177" s="2892">
        <v>511.38</v>
      </c>
      <c r="AI177" s="2892">
        <v>511.38</v>
      </c>
      <c r="AJ177" s="2892">
        <v>2556.88</v>
      </c>
      <c r="AK177" s="2892">
        <v>2556.88</v>
      </c>
      <c r="AL177" s="2892" t="s">
        <v>2817</v>
      </c>
      <c r="AM177" s="2892" t="s">
        <v>2817</v>
      </c>
      <c r="AN177" s="2892">
        <v>0</v>
      </c>
      <c r="AO177" s="2892" t="s">
        <v>3700</v>
      </c>
      <c r="AP177" s="2892" t="s">
        <v>2817</v>
      </c>
      <c r="AQ177" s="2892" t="s">
        <v>2817</v>
      </c>
      <c r="AR177" s="2892" t="s">
        <v>2817</v>
      </c>
      <c r="AS177" s="2892" t="s">
        <v>3117</v>
      </c>
    </row>
    <row r="178" spans="1:45" s="2892" customFormat="1">
      <c r="A178" s="2892" t="s">
        <v>3926</v>
      </c>
      <c r="B178" s="2892" t="s">
        <v>3055</v>
      </c>
      <c r="C178" s="2892" t="s">
        <v>3056</v>
      </c>
      <c r="D178" s="2892" t="s">
        <v>3468</v>
      </c>
      <c r="E178" s="2892" t="s">
        <v>2817</v>
      </c>
      <c r="F178" s="2892" t="s">
        <v>3926</v>
      </c>
      <c r="G178" s="2892" t="s">
        <v>3057</v>
      </c>
      <c r="H178" s="2892" t="s">
        <v>3927</v>
      </c>
      <c r="I178" s="2892" t="s">
        <v>3833</v>
      </c>
      <c r="J178" s="2892">
        <v>14236.15</v>
      </c>
      <c r="K178" s="2892">
        <v>71180.75</v>
      </c>
      <c r="L178" s="2892" t="s">
        <v>3749</v>
      </c>
      <c r="M178" s="2892" t="s">
        <v>2817</v>
      </c>
      <c r="N178" s="2892" t="s">
        <v>3090</v>
      </c>
      <c r="O178" s="2892" t="s">
        <v>3111</v>
      </c>
      <c r="P178" s="2892" t="s">
        <v>2817</v>
      </c>
      <c r="Q178" s="2892" t="s">
        <v>2817</v>
      </c>
      <c r="R178" s="2892" t="s">
        <v>2817</v>
      </c>
      <c r="S178" s="2892" t="s">
        <v>2817</v>
      </c>
      <c r="T178" s="2892" t="s">
        <v>2817</v>
      </c>
      <c r="U178" s="2892" t="s">
        <v>2817</v>
      </c>
      <c r="V178" s="2892" t="s">
        <v>2817</v>
      </c>
      <c r="W178" s="2892" t="s">
        <v>3063</v>
      </c>
      <c r="X178" s="2892" t="s">
        <v>3922</v>
      </c>
      <c r="Y178" s="2892" t="s">
        <v>3923</v>
      </c>
      <c r="Z178" s="2892" t="s">
        <v>3924</v>
      </c>
      <c r="AA178" s="2892" t="s">
        <v>3924</v>
      </c>
      <c r="AB178" s="2892" t="s">
        <v>3928</v>
      </c>
      <c r="AC178" s="2892" t="s">
        <v>3059</v>
      </c>
      <c r="AD178" s="2892" t="s">
        <v>3751</v>
      </c>
      <c r="AE178" s="2892">
        <v>7310</v>
      </c>
      <c r="AF178" s="2892">
        <v>14607</v>
      </c>
      <c r="AG178" s="2892">
        <v>14607</v>
      </c>
      <c r="AH178" s="2892">
        <v>684.03</v>
      </c>
      <c r="AI178" s="2892">
        <v>684.03</v>
      </c>
      <c r="AJ178" s="2892">
        <v>2052.09</v>
      </c>
      <c r="AK178" s="2892">
        <v>2052.09</v>
      </c>
      <c r="AL178" s="2892" t="s">
        <v>2817</v>
      </c>
      <c r="AM178" s="2892" t="s">
        <v>2817</v>
      </c>
      <c r="AN178" s="2892">
        <v>0</v>
      </c>
      <c r="AO178" s="2892" t="s">
        <v>3060</v>
      </c>
      <c r="AP178" s="2892" t="s">
        <v>2817</v>
      </c>
      <c r="AQ178" s="2892" t="s">
        <v>2817</v>
      </c>
      <c r="AR178" s="2892" t="s">
        <v>2817</v>
      </c>
      <c r="AS178" s="2892" t="s">
        <v>3117</v>
      </c>
    </row>
    <row r="179" spans="1:45" s="2892" customFormat="1">
      <c r="A179" s="2892" t="s">
        <v>3929</v>
      </c>
      <c r="B179" s="2892" t="s">
        <v>3055</v>
      </c>
      <c r="C179" s="2892" t="s">
        <v>3056</v>
      </c>
      <c r="D179" s="2892" t="s">
        <v>3468</v>
      </c>
      <c r="E179" s="2892" t="s">
        <v>2817</v>
      </c>
      <c r="F179" s="2892" t="s">
        <v>3929</v>
      </c>
      <c r="G179" s="2892" t="s">
        <v>3057</v>
      </c>
      <c r="H179" s="2892" t="s">
        <v>3930</v>
      </c>
      <c r="I179" s="2892" t="s">
        <v>3833</v>
      </c>
      <c r="J179" s="2892">
        <v>59133.35</v>
      </c>
      <c r="K179" s="2892">
        <v>206966.7</v>
      </c>
      <c r="L179" s="2892" t="s">
        <v>3639</v>
      </c>
      <c r="M179" s="2892" t="s">
        <v>2817</v>
      </c>
      <c r="N179" s="2892" t="s">
        <v>3090</v>
      </c>
      <c r="O179" s="2892" t="s">
        <v>3111</v>
      </c>
      <c r="P179" s="2892" t="s">
        <v>2817</v>
      </c>
      <c r="Q179" s="2892" t="s">
        <v>2817</v>
      </c>
      <c r="R179" s="2892" t="s">
        <v>2817</v>
      </c>
      <c r="S179" s="2892" t="s">
        <v>2817</v>
      </c>
      <c r="T179" s="2892" t="s">
        <v>2817</v>
      </c>
      <c r="U179" s="2892" t="s">
        <v>2817</v>
      </c>
      <c r="V179" s="2892" t="s">
        <v>2817</v>
      </c>
      <c r="W179" s="2892" t="s">
        <v>3063</v>
      </c>
      <c r="X179" s="2892" t="s">
        <v>3922</v>
      </c>
      <c r="Y179" s="2892" t="s">
        <v>3923</v>
      </c>
      <c r="Z179" s="2892" t="s">
        <v>3924</v>
      </c>
      <c r="AA179" s="2892" t="s">
        <v>3924</v>
      </c>
      <c r="AB179" s="2892" t="s">
        <v>3931</v>
      </c>
      <c r="AC179" s="2892" t="s">
        <v>3059</v>
      </c>
      <c r="AD179" s="2892" t="s">
        <v>3492</v>
      </c>
      <c r="AE179" s="2892">
        <v>23255</v>
      </c>
      <c r="AF179" s="2892">
        <v>46510</v>
      </c>
      <c r="AG179" s="2892">
        <v>46510</v>
      </c>
      <c r="AH179" s="2892">
        <v>524.35</v>
      </c>
      <c r="AI179" s="2892">
        <v>524.35</v>
      </c>
      <c r="AJ179" s="2892">
        <v>2247.2199999999998</v>
      </c>
      <c r="AK179" s="2892">
        <v>2247.21</v>
      </c>
      <c r="AL179" s="2892" t="s">
        <v>2817</v>
      </c>
      <c r="AM179" s="2892" t="s">
        <v>2817</v>
      </c>
      <c r="AN179" s="2892">
        <v>0</v>
      </c>
      <c r="AO179" s="2892" t="s">
        <v>3060</v>
      </c>
      <c r="AP179" s="2892" t="s">
        <v>2817</v>
      </c>
      <c r="AQ179" s="2892" t="s">
        <v>2817</v>
      </c>
      <c r="AR179" s="2892" t="s">
        <v>2817</v>
      </c>
      <c r="AS179" s="2892" t="s">
        <v>3146</v>
      </c>
    </row>
    <row r="180" spans="1:45" s="2892" customFormat="1">
      <c r="A180" s="2892" t="s">
        <v>3932</v>
      </c>
      <c r="B180" s="2892" t="s">
        <v>3055</v>
      </c>
      <c r="C180" s="2892" t="s">
        <v>3056</v>
      </c>
      <c r="D180" s="2892" t="s">
        <v>3382</v>
      </c>
      <c r="E180" s="2892" t="s">
        <v>2817</v>
      </c>
      <c r="F180" s="2892" t="s">
        <v>3932</v>
      </c>
      <c r="G180" s="2892" t="s">
        <v>3057</v>
      </c>
      <c r="H180" s="2892" t="s">
        <v>3933</v>
      </c>
      <c r="I180" s="2892" t="s">
        <v>3833</v>
      </c>
      <c r="J180" s="2892">
        <v>33360.93</v>
      </c>
      <c r="K180" s="2892">
        <v>103418.9</v>
      </c>
      <c r="L180" s="2892" t="s">
        <v>3934</v>
      </c>
      <c r="M180" s="2892" t="s">
        <v>2817</v>
      </c>
      <c r="N180" s="2892" t="s">
        <v>3778</v>
      </c>
      <c r="O180" s="2892" t="s">
        <v>3111</v>
      </c>
      <c r="P180" s="2892" t="s">
        <v>2817</v>
      </c>
      <c r="Q180" s="2892" t="s">
        <v>2817</v>
      </c>
      <c r="R180" s="2892" t="s">
        <v>2817</v>
      </c>
      <c r="S180" s="2892" t="s">
        <v>2817</v>
      </c>
      <c r="T180" s="2892" t="s">
        <v>2817</v>
      </c>
      <c r="U180" s="2892" t="s">
        <v>2817</v>
      </c>
      <c r="V180" s="2892" t="s">
        <v>2817</v>
      </c>
      <c r="W180" s="2892" t="s">
        <v>3063</v>
      </c>
      <c r="X180" s="2892" t="s">
        <v>3922</v>
      </c>
      <c r="Y180" s="2892" t="s">
        <v>3923</v>
      </c>
      <c r="Z180" s="2892" t="s">
        <v>3924</v>
      </c>
      <c r="AA180" s="2892" t="s">
        <v>3924</v>
      </c>
      <c r="AB180" s="2892" t="s">
        <v>3935</v>
      </c>
      <c r="AC180" s="2892" t="s">
        <v>3059</v>
      </c>
      <c r="AD180" s="2892" t="s">
        <v>3936</v>
      </c>
      <c r="AE180" s="2892">
        <v>9850</v>
      </c>
      <c r="AF180" s="2892">
        <v>19682</v>
      </c>
      <c r="AG180" s="2892">
        <v>19682</v>
      </c>
      <c r="AH180" s="2892">
        <v>393.31</v>
      </c>
      <c r="AI180" s="2892">
        <v>393.31</v>
      </c>
      <c r="AJ180" s="2892">
        <v>1903.13</v>
      </c>
      <c r="AK180" s="2892">
        <v>1903.13</v>
      </c>
      <c r="AL180" s="2892" t="s">
        <v>2817</v>
      </c>
      <c r="AM180" s="2892" t="s">
        <v>2817</v>
      </c>
      <c r="AN180" s="2892">
        <v>0</v>
      </c>
      <c r="AO180" s="2892" t="s">
        <v>3060</v>
      </c>
      <c r="AP180" s="2892" t="s">
        <v>2817</v>
      </c>
      <c r="AQ180" s="2892" t="s">
        <v>2817</v>
      </c>
      <c r="AR180" s="2892" t="s">
        <v>2817</v>
      </c>
      <c r="AS180" s="2892" t="s">
        <v>3086</v>
      </c>
    </row>
    <row r="181" spans="1:45" s="2892" customFormat="1">
      <c r="A181" s="2892" t="s">
        <v>3937</v>
      </c>
      <c r="B181" s="2892" t="s">
        <v>3055</v>
      </c>
      <c r="C181" s="2892" t="s">
        <v>3056</v>
      </c>
      <c r="D181" s="2892" t="s">
        <v>3468</v>
      </c>
      <c r="E181" s="2892" t="s">
        <v>2817</v>
      </c>
      <c r="F181" s="2892" t="s">
        <v>3937</v>
      </c>
      <c r="G181" s="2892" t="s">
        <v>3057</v>
      </c>
      <c r="H181" s="2892" t="s">
        <v>3938</v>
      </c>
      <c r="I181" s="2892" t="s">
        <v>3833</v>
      </c>
      <c r="J181" s="2892">
        <v>23380.19</v>
      </c>
      <c r="K181" s="2892">
        <v>70140.570000000007</v>
      </c>
      <c r="L181" s="2892" t="s">
        <v>3632</v>
      </c>
      <c r="M181" s="2892" t="s">
        <v>2817</v>
      </c>
      <c r="N181" s="2892" t="s">
        <v>3090</v>
      </c>
      <c r="O181" s="2892" t="s">
        <v>3529</v>
      </c>
      <c r="P181" s="2892" t="s">
        <v>2817</v>
      </c>
      <c r="Q181" s="2892" t="s">
        <v>2817</v>
      </c>
      <c r="R181" s="2892" t="s">
        <v>2817</v>
      </c>
      <c r="S181" s="2892" t="s">
        <v>2817</v>
      </c>
      <c r="T181" s="2892" t="s">
        <v>2817</v>
      </c>
      <c r="U181" s="2892" t="s">
        <v>2817</v>
      </c>
      <c r="V181" s="2892" t="s">
        <v>2817</v>
      </c>
      <c r="W181" s="2892" t="s">
        <v>3063</v>
      </c>
      <c r="X181" s="2892" t="s">
        <v>3922</v>
      </c>
      <c r="Y181" s="2892" t="s">
        <v>3923</v>
      </c>
      <c r="Z181" s="2892" t="s">
        <v>3924</v>
      </c>
      <c r="AA181" s="2892" t="s">
        <v>3924</v>
      </c>
      <c r="AB181" s="2892" t="s">
        <v>3939</v>
      </c>
      <c r="AC181" s="2892" t="s">
        <v>3059</v>
      </c>
      <c r="AD181" s="2892" t="s">
        <v>3890</v>
      </c>
      <c r="AE181" s="2892">
        <v>8844</v>
      </c>
      <c r="AF181" s="2892">
        <v>17688</v>
      </c>
      <c r="AG181" s="2892">
        <v>17688</v>
      </c>
      <c r="AH181" s="2892">
        <v>504.36</v>
      </c>
      <c r="AI181" s="2892">
        <v>504.36</v>
      </c>
      <c r="AJ181" s="2892">
        <v>2521.79</v>
      </c>
      <c r="AK181" s="2892">
        <v>2521.7800000000002</v>
      </c>
      <c r="AL181" s="2892" t="s">
        <v>2817</v>
      </c>
      <c r="AM181" s="2892" t="s">
        <v>2817</v>
      </c>
      <c r="AN181" s="2892">
        <v>0</v>
      </c>
      <c r="AO181" s="2892" t="s">
        <v>3060</v>
      </c>
      <c r="AP181" s="2892" t="s">
        <v>2817</v>
      </c>
      <c r="AQ181" s="2892" t="s">
        <v>2817</v>
      </c>
      <c r="AR181" s="2892" t="s">
        <v>2817</v>
      </c>
      <c r="AS181" s="2892" t="s">
        <v>3086</v>
      </c>
    </row>
    <row r="182" spans="1:45" s="2892" customFormat="1">
      <c r="A182" s="2892" t="s">
        <v>3940</v>
      </c>
      <c r="B182" s="2892" t="s">
        <v>3055</v>
      </c>
      <c r="C182" s="2892" t="s">
        <v>3056</v>
      </c>
      <c r="D182" s="2892" t="s">
        <v>3468</v>
      </c>
      <c r="E182" s="2892" t="s">
        <v>2817</v>
      </c>
      <c r="F182" s="2892" t="s">
        <v>3940</v>
      </c>
      <c r="G182" s="2892" t="s">
        <v>3057</v>
      </c>
      <c r="H182" s="2892" t="s">
        <v>3941</v>
      </c>
      <c r="I182" s="2892" t="s">
        <v>3833</v>
      </c>
      <c r="J182" s="2892">
        <v>6494.49</v>
      </c>
      <c r="K182" s="2892">
        <v>32472.45</v>
      </c>
      <c r="L182" s="2892" t="s">
        <v>3749</v>
      </c>
      <c r="M182" s="2892" t="s">
        <v>2817</v>
      </c>
      <c r="N182" s="2892" t="s">
        <v>3090</v>
      </c>
      <c r="O182" s="2892" t="s">
        <v>3111</v>
      </c>
      <c r="P182" s="2892" t="s">
        <v>2817</v>
      </c>
      <c r="Q182" s="2892" t="s">
        <v>2817</v>
      </c>
      <c r="R182" s="2892" t="s">
        <v>2817</v>
      </c>
      <c r="S182" s="2892" t="s">
        <v>2817</v>
      </c>
      <c r="T182" s="2892" t="s">
        <v>2817</v>
      </c>
      <c r="U182" s="2892" t="s">
        <v>2817</v>
      </c>
      <c r="V182" s="2892" t="s">
        <v>2817</v>
      </c>
      <c r="W182" s="2892" t="s">
        <v>3063</v>
      </c>
      <c r="X182" s="2892" t="s">
        <v>3922</v>
      </c>
      <c r="Y182" s="2892" t="s">
        <v>3923</v>
      </c>
      <c r="Z182" s="2892" t="s">
        <v>3924</v>
      </c>
      <c r="AA182" s="2892" t="s">
        <v>3924</v>
      </c>
      <c r="AB182" s="2892" t="s">
        <v>3942</v>
      </c>
      <c r="AC182" s="2892" t="s">
        <v>3059</v>
      </c>
      <c r="AD182" s="2892" t="s">
        <v>3751</v>
      </c>
      <c r="AE182" s="2892">
        <v>3332</v>
      </c>
      <c r="AF182" s="2892">
        <v>6664</v>
      </c>
      <c r="AG182" s="2892">
        <v>6664</v>
      </c>
      <c r="AH182" s="2892">
        <v>684.07</v>
      </c>
      <c r="AI182" s="2892">
        <v>684.07</v>
      </c>
      <c r="AJ182" s="2892">
        <v>2052.1999999999998</v>
      </c>
      <c r="AK182" s="2892">
        <v>2052.19</v>
      </c>
      <c r="AL182" s="2892" t="s">
        <v>2817</v>
      </c>
      <c r="AM182" s="2892" t="s">
        <v>2817</v>
      </c>
      <c r="AN182" s="2892">
        <v>0</v>
      </c>
      <c r="AO182" s="2892" t="s">
        <v>3060</v>
      </c>
      <c r="AP182" s="2892" t="s">
        <v>2817</v>
      </c>
      <c r="AQ182" s="2892" t="s">
        <v>2817</v>
      </c>
      <c r="AR182" s="2892" t="s">
        <v>2817</v>
      </c>
      <c r="AS182" s="2892" t="s">
        <v>3117</v>
      </c>
    </row>
    <row r="183" spans="1:45" s="2892" customFormat="1">
      <c r="A183" s="2892" t="s">
        <v>3943</v>
      </c>
      <c r="B183" s="2892" t="s">
        <v>3055</v>
      </c>
      <c r="C183" s="2892" t="s">
        <v>3071</v>
      </c>
      <c r="D183" s="2892" t="s">
        <v>3468</v>
      </c>
      <c r="E183" s="2892" t="s">
        <v>2817</v>
      </c>
      <c r="F183" s="2892" t="s">
        <v>3943</v>
      </c>
      <c r="G183" s="2892" t="s">
        <v>3057</v>
      </c>
      <c r="H183" s="2892" t="s">
        <v>3944</v>
      </c>
      <c r="I183" s="2892" t="s">
        <v>3945</v>
      </c>
      <c r="J183" s="2892">
        <v>27231.21</v>
      </c>
      <c r="K183" s="2892">
        <v>122540.4</v>
      </c>
      <c r="L183" s="2892" t="s">
        <v>3745</v>
      </c>
      <c r="M183" s="2892" t="s">
        <v>2817</v>
      </c>
      <c r="N183" s="2892" t="s">
        <v>3423</v>
      </c>
      <c r="O183" s="2892" t="s">
        <v>3111</v>
      </c>
      <c r="P183" s="2892" t="s">
        <v>2817</v>
      </c>
      <c r="Q183" s="2892" t="s">
        <v>2817</v>
      </c>
      <c r="R183" s="2892" t="s">
        <v>2817</v>
      </c>
      <c r="S183" s="2892" t="s">
        <v>2817</v>
      </c>
      <c r="T183" s="2892" t="s">
        <v>2817</v>
      </c>
      <c r="U183" s="2892" t="s">
        <v>2817</v>
      </c>
      <c r="V183" s="2892" t="s">
        <v>2817</v>
      </c>
      <c r="W183" s="2892" t="s">
        <v>3946</v>
      </c>
      <c r="X183" s="2892" t="s">
        <v>3947</v>
      </c>
      <c r="Y183" s="2892" t="s">
        <v>3948</v>
      </c>
      <c r="Z183" s="2892" t="s">
        <v>3898</v>
      </c>
      <c r="AA183" s="2892" t="s">
        <v>3898</v>
      </c>
      <c r="AB183" s="2892" t="s">
        <v>3949</v>
      </c>
      <c r="AC183" s="2892" t="s">
        <v>3059</v>
      </c>
      <c r="AD183" s="2892" t="s">
        <v>3629</v>
      </c>
      <c r="AE183" s="2892">
        <v>12400</v>
      </c>
      <c r="AF183" s="2892">
        <v>24792</v>
      </c>
      <c r="AG183" s="2892">
        <v>24792</v>
      </c>
      <c r="AH183" s="2892">
        <v>606.95000000000005</v>
      </c>
      <c r="AI183" s="2892">
        <v>606.95000000000005</v>
      </c>
      <c r="AJ183" s="2892">
        <v>2023.16</v>
      </c>
      <c r="AK183" s="2892">
        <v>2023.17</v>
      </c>
      <c r="AL183" s="2892" t="s">
        <v>2817</v>
      </c>
      <c r="AM183" s="2892" t="s">
        <v>2817</v>
      </c>
      <c r="AN183" s="2892">
        <v>0</v>
      </c>
      <c r="AO183" s="2892" t="s">
        <v>3700</v>
      </c>
      <c r="AP183" s="2892" t="s">
        <v>2817</v>
      </c>
      <c r="AQ183" s="2892" t="s">
        <v>2817</v>
      </c>
      <c r="AR183" s="2892" t="s">
        <v>2817</v>
      </c>
      <c r="AS183" s="2892" t="s">
        <v>3117</v>
      </c>
    </row>
    <row r="184" spans="1:45" s="2892" customFormat="1">
      <c r="A184" s="2892" t="s">
        <v>3950</v>
      </c>
      <c r="B184" s="2892" t="s">
        <v>3055</v>
      </c>
      <c r="C184" s="2892" t="s">
        <v>3056</v>
      </c>
      <c r="D184" s="2892" t="s">
        <v>3074</v>
      </c>
      <c r="E184" s="2892" t="s">
        <v>2817</v>
      </c>
      <c r="F184" s="2892" t="s">
        <v>3950</v>
      </c>
      <c r="G184" s="2892" t="s">
        <v>3057</v>
      </c>
      <c r="H184" s="2892" t="s">
        <v>3951</v>
      </c>
      <c r="I184" s="2892" t="s">
        <v>3833</v>
      </c>
      <c r="J184" s="2892">
        <v>71986.14</v>
      </c>
      <c r="K184" s="2892">
        <v>143972.29999999999</v>
      </c>
      <c r="L184" s="2892" t="s">
        <v>3952</v>
      </c>
      <c r="M184" s="2892" t="s">
        <v>2817</v>
      </c>
      <c r="N184" s="2892" t="s">
        <v>3090</v>
      </c>
      <c r="O184" s="2892" t="s">
        <v>3180</v>
      </c>
      <c r="P184" s="2892" t="s">
        <v>2817</v>
      </c>
      <c r="Q184" s="2892" t="s">
        <v>2817</v>
      </c>
      <c r="R184" s="2892" t="s">
        <v>2817</v>
      </c>
      <c r="S184" s="2892" t="s">
        <v>2817</v>
      </c>
      <c r="T184" s="2892" t="s">
        <v>2817</v>
      </c>
      <c r="U184" s="2892" t="s">
        <v>2817</v>
      </c>
      <c r="V184" s="2892" t="s">
        <v>2817</v>
      </c>
      <c r="W184" s="2892" t="s">
        <v>3946</v>
      </c>
      <c r="X184" s="2892" t="s">
        <v>3947</v>
      </c>
      <c r="Y184" s="2892" t="s">
        <v>3948</v>
      </c>
      <c r="Z184" s="2892" t="s">
        <v>3898</v>
      </c>
      <c r="AA184" s="2892" t="s">
        <v>3898</v>
      </c>
      <c r="AB184" s="2892" t="s">
        <v>3953</v>
      </c>
      <c r="AC184" s="2892" t="s">
        <v>3059</v>
      </c>
      <c r="AD184" s="2892" t="s">
        <v>3954</v>
      </c>
      <c r="AE184" s="2892">
        <v>22170</v>
      </c>
      <c r="AF184" s="2892">
        <v>44337</v>
      </c>
      <c r="AG184" s="2892">
        <v>44337</v>
      </c>
      <c r="AH184" s="2892">
        <v>410.61</v>
      </c>
      <c r="AI184" s="2892">
        <v>410.61</v>
      </c>
      <c r="AJ184" s="2892">
        <v>3079.55</v>
      </c>
      <c r="AK184" s="2892">
        <v>3079.55</v>
      </c>
      <c r="AL184" s="2892" t="s">
        <v>2817</v>
      </c>
      <c r="AM184" s="2892" t="s">
        <v>2817</v>
      </c>
      <c r="AN184" s="2892">
        <v>0</v>
      </c>
      <c r="AO184" s="2892" t="s">
        <v>3060</v>
      </c>
      <c r="AP184" s="2892" t="s">
        <v>2817</v>
      </c>
      <c r="AQ184" s="2892" t="s">
        <v>2817</v>
      </c>
      <c r="AR184" s="2892" t="s">
        <v>2817</v>
      </c>
      <c r="AS184" s="2892" t="s">
        <v>3117</v>
      </c>
    </row>
    <row r="185" spans="1:45" s="2892" customFormat="1">
      <c r="A185" s="2892" t="s">
        <v>3955</v>
      </c>
      <c r="B185" s="2892" t="s">
        <v>3055</v>
      </c>
      <c r="C185" s="2892" t="s">
        <v>3071</v>
      </c>
      <c r="D185" s="2892" t="s">
        <v>3468</v>
      </c>
      <c r="E185" s="2892" t="s">
        <v>2817</v>
      </c>
      <c r="F185" s="2892" t="s">
        <v>3955</v>
      </c>
      <c r="G185" s="2892" t="s">
        <v>3057</v>
      </c>
      <c r="H185" s="2892" t="s">
        <v>3956</v>
      </c>
      <c r="I185" s="2892" t="s">
        <v>3957</v>
      </c>
      <c r="J185" s="2892">
        <v>22225.02</v>
      </c>
      <c r="K185" s="2892">
        <v>97790.09</v>
      </c>
      <c r="L185" s="2892" t="s">
        <v>3958</v>
      </c>
      <c r="M185" s="2892" t="s">
        <v>2817</v>
      </c>
      <c r="N185" s="2892" t="s">
        <v>3302</v>
      </c>
      <c r="O185" s="2892" t="s">
        <v>3111</v>
      </c>
      <c r="P185" s="2892" t="s">
        <v>2817</v>
      </c>
      <c r="Q185" s="2892" t="s">
        <v>2817</v>
      </c>
      <c r="R185" s="2892" t="s">
        <v>2817</v>
      </c>
      <c r="S185" s="2892" t="s">
        <v>2817</v>
      </c>
      <c r="T185" s="2892" t="s">
        <v>2817</v>
      </c>
      <c r="U185" s="2892" t="s">
        <v>2817</v>
      </c>
      <c r="V185" s="2892" t="s">
        <v>2817</v>
      </c>
      <c r="W185" s="2892" t="s">
        <v>3946</v>
      </c>
      <c r="X185" s="2892" t="s">
        <v>3947</v>
      </c>
      <c r="Y185" s="2892" t="s">
        <v>3948</v>
      </c>
      <c r="Z185" s="2892" t="s">
        <v>3898</v>
      </c>
      <c r="AA185" s="2892" t="s">
        <v>3898</v>
      </c>
      <c r="AB185" s="2892" t="s">
        <v>3959</v>
      </c>
      <c r="AC185" s="2892" t="s">
        <v>3059</v>
      </c>
      <c r="AD185" s="2892" t="s">
        <v>3629</v>
      </c>
      <c r="AE185" s="2892">
        <v>10206</v>
      </c>
      <c r="AF185" s="2892">
        <v>20411</v>
      </c>
      <c r="AG185" s="2892">
        <v>20411</v>
      </c>
      <c r="AH185" s="2892">
        <v>612.25</v>
      </c>
      <c r="AI185" s="2892">
        <v>612.25</v>
      </c>
      <c r="AJ185" s="2892">
        <v>2087.2199999999998</v>
      </c>
      <c r="AK185" s="2892">
        <v>2087.23</v>
      </c>
      <c r="AL185" s="2892" t="s">
        <v>2817</v>
      </c>
      <c r="AM185" s="2892" t="s">
        <v>2817</v>
      </c>
      <c r="AN185" s="2892">
        <v>0</v>
      </c>
      <c r="AO185" s="2892" t="s">
        <v>3700</v>
      </c>
      <c r="AP185" s="2892" t="s">
        <v>2817</v>
      </c>
      <c r="AQ185" s="2892" t="s">
        <v>2817</v>
      </c>
      <c r="AR185" s="2892" t="s">
        <v>2817</v>
      </c>
      <c r="AS185" s="2892" t="s">
        <v>3117</v>
      </c>
    </row>
    <row r="186" spans="1:45" s="2892" customFormat="1">
      <c r="A186" s="2892" t="s">
        <v>3960</v>
      </c>
      <c r="B186" s="2892" t="s">
        <v>3055</v>
      </c>
      <c r="C186" s="2892" t="s">
        <v>3056</v>
      </c>
      <c r="D186" s="2892" t="s">
        <v>3074</v>
      </c>
      <c r="E186" s="2892" t="s">
        <v>2817</v>
      </c>
      <c r="F186" s="2892" t="s">
        <v>3960</v>
      </c>
      <c r="G186" s="2892" t="s">
        <v>3057</v>
      </c>
      <c r="H186" s="2892" t="s">
        <v>3961</v>
      </c>
      <c r="I186" s="2892" t="s">
        <v>3833</v>
      </c>
      <c r="J186" s="2892">
        <v>53588.99</v>
      </c>
      <c r="K186" s="2892">
        <v>241150.5</v>
      </c>
      <c r="L186" s="2892" t="s">
        <v>3745</v>
      </c>
      <c r="M186" s="2892" t="s">
        <v>2817</v>
      </c>
      <c r="N186" s="2892" t="s">
        <v>3090</v>
      </c>
      <c r="O186" s="2892" t="s">
        <v>3111</v>
      </c>
      <c r="P186" s="2892" t="s">
        <v>2817</v>
      </c>
      <c r="Q186" s="2892" t="s">
        <v>2817</v>
      </c>
      <c r="R186" s="2892" t="s">
        <v>2817</v>
      </c>
      <c r="S186" s="2892" t="s">
        <v>2817</v>
      </c>
      <c r="T186" s="2892" t="s">
        <v>2817</v>
      </c>
      <c r="U186" s="2892" t="s">
        <v>2817</v>
      </c>
      <c r="V186" s="2892" t="s">
        <v>2817</v>
      </c>
      <c r="W186" s="2892" t="s">
        <v>3946</v>
      </c>
      <c r="X186" s="2892" t="s">
        <v>3947</v>
      </c>
      <c r="Y186" s="2892" t="s">
        <v>3948</v>
      </c>
      <c r="Z186" s="2892" t="s">
        <v>3898</v>
      </c>
      <c r="AA186" s="2892" t="s">
        <v>3898</v>
      </c>
      <c r="AB186" s="2892" t="s">
        <v>3962</v>
      </c>
      <c r="AC186" s="2892" t="s">
        <v>3059</v>
      </c>
      <c r="AD186" s="2892" t="s">
        <v>3963</v>
      </c>
      <c r="AE186" s="2892">
        <v>25400</v>
      </c>
      <c r="AF186" s="2892">
        <v>50690</v>
      </c>
      <c r="AG186" s="2892">
        <v>50690</v>
      </c>
      <c r="AH186" s="2892">
        <v>630.6</v>
      </c>
      <c r="AI186" s="2892">
        <v>630.6</v>
      </c>
      <c r="AJ186" s="2892">
        <v>2102</v>
      </c>
      <c r="AK186" s="2892">
        <v>2102.0100000000002</v>
      </c>
      <c r="AL186" s="2892" t="s">
        <v>2817</v>
      </c>
      <c r="AM186" s="2892" t="s">
        <v>2817</v>
      </c>
      <c r="AN186" s="2892">
        <v>0</v>
      </c>
      <c r="AO186" s="2892" t="s">
        <v>3060</v>
      </c>
      <c r="AP186" s="2892" t="s">
        <v>2817</v>
      </c>
      <c r="AQ186" s="2892" t="s">
        <v>2817</v>
      </c>
      <c r="AR186" s="2892" t="s">
        <v>2817</v>
      </c>
      <c r="AS186" s="2892" t="s">
        <v>3117</v>
      </c>
    </row>
    <row r="187" spans="1:45" s="2892" customFormat="1">
      <c r="A187" s="2892" t="s">
        <v>3964</v>
      </c>
      <c r="B187" s="2892" t="s">
        <v>3055</v>
      </c>
      <c r="C187" s="2892" t="s">
        <v>3071</v>
      </c>
      <c r="D187" s="2892" t="s">
        <v>3382</v>
      </c>
      <c r="E187" s="2892" t="s">
        <v>2817</v>
      </c>
      <c r="F187" s="2892" t="s">
        <v>3964</v>
      </c>
      <c r="G187" s="2892" t="s">
        <v>3057</v>
      </c>
      <c r="H187" s="2892" t="s">
        <v>3965</v>
      </c>
      <c r="I187" s="2892" t="s">
        <v>3966</v>
      </c>
      <c r="J187" s="2892">
        <v>118927</v>
      </c>
      <c r="K187" s="2892">
        <v>416244.3</v>
      </c>
      <c r="L187" s="2892" t="s">
        <v>3777</v>
      </c>
      <c r="M187" s="2892" t="s">
        <v>2817</v>
      </c>
      <c r="N187" s="2892" t="s">
        <v>3090</v>
      </c>
      <c r="O187" s="2892" t="s">
        <v>3111</v>
      </c>
      <c r="P187" s="2892" t="s">
        <v>2817</v>
      </c>
      <c r="Q187" s="2892" t="s">
        <v>2817</v>
      </c>
      <c r="R187" s="2892" t="s">
        <v>2817</v>
      </c>
      <c r="S187" s="2892" t="s">
        <v>2817</v>
      </c>
      <c r="T187" s="2892" t="s">
        <v>2817</v>
      </c>
      <c r="U187" s="2892" t="s">
        <v>2817</v>
      </c>
      <c r="V187" s="2892" t="s">
        <v>2817</v>
      </c>
      <c r="W187" s="2892" t="s">
        <v>3946</v>
      </c>
      <c r="X187" s="2892" t="s">
        <v>3967</v>
      </c>
      <c r="Y187" s="2892" t="s">
        <v>3968</v>
      </c>
      <c r="Z187" s="2892" t="s">
        <v>3923</v>
      </c>
      <c r="AA187" s="2892" t="s">
        <v>3923</v>
      </c>
      <c r="AB187" s="2892" t="s">
        <v>3969</v>
      </c>
      <c r="AC187" s="2892" t="s">
        <v>3059</v>
      </c>
      <c r="AD187" s="2892" t="s">
        <v>3970</v>
      </c>
      <c r="AE187" s="2892">
        <v>25880</v>
      </c>
      <c r="AF187" s="2892">
        <v>71754</v>
      </c>
      <c r="AG187" s="2892">
        <v>71754</v>
      </c>
      <c r="AH187" s="2892">
        <v>402.23</v>
      </c>
      <c r="AI187" s="2892">
        <v>402.23</v>
      </c>
      <c r="AJ187" s="2892">
        <v>1723.84</v>
      </c>
      <c r="AK187" s="2892">
        <v>1723.83</v>
      </c>
      <c r="AL187" s="2892" t="s">
        <v>2817</v>
      </c>
      <c r="AM187" s="2892" t="s">
        <v>2817</v>
      </c>
      <c r="AN187" s="2892">
        <v>0</v>
      </c>
      <c r="AO187" s="2892" t="s">
        <v>3700</v>
      </c>
      <c r="AP187" s="2892" t="s">
        <v>2817</v>
      </c>
      <c r="AQ187" s="2892" t="s">
        <v>2817</v>
      </c>
      <c r="AR187" s="2892" t="s">
        <v>2817</v>
      </c>
      <c r="AS187" s="2892" t="s">
        <v>3086</v>
      </c>
    </row>
    <row r="188" spans="1:45" s="2892" customFormat="1">
      <c r="A188" s="2892" t="s">
        <v>3971</v>
      </c>
      <c r="B188" s="2892" t="s">
        <v>3055</v>
      </c>
      <c r="C188" s="2892" t="s">
        <v>3056</v>
      </c>
      <c r="D188" s="2892" t="s">
        <v>3074</v>
      </c>
      <c r="E188" s="2892" t="s">
        <v>2817</v>
      </c>
      <c r="F188" s="2892" t="s">
        <v>3971</v>
      </c>
      <c r="G188" s="2892" t="s">
        <v>3057</v>
      </c>
      <c r="H188" s="2892" t="s">
        <v>3972</v>
      </c>
      <c r="I188" s="2892" t="s">
        <v>3833</v>
      </c>
      <c r="J188" s="2892">
        <v>23021.88</v>
      </c>
      <c r="K188" s="2892">
        <v>69065.64</v>
      </c>
      <c r="L188" s="2892" t="s">
        <v>3632</v>
      </c>
      <c r="M188" s="2892" t="s">
        <v>2817</v>
      </c>
      <c r="N188" s="2892" t="s">
        <v>3090</v>
      </c>
      <c r="O188" s="2892" t="s">
        <v>3416</v>
      </c>
      <c r="P188" s="2892" t="s">
        <v>2817</v>
      </c>
      <c r="Q188" s="2892" t="s">
        <v>2817</v>
      </c>
      <c r="R188" s="2892" t="s">
        <v>2817</v>
      </c>
      <c r="S188" s="2892" t="s">
        <v>2817</v>
      </c>
      <c r="T188" s="2892" t="s">
        <v>2817</v>
      </c>
      <c r="U188" s="2892" t="s">
        <v>2817</v>
      </c>
      <c r="V188" s="2892" t="s">
        <v>2817</v>
      </c>
      <c r="W188" s="2892" t="s">
        <v>3946</v>
      </c>
      <c r="X188" s="2892" t="s">
        <v>3967</v>
      </c>
      <c r="Y188" s="2892" t="s">
        <v>3968</v>
      </c>
      <c r="Z188" s="2892" t="s">
        <v>3923</v>
      </c>
      <c r="AA188" s="2892" t="s">
        <v>3923</v>
      </c>
      <c r="AB188" s="2892" t="s">
        <v>3973</v>
      </c>
      <c r="AC188" s="2892" t="s">
        <v>3059</v>
      </c>
      <c r="AD188" s="2892" t="s">
        <v>3974</v>
      </c>
      <c r="AE188" s="2892">
        <v>7150</v>
      </c>
      <c r="AF188" s="2892">
        <v>14235</v>
      </c>
      <c r="AG188" s="2892">
        <v>14235</v>
      </c>
      <c r="AH188" s="2892">
        <v>412.22</v>
      </c>
      <c r="AI188" s="2892">
        <v>412.22</v>
      </c>
      <c r="AJ188" s="2892">
        <v>2061.08</v>
      </c>
      <c r="AK188" s="2892">
        <v>2061.0700000000002</v>
      </c>
      <c r="AL188" s="2892" t="s">
        <v>2817</v>
      </c>
      <c r="AM188" s="2892" t="s">
        <v>2817</v>
      </c>
      <c r="AN188" s="2892">
        <v>0</v>
      </c>
      <c r="AO188" s="2892" t="s">
        <v>3060</v>
      </c>
      <c r="AP188" s="2892" t="s">
        <v>2817</v>
      </c>
      <c r="AQ188" s="2892" t="s">
        <v>2817</v>
      </c>
      <c r="AR188" s="2892" t="s">
        <v>2817</v>
      </c>
      <c r="AS188" s="2892" t="s">
        <v>3117</v>
      </c>
    </row>
    <row r="189" spans="1:45" s="2892" customFormat="1">
      <c r="A189" s="2892" t="s">
        <v>3975</v>
      </c>
      <c r="B189" s="2892" t="s">
        <v>3055</v>
      </c>
      <c r="C189" s="2892" t="s">
        <v>3056</v>
      </c>
      <c r="D189" s="2892" t="s">
        <v>3468</v>
      </c>
      <c r="E189" s="2892" t="s">
        <v>2817</v>
      </c>
      <c r="F189" s="2892" t="s">
        <v>3975</v>
      </c>
      <c r="G189" s="2892" t="s">
        <v>3057</v>
      </c>
      <c r="H189" s="2892" t="s">
        <v>3976</v>
      </c>
      <c r="I189" s="2892" t="s">
        <v>3062</v>
      </c>
      <c r="J189" s="2892">
        <v>26945.53</v>
      </c>
      <c r="K189" s="2892">
        <v>43112.85</v>
      </c>
      <c r="L189" s="2892" t="s">
        <v>3801</v>
      </c>
      <c r="M189" s="2892" t="s">
        <v>2817</v>
      </c>
      <c r="N189" s="2892" t="s">
        <v>3090</v>
      </c>
      <c r="O189" s="2892" t="s">
        <v>3810</v>
      </c>
      <c r="P189" s="2892" t="s">
        <v>2817</v>
      </c>
      <c r="Q189" s="2892" t="s">
        <v>2817</v>
      </c>
      <c r="R189" s="2892" t="s">
        <v>2817</v>
      </c>
      <c r="S189" s="2892" t="s">
        <v>2817</v>
      </c>
      <c r="T189" s="2892" t="s">
        <v>2817</v>
      </c>
      <c r="U189" s="2892" t="s">
        <v>2817</v>
      </c>
      <c r="V189" s="2892" t="s">
        <v>2817</v>
      </c>
      <c r="W189" s="2892" t="s">
        <v>3946</v>
      </c>
      <c r="X189" s="2892" t="s">
        <v>3977</v>
      </c>
      <c r="Y189" s="2892" t="s">
        <v>3897</v>
      </c>
      <c r="Z189" s="2892" t="s">
        <v>3978</v>
      </c>
      <c r="AA189" s="2892" t="s">
        <v>3978</v>
      </c>
      <c r="AB189" s="2892" t="s">
        <v>3979</v>
      </c>
      <c r="AC189" s="2892" t="s">
        <v>3059</v>
      </c>
      <c r="AD189" s="2892" t="s">
        <v>3838</v>
      </c>
      <c r="AE189" s="2892">
        <v>8400</v>
      </c>
      <c r="AF189" s="2892">
        <v>16774</v>
      </c>
      <c r="AG189" s="2892">
        <v>16774</v>
      </c>
      <c r="AH189" s="2892">
        <v>415.01</v>
      </c>
      <c r="AI189" s="2892">
        <v>415.01</v>
      </c>
      <c r="AJ189" s="2892">
        <v>3890.71</v>
      </c>
      <c r="AK189" s="2892">
        <v>3890.71</v>
      </c>
      <c r="AL189" s="2892" t="s">
        <v>2817</v>
      </c>
      <c r="AM189" s="2892" t="s">
        <v>2817</v>
      </c>
      <c r="AN189" s="2892">
        <v>0</v>
      </c>
      <c r="AO189" s="2892" t="s">
        <v>3060</v>
      </c>
      <c r="AP189" s="2892" t="s">
        <v>2817</v>
      </c>
      <c r="AQ189" s="2892" t="s">
        <v>2817</v>
      </c>
      <c r="AR189" s="2892" t="s">
        <v>2817</v>
      </c>
      <c r="AS189" s="2892" t="s">
        <v>3117</v>
      </c>
    </row>
    <row r="190" spans="1:45" s="2892" customFormat="1">
      <c r="A190" s="2892" t="s">
        <v>3980</v>
      </c>
      <c r="B190" s="2892" t="s">
        <v>3055</v>
      </c>
      <c r="C190" s="2892" t="s">
        <v>3056</v>
      </c>
      <c r="D190" s="2892" t="s">
        <v>3468</v>
      </c>
      <c r="E190" s="2892" t="s">
        <v>2817</v>
      </c>
      <c r="F190" s="2892" t="s">
        <v>3980</v>
      </c>
      <c r="G190" s="2892" t="s">
        <v>3057</v>
      </c>
      <c r="H190" s="2892" t="s">
        <v>3981</v>
      </c>
      <c r="I190" s="2892" t="s">
        <v>3062</v>
      </c>
      <c r="J190" s="2892">
        <v>26081.759999999998</v>
      </c>
      <c r="K190" s="2892">
        <v>36514.46</v>
      </c>
      <c r="L190" s="2892" t="s">
        <v>3982</v>
      </c>
      <c r="M190" s="2892" t="s">
        <v>2817</v>
      </c>
      <c r="N190" s="2892" t="s">
        <v>3302</v>
      </c>
      <c r="O190" s="2892" t="s">
        <v>3983</v>
      </c>
      <c r="P190" s="2892" t="s">
        <v>2817</v>
      </c>
      <c r="Q190" s="2892" t="s">
        <v>2817</v>
      </c>
      <c r="R190" s="2892" t="s">
        <v>2817</v>
      </c>
      <c r="S190" s="2892" t="s">
        <v>2817</v>
      </c>
      <c r="T190" s="2892" t="s">
        <v>2817</v>
      </c>
      <c r="U190" s="2892" t="s">
        <v>2817</v>
      </c>
      <c r="V190" s="2892" t="s">
        <v>2817</v>
      </c>
      <c r="W190" s="2892" t="s">
        <v>3946</v>
      </c>
      <c r="X190" s="2892" t="s">
        <v>3977</v>
      </c>
      <c r="Y190" s="2892" t="s">
        <v>3897</v>
      </c>
      <c r="Z190" s="2892" t="s">
        <v>3978</v>
      </c>
      <c r="AA190" s="2892" t="s">
        <v>3978</v>
      </c>
      <c r="AB190" s="2892" t="s">
        <v>3984</v>
      </c>
      <c r="AC190" s="2892" t="s">
        <v>3059</v>
      </c>
      <c r="AD190" s="2892" t="s">
        <v>3838</v>
      </c>
      <c r="AE190" s="2892">
        <v>8030</v>
      </c>
      <c r="AF190" s="2892">
        <v>16041</v>
      </c>
      <c r="AG190" s="2892">
        <v>16041</v>
      </c>
      <c r="AH190" s="2892">
        <v>410.02</v>
      </c>
      <c r="AI190" s="2892">
        <v>410.02</v>
      </c>
      <c r="AJ190" s="2892">
        <v>4393.05</v>
      </c>
      <c r="AK190" s="2892">
        <v>4393.05</v>
      </c>
      <c r="AL190" s="2892" t="s">
        <v>2817</v>
      </c>
      <c r="AM190" s="2892" t="s">
        <v>2817</v>
      </c>
      <c r="AN190" s="2892">
        <v>0</v>
      </c>
      <c r="AO190" s="2892" t="s">
        <v>3060</v>
      </c>
      <c r="AP190" s="2892" t="s">
        <v>2817</v>
      </c>
      <c r="AQ190" s="2892" t="s">
        <v>2817</v>
      </c>
      <c r="AR190" s="2892" t="s">
        <v>2817</v>
      </c>
      <c r="AS190" s="2892" t="s">
        <v>3117</v>
      </c>
    </row>
    <row r="191" spans="1:45" s="2892" customFormat="1">
      <c r="A191" s="2892" t="s">
        <v>3985</v>
      </c>
      <c r="B191" s="2892" t="s">
        <v>3055</v>
      </c>
      <c r="C191" s="2892" t="s">
        <v>3056</v>
      </c>
      <c r="D191" s="2892" t="s">
        <v>3468</v>
      </c>
      <c r="E191" s="2892" t="s">
        <v>2817</v>
      </c>
      <c r="F191" s="2892" t="s">
        <v>3985</v>
      </c>
      <c r="G191" s="2892" t="s">
        <v>3057</v>
      </c>
      <c r="H191" s="2892" t="s">
        <v>3986</v>
      </c>
      <c r="I191" s="2892" t="s">
        <v>3062</v>
      </c>
      <c r="J191" s="2892">
        <v>42275.99</v>
      </c>
      <c r="K191" s="2892">
        <v>67641.58</v>
      </c>
      <c r="L191" s="2892" t="s">
        <v>3801</v>
      </c>
      <c r="M191" s="2892" t="s">
        <v>2817</v>
      </c>
      <c r="N191" s="2892" t="s">
        <v>3810</v>
      </c>
      <c r="O191" s="2892" t="s">
        <v>3810</v>
      </c>
      <c r="P191" s="2892" t="s">
        <v>2817</v>
      </c>
      <c r="Q191" s="2892" t="s">
        <v>2817</v>
      </c>
      <c r="R191" s="2892" t="s">
        <v>2817</v>
      </c>
      <c r="S191" s="2892" t="s">
        <v>2817</v>
      </c>
      <c r="T191" s="2892" t="s">
        <v>2817</v>
      </c>
      <c r="U191" s="2892" t="s">
        <v>2817</v>
      </c>
      <c r="V191" s="2892" t="s">
        <v>2817</v>
      </c>
      <c r="W191" s="2892" t="s">
        <v>3946</v>
      </c>
      <c r="X191" s="2892" t="s">
        <v>3977</v>
      </c>
      <c r="Y191" s="2892" t="s">
        <v>3897</v>
      </c>
      <c r="Z191" s="2892" t="s">
        <v>3978</v>
      </c>
      <c r="AA191" s="2892" t="s">
        <v>3978</v>
      </c>
      <c r="AB191" s="2892" t="s">
        <v>3987</v>
      </c>
      <c r="AC191" s="2892" t="s">
        <v>3059</v>
      </c>
      <c r="AD191" s="2892" t="s">
        <v>3838</v>
      </c>
      <c r="AE191" s="2892">
        <v>13160</v>
      </c>
      <c r="AF191" s="2892">
        <v>26317</v>
      </c>
      <c r="AG191" s="2892">
        <v>26317</v>
      </c>
      <c r="AH191" s="2892">
        <v>415</v>
      </c>
      <c r="AI191" s="2892">
        <v>415</v>
      </c>
      <c r="AJ191" s="2892">
        <v>3890.65</v>
      </c>
      <c r="AK191" s="2892">
        <v>3890.65</v>
      </c>
      <c r="AL191" s="2892" t="s">
        <v>2817</v>
      </c>
      <c r="AM191" s="2892" t="s">
        <v>2817</v>
      </c>
      <c r="AN191" s="2892">
        <v>0</v>
      </c>
      <c r="AO191" s="2892" t="s">
        <v>3060</v>
      </c>
      <c r="AP191" s="2892" t="s">
        <v>2817</v>
      </c>
      <c r="AQ191" s="2892" t="s">
        <v>2817</v>
      </c>
      <c r="AR191" s="2892" t="s">
        <v>2817</v>
      </c>
      <c r="AS191" s="2892" t="s">
        <v>3146</v>
      </c>
    </row>
    <row r="192" spans="1:45" s="2892" customFormat="1">
      <c r="A192" s="2892" t="s">
        <v>3988</v>
      </c>
      <c r="B192" s="2892" t="s">
        <v>3055</v>
      </c>
      <c r="C192" s="2892" t="s">
        <v>3056</v>
      </c>
      <c r="D192" s="2892" t="s">
        <v>3468</v>
      </c>
      <c r="E192" s="2892" t="s">
        <v>2817</v>
      </c>
      <c r="F192" s="2892" t="s">
        <v>3988</v>
      </c>
      <c r="G192" s="2892" t="s">
        <v>3057</v>
      </c>
      <c r="H192" s="2892" t="s">
        <v>3989</v>
      </c>
      <c r="I192" s="2892" t="s">
        <v>3062</v>
      </c>
      <c r="J192" s="2892">
        <v>38288.910000000003</v>
      </c>
      <c r="K192" s="2892">
        <v>61262.26</v>
      </c>
      <c r="L192" s="2892" t="s">
        <v>3801</v>
      </c>
      <c r="M192" s="2892" t="s">
        <v>2817</v>
      </c>
      <c r="N192" s="2892" t="s">
        <v>3090</v>
      </c>
      <c r="O192" s="2892" t="s">
        <v>3810</v>
      </c>
      <c r="P192" s="2892" t="s">
        <v>2817</v>
      </c>
      <c r="Q192" s="2892" t="s">
        <v>2817</v>
      </c>
      <c r="R192" s="2892" t="s">
        <v>2817</v>
      </c>
      <c r="S192" s="2892" t="s">
        <v>2817</v>
      </c>
      <c r="T192" s="2892" t="s">
        <v>2817</v>
      </c>
      <c r="U192" s="2892" t="s">
        <v>2817</v>
      </c>
      <c r="V192" s="2892" t="s">
        <v>2817</v>
      </c>
      <c r="W192" s="2892" t="s">
        <v>3946</v>
      </c>
      <c r="X192" s="2892" t="s">
        <v>3977</v>
      </c>
      <c r="Y192" s="2892" t="s">
        <v>3897</v>
      </c>
      <c r="Z192" s="2892" t="s">
        <v>3978</v>
      </c>
      <c r="AA192" s="2892" t="s">
        <v>3978</v>
      </c>
      <c r="AB192" s="2892" t="s">
        <v>3990</v>
      </c>
      <c r="AC192" s="2892" t="s">
        <v>3059</v>
      </c>
      <c r="AD192" s="2892" t="s">
        <v>3838</v>
      </c>
      <c r="AE192" s="2892">
        <v>11920</v>
      </c>
      <c r="AF192" s="2892">
        <v>23835</v>
      </c>
      <c r="AG192" s="2892">
        <v>23835</v>
      </c>
      <c r="AH192" s="2892">
        <v>415</v>
      </c>
      <c r="AI192" s="2892">
        <v>415</v>
      </c>
      <c r="AJ192" s="2892">
        <v>3890.65</v>
      </c>
      <c r="AK192" s="2892">
        <v>3890.65</v>
      </c>
      <c r="AL192" s="2892" t="s">
        <v>2817</v>
      </c>
      <c r="AM192" s="2892" t="s">
        <v>2817</v>
      </c>
      <c r="AN192" s="2892">
        <v>0</v>
      </c>
      <c r="AO192" s="2892" t="s">
        <v>3060</v>
      </c>
      <c r="AP192" s="2892" t="s">
        <v>2817</v>
      </c>
      <c r="AQ192" s="2892" t="s">
        <v>2817</v>
      </c>
      <c r="AR192" s="2892" t="s">
        <v>2817</v>
      </c>
      <c r="AS192" s="2892" t="s">
        <v>3146</v>
      </c>
    </row>
    <row r="193" spans="1:45" s="2892" customFormat="1">
      <c r="A193" s="2892" t="s">
        <v>3991</v>
      </c>
      <c r="B193" s="2892" t="s">
        <v>3055</v>
      </c>
      <c r="C193" s="2892" t="s">
        <v>3056</v>
      </c>
      <c r="D193" s="2892" t="s">
        <v>3468</v>
      </c>
      <c r="E193" s="2892" t="s">
        <v>2817</v>
      </c>
      <c r="F193" s="2892" t="s">
        <v>3991</v>
      </c>
      <c r="G193" s="2892" t="s">
        <v>3057</v>
      </c>
      <c r="H193" s="2892" t="s">
        <v>3992</v>
      </c>
      <c r="I193" s="2892" t="s">
        <v>3062</v>
      </c>
      <c r="J193" s="2892">
        <v>25153.65</v>
      </c>
      <c r="K193" s="2892">
        <v>40245.839999999997</v>
      </c>
      <c r="L193" s="2892" t="s">
        <v>3801</v>
      </c>
      <c r="M193" s="2892" t="s">
        <v>2817</v>
      </c>
      <c r="N193" s="2892" t="s">
        <v>3090</v>
      </c>
      <c r="O193" s="2892" t="s">
        <v>3810</v>
      </c>
      <c r="P193" s="2892" t="s">
        <v>2817</v>
      </c>
      <c r="Q193" s="2892" t="s">
        <v>2817</v>
      </c>
      <c r="R193" s="2892" t="s">
        <v>2817</v>
      </c>
      <c r="S193" s="2892" t="s">
        <v>2817</v>
      </c>
      <c r="T193" s="2892" t="s">
        <v>2817</v>
      </c>
      <c r="U193" s="2892" t="s">
        <v>2817</v>
      </c>
      <c r="V193" s="2892" t="s">
        <v>2817</v>
      </c>
      <c r="W193" s="2892" t="s">
        <v>3946</v>
      </c>
      <c r="X193" s="2892" t="s">
        <v>3977</v>
      </c>
      <c r="Y193" s="2892" t="s">
        <v>3897</v>
      </c>
      <c r="Z193" s="2892" t="s">
        <v>3978</v>
      </c>
      <c r="AA193" s="2892" t="s">
        <v>3978</v>
      </c>
      <c r="AB193" s="2892" t="s">
        <v>3993</v>
      </c>
      <c r="AC193" s="2892" t="s">
        <v>3059</v>
      </c>
      <c r="AD193" s="2892" t="s">
        <v>3838</v>
      </c>
      <c r="AE193" s="2892">
        <v>7830</v>
      </c>
      <c r="AF193" s="2892">
        <v>15659</v>
      </c>
      <c r="AG193" s="2892">
        <v>15659</v>
      </c>
      <c r="AH193" s="2892">
        <v>415.02</v>
      </c>
      <c r="AI193" s="2892">
        <v>415.02</v>
      </c>
      <c r="AJ193" s="2892">
        <v>3890.83</v>
      </c>
      <c r="AK193" s="2892">
        <v>3890.84</v>
      </c>
      <c r="AL193" s="2892" t="s">
        <v>2817</v>
      </c>
      <c r="AM193" s="2892" t="s">
        <v>2817</v>
      </c>
      <c r="AN193" s="2892">
        <v>0</v>
      </c>
      <c r="AO193" s="2892" t="s">
        <v>3060</v>
      </c>
      <c r="AP193" s="2892" t="s">
        <v>2817</v>
      </c>
      <c r="AQ193" s="2892" t="s">
        <v>2817</v>
      </c>
      <c r="AR193" s="2892" t="s">
        <v>2817</v>
      </c>
      <c r="AS193" s="2892" t="s">
        <v>3117</v>
      </c>
    </row>
    <row r="194" spans="1:45" s="2892" customFormat="1">
      <c r="A194" s="2892" t="s">
        <v>3994</v>
      </c>
      <c r="B194" s="2892" t="s">
        <v>3055</v>
      </c>
      <c r="C194" s="2892" t="s">
        <v>3056</v>
      </c>
      <c r="D194" s="2892" t="s">
        <v>3468</v>
      </c>
      <c r="E194" s="2892" t="s">
        <v>2817</v>
      </c>
      <c r="F194" s="2892" t="s">
        <v>3994</v>
      </c>
      <c r="G194" s="2892" t="s">
        <v>3057</v>
      </c>
      <c r="H194" s="2892" t="s">
        <v>3995</v>
      </c>
      <c r="I194" s="2892" t="s">
        <v>3833</v>
      </c>
      <c r="J194" s="2892">
        <v>42489.15</v>
      </c>
      <c r="K194" s="2892">
        <v>127467.5</v>
      </c>
      <c r="L194" s="2892" t="s">
        <v>3632</v>
      </c>
      <c r="M194" s="2892" t="s">
        <v>2817</v>
      </c>
      <c r="N194" s="2892" t="s">
        <v>3090</v>
      </c>
      <c r="O194" s="2892" t="s">
        <v>3416</v>
      </c>
      <c r="P194" s="2892" t="s">
        <v>2817</v>
      </c>
      <c r="Q194" s="2892" t="s">
        <v>2817</v>
      </c>
      <c r="R194" s="2892" t="s">
        <v>2817</v>
      </c>
      <c r="S194" s="2892" t="s">
        <v>2817</v>
      </c>
      <c r="T194" s="2892" t="s">
        <v>2817</v>
      </c>
      <c r="U194" s="2892" t="s">
        <v>2817</v>
      </c>
      <c r="V194" s="2892" t="s">
        <v>2817</v>
      </c>
      <c r="W194" s="2892" t="s">
        <v>3946</v>
      </c>
      <c r="X194" s="2892" t="s">
        <v>3996</v>
      </c>
      <c r="Y194" s="2892" t="s">
        <v>3947</v>
      </c>
      <c r="Z194" s="2892" t="s">
        <v>3997</v>
      </c>
      <c r="AA194" s="2892" t="s">
        <v>3997</v>
      </c>
      <c r="AB194" s="2892" t="s">
        <v>3998</v>
      </c>
      <c r="AC194" s="2892" t="s">
        <v>3059</v>
      </c>
      <c r="AD194" s="2892" t="s">
        <v>3999</v>
      </c>
      <c r="AE194" s="2892">
        <v>16070</v>
      </c>
      <c r="AF194" s="2892">
        <v>32126</v>
      </c>
      <c r="AG194" s="2892">
        <v>51088</v>
      </c>
      <c r="AH194" s="2892">
        <v>504.07</v>
      </c>
      <c r="AI194" s="2892">
        <v>801.59</v>
      </c>
      <c r="AJ194" s="2892">
        <v>2520.3200000000002</v>
      </c>
      <c r="AK194" s="2892">
        <v>4007.92</v>
      </c>
      <c r="AL194" s="2892" t="s">
        <v>2817</v>
      </c>
      <c r="AM194" s="2892" t="s">
        <v>2817</v>
      </c>
      <c r="AN194" s="2892">
        <v>59.02</v>
      </c>
      <c r="AO194" s="2892" t="s">
        <v>3060</v>
      </c>
      <c r="AP194" s="2892" t="s">
        <v>2817</v>
      </c>
      <c r="AQ194" s="2892" t="s">
        <v>2817</v>
      </c>
      <c r="AR194" s="2892" t="s">
        <v>2817</v>
      </c>
      <c r="AS194" s="2892" t="s">
        <v>3086</v>
      </c>
    </row>
    <row r="195" spans="1:45" s="2892" customFormat="1">
      <c r="A195" s="2892" t="s">
        <v>4000</v>
      </c>
      <c r="B195" s="2892" t="s">
        <v>3055</v>
      </c>
      <c r="C195" s="2892" t="s">
        <v>3056</v>
      </c>
      <c r="D195" s="2892" t="s">
        <v>3468</v>
      </c>
      <c r="E195" s="2892" t="s">
        <v>2817</v>
      </c>
      <c r="F195" s="2892" t="s">
        <v>4000</v>
      </c>
      <c r="G195" s="2892" t="s">
        <v>3057</v>
      </c>
      <c r="H195" s="2892" t="s">
        <v>4001</v>
      </c>
      <c r="I195" s="2892" t="s">
        <v>3833</v>
      </c>
      <c r="J195" s="2892">
        <v>18810.900000000001</v>
      </c>
      <c r="K195" s="2892">
        <v>56432.7</v>
      </c>
      <c r="L195" s="2892" t="s">
        <v>3632</v>
      </c>
      <c r="M195" s="2892" t="s">
        <v>2817</v>
      </c>
      <c r="N195" s="2892" t="s">
        <v>3090</v>
      </c>
      <c r="O195" s="2892" t="s">
        <v>3416</v>
      </c>
      <c r="P195" s="2892" t="s">
        <v>2817</v>
      </c>
      <c r="Q195" s="2892" t="s">
        <v>2817</v>
      </c>
      <c r="R195" s="2892" t="s">
        <v>2817</v>
      </c>
      <c r="S195" s="2892" t="s">
        <v>2817</v>
      </c>
      <c r="T195" s="2892" t="s">
        <v>2817</v>
      </c>
      <c r="U195" s="2892" t="s">
        <v>2817</v>
      </c>
      <c r="V195" s="2892" t="s">
        <v>2817</v>
      </c>
      <c r="W195" s="2892" t="s">
        <v>3946</v>
      </c>
      <c r="X195" s="2892" t="s">
        <v>3996</v>
      </c>
      <c r="Y195" s="2892" t="s">
        <v>3947</v>
      </c>
      <c r="Z195" s="2892" t="s">
        <v>3997</v>
      </c>
      <c r="AA195" s="2892" t="s">
        <v>3997</v>
      </c>
      <c r="AB195" s="2892" t="s">
        <v>4002</v>
      </c>
      <c r="AC195" s="2892" t="s">
        <v>3059</v>
      </c>
      <c r="AD195" s="2892" t="s">
        <v>3999</v>
      </c>
      <c r="AE195" s="2892">
        <v>7111</v>
      </c>
      <c r="AF195" s="2892">
        <v>14223</v>
      </c>
      <c r="AG195" s="2892">
        <v>22336</v>
      </c>
      <c r="AH195" s="2892">
        <v>504.07</v>
      </c>
      <c r="AI195" s="2892">
        <v>791.6</v>
      </c>
      <c r="AJ195" s="2892">
        <v>2520.34</v>
      </c>
      <c r="AK195" s="2892">
        <v>3957.98</v>
      </c>
      <c r="AL195" s="2892" t="s">
        <v>2817</v>
      </c>
      <c r="AM195" s="2892" t="s">
        <v>2817</v>
      </c>
      <c r="AN195" s="2892">
        <v>57.04</v>
      </c>
      <c r="AO195" s="2892" t="s">
        <v>3060</v>
      </c>
      <c r="AP195" s="2892" t="s">
        <v>2817</v>
      </c>
      <c r="AQ195" s="2892" t="s">
        <v>2817</v>
      </c>
      <c r="AR195" s="2892" t="s">
        <v>2817</v>
      </c>
      <c r="AS195" s="2892" t="s">
        <v>3146</v>
      </c>
    </row>
    <row r="196" spans="1:45" s="2892" customFormat="1">
      <c r="A196" s="2892" t="s">
        <v>4003</v>
      </c>
      <c r="B196" s="2892" t="s">
        <v>3055</v>
      </c>
      <c r="C196" s="2892" t="s">
        <v>3056</v>
      </c>
      <c r="D196" s="2892" t="s">
        <v>3468</v>
      </c>
      <c r="E196" s="2892" t="s">
        <v>2817</v>
      </c>
      <c r="F196" s="2892" t="s">
        <v>4003</v>
      </c>
      <c r="G196" s="2892" t="s">
        <v>3057</v>
      </c>
      <c r="H196" s="2892" t="s">
        <v>4004</v>
      </c>
      <c r="I196" s="2892" t="s">
        <v>3833</v>
      </c>
      <c r="J196" s="2892">
        <v>26333.51</v>
      </c>
      <c r="K196" s="2892">
        <v>79000.53</v>
      </c>
      <c r="L196" s="2892" t="s">
        <v>3632</v>
      </c>
      <c r="M196" s="2892" t="s">
        <v>2817</v>
      </c>
      <c r="N196" s="2892" t="s">
        <v>3090</v>
      </c>
      <c r="O196" s="2892" t="s">
        <v>3416</v>
      </c>
      <c r="P196" s="2892" t="s">
        <v>2817</v>
      </c>
      <c r="Q196" s="2892" t="s">
        <v>2817</v>
      </c>
      <c r="R196" s="2892" t="s">
        <v>2817</v>
      </c>
      <c r="S196" s="2892" t="s">
        <v>2817</v>
      </c>
      <c r="T196" s="2892" t="s">
        <v>2817</v>
      </c>
      <c r="U196" s="2892" t="s">
        <v>2817</v>
      </c>
      <c r="V196" s="2892" t="s">
        <v>2817</v>
      </c>
      <c r="W196" s="2892" t="s">
        <v>3946</v>
      </c>
      <c r="X196" s="2892" t="s">
        <v>3996</v>
      </c>
      <c r="Y196" s="2892" t="s">
        <v>3947</v>
      </c>
      <c r="Z196" s="2892" t="s">
        <v>3997</v>
      </c>
      <c r="AA196" s="2892" t="s">
        <v>3997</v>
      </c>
      <c r="AB196" s="2892" t="s">
        <v>4005</v>
      </c>
      <c r="AC196" s="2892" t="s">
        <v>3059</v>
      </c>
      <c r="AD196" s="2892" t="s">
        <v>4006</v>
      </c>
      <c r="AE196" s="2892">
        <v>9960</v>
      </c>
      <c r="AF196" s="2892">
        <v>19909</v>
      </c>
      <c r="AG196" s="2892">
        <v>32386</v>
      </c>
      <c r="AH196" s="2892">
        <v>504.02</v>
      </c>
      <c r="AI196" s="2892">
        <v>819.89</v>
      </c>
      <c r="AJ196" s="2892">
        <v>2520.1</v>
      </c>
      <c r="AK196" s="2892">
        <v>4099.47</v>
      </c>
      <c r="AL196" s="2892" t="s">
        <v>2817</v>
      </c>
      <c r="AM196" s="2892" t="s">
        <v>2817</v>
      </c>
      <c r="AN196" s="2892">
        <v>62.67</v>
      </c>
      <c r="AO196" s="2892" t="s">
        <v>3060</v>
      </c>
      <c r="AP196" s="2892" t="s">
        <v>2817</v>
      </c>
      <c r="AQ196" s="2892" t="s">
        <v>2817</v>
      </c>
      <c r="AR196" s="2892" t="s">
        <v>2817</v>
      </c>
      <c r="AS196" s="2892" t="s">
        <v>3146</v>
      </c>
    </row>
    <row r="197" spans="1:45" s="2892" customFormat="1">
      <c r="A197" s="2892" t="s">
        <v>4007</v>
      </c>
      <c r="B197" s="2892" t="s">
        <v>3055</v>
      </c>
      <c r="C197" s="2892" t="s">
        <v>3056</v>
      </c>
      <c r="D197" s="2892" t="s">
        <v>3468</v>
      </c>
      <c r="E197" s="2892" t="s">
        <v>2817</v>
      </c>
      <c r="F197" s="2892" t="s">
        <v>4007</v>
      </c>
      <c r="G197" s="2892" t="s">
        <v>3057</v>
      </c>
      <c r="H197" s="2892" t="s">
        <v>4008</v>
      </c>
      <c r="I197" s="2892" t="s">
        <v>3833</v>
      </c>
      <c r="J197" s="2892">
        <v>14060.15</v>
      </c>
      <c r="K197" s="2892">
        <v>42180.45</v>
      </c>
      <c r="L197" s="2892" t="s">
        <v>3632</v>
      </c>
      <c r="M197" s="2892" t="s">
        <v>2817</v>
      </c>
      <c r="N197" s="2892" t="s">
        <v>3090</v>
      </c>
      <c r="O197" s="2892" t="s">
        <v>3416</v>
      </c>
      <c r="P197" s="2892" t="s">
        <v>2817</v>
      </c>
      <c r="Q197" s="2892" t="s">
        <v>2817</v>
      </c>
      <c r="R197" s="2892" t="s">
        <v>2817</v>
      </c>
      <c r="S197" s="2892" t="s">
        <v>2817</v>
      </c>
      <c r="T197" s="2892" t="s">
        <v>2817</v>
      </c>
      <c r="U197" s="2892" t="s">
        <v>2817</v>
      </c>
      <c r="V197" s="2892" t="s">
        <v>2817</v>
      </c>
      <c r="W197" s="2892" t="s">
        <v>3946</v>
      </c>
      <c r="X197" s="2892" t="s">
        <v>3996</v>
      </c>
      <c r="Y197" s="2892" t="s">
        <v>3947</v>
      </c>
      <c r="Z197" s="2892" t="s">
        <v>3997</v>
      </c>
      <c r="AA197" s="2892" t="s">
        <v>3997</v>
      </c>
      <c r="AB197" s="2892" t="s">
        <v>4009</v>
      </c>
      <c r="AC197" s="2892" t="s">
        <v>3059</v>
      </c>
      <c r="AD197" s="2892" t="s">
        <v>4010</v>
      </c>
      <c r="AE197" s="2892">
        <v>5320</v>
      </c>
      <c r="AF197" s="2892">
        <v>10636</v>
      </c>
      <c r="AG197" s="2892">
        <v>16494</v>
      </c>
      <c r="AH197" s="2892">
        <v>504.31</v>
      </c>
      <c r="AI197" s="2892">
        <v>782.07</v>
      </c>
      <c r="AJ197" s="2892">
        <v>2521.54</v>
      </c>
      <c r="AK197" s="2892">
        <v>3910.34</v>
      </c>
      <c r="AL197" s="2892" t="s">
        <v>2817</v>
      </c>
      <c r="AM197" s="2892" t="s">
        <v>2817</v>
      </c>
      <c r="AN197" s="2892">
        <v>55.08</v>
      </c>
      <c r="AO197" s="2892" t="s">
        <v>3060</v>
      </c>
      <c r="AP197" s="2892" t="s">
        <v>2817</v>
      </c>
      <c r="AQ197" s="2892" t="s">
        <v>2817</v>
      </c>
      <c r="AR197" s="2892" t="s">
        <v>2817</v>
      </c>
      <c r="AS197" s="2892" t="s">
        <v>3146</v>
      </c>
    </row>
    <row r="198" spans="1:45" s="2892" customFormat="1">
      <c r="A198" s="2892" t="s">
        <v>4011</v>
      </c>
      <c r="B198" s="2892" t="s">
        <v>3055</v>
      </c>
      <c r="C198" s="2892" t="s">
        <v>3071</v>
      </c>
      <c r="D198" s="2892" t="s">
        <v>3074</v>
      </c>
      <c r="E198" s="2892" t="s">
        <v>2817</v>
      </c>
      <c r="F198" s="2892" t="s">
        <v>4011</v>
      </c>
      <c r="G198" s="2892" t="s">
        <v>3057</v>
      </c>
      <c r="H198" s="2892" t="s">
        <v>4012</v>
      </c>
      <c r="I198" s="2892" t="s">
        <v>4013</v>
      </c>
      <c r="J198" s="2892">
        <v>26805.06</v>
      </c>
      <c r="K198" s="2892">
        <v>160830.39999999999</v>
      </c>
      <c r="L198" s="2892" t="s">
        <v>3754</v>
      </c>
      <c r="M198" s="2892" t="s">
        <v>2817</v>
      </c>
      <c r="N198" s="2892" t="s">
        <v>3810</v>
      </c>
      <c r="O198" s="2892" t="s">
        <v>3111</v>
      </c>
      <c r="P198" s="2892" t="s">
        <v>2817</v>
      </c>
      <c r="Q198" s="2892" t="s">
        <v>2817</v>
      </c>
      <c r="R198" s="2892" t="s">
        <v>2817</v>
      </c>
      <c r="S198" s="2892" t="s">
        <v>2817</v>
      </c>
      <c r="T198" s="2892" t="s">
        <v>2817</v>
      </c>
      <c r="U198" s="2892" t="s">
        <v>2817</v>
      </c>
      <c r="V198" s="2892" t="s">
        <v>2817</v>
      </c>
      <c r="W198" s="2892" t="s">
        <v>3946</v>
      </c>
      <c r="X198" s="2892" t="s">
        <v>3996</v>
      </c>
      <c r="Y198" s="2892" t="s">
        <v>4014</v>
      </c>
      <c r="Z198" s="2892" t="s">
        <v>4015</v>
      </c>
      <c r="AA198" s="2892" t="s">
        <v>4015</v>
      </c>
      <c r="AB198" s="2892" t="s">
        <v>4016</v>
      </c>
      <c r="AC198" s="2892" t="s">
        <v>3059</v>
      </c>
      <c r="AD198" s="2892" t="s">
        <v>4017</v>
      </c>
      <c r="AE198" s="2892">
        <v>18260</v>
      </c>
      <c r="AF198" s="2892">
        <v>36509</v>
      </c>
      <c r="AG198" s="2892">
        <v>36509</v>
      </c>
      <c r="AH198" s="2892">
        <v>908.01</v>
      </c>
      <c r="AI198" s="2892">
        <v>908.01</v>
      </c>
      <c r="AJ198" s="2892">
        <v>2270.0300000000002</v>
      </c>
      <c r="AK198" s="2892">
        <v>2270.0300000000002</v>
      </c>
      <c r="AL198" s="2892" t="s">
        <v>2817</v>
      </c>
      <c r="AM198" s="2892" t="s">
        <v>2817</v>
      </c>
      <c r="AN198" s="2892">
        <v>0</v>
      </c>
      <c r="AO198" s="2892" t="s">
        <v>3700</v>
      </c>
      <c r="AP198" s="2892" t="s">
        <v>2817</v>
      </c>
      <c r="AQ198" s="2892" t="s">
        <v>2817</v>
      </c>
      <c r="AR198" s="2892" t="s">
        <v>2817</v>
      </c>
      <c r="AS198" s="2892" t="s">
        <v>3117</v>
      </c>
    </row>
  </sheetData>
  <phoneticPr fontId="228" type="noConversion"/>
  <pageMargins left="0.23622047244094491" right="0.23622047244094491" top="0.74803149606299213" bottom="0.74803149606299213" header="0.31496062992125984" footer="0.31496062992125984"/>
  <pageSetup paperSize="9" scale="9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E25" sqref="AE25"/>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3" t="s">
        <v>2038</v>
      </c>
      <c r="B1" s="3213"/>
      <c r="C1" s="3213"/>
      <c r="D1" s="3213"/>
      <c r="E1" s="3213"/>
      <c r="F1" s="3213"/>
      <c r="G1" s="3213"/>
      <c r="H1" s="3213"/>
      <c r="I1" s="3213"/>
      <c r="J1" s="3213"/>
      <c r="K1" s="3213"/>
      <c r="L1" s="3213"/>
      <c r="M1" s="3213"/>
      <c r="N1" s="3213"/>
      <c r="O1" s="3213"/>
      <c r="P1" s="3213"/>
      <c r="Q1" s="3213"/>
      <c r="R1" s="3213"/>
    </row>
    <row r="2" spans="1:18">
      <c r="A2" s="1790" t="s">
        <v>2040</v>
      </c>
      <c r="B2" s="1790"/>
      <c r="C2" s="1790"/>
      <c r="D2" s="1790"/>
      <c r="E2" s="1790"/>
      <c r="F2" s="1790"/>
      <c r="G2" s="1790"/>
      <c r="H2" s="1790"/>
      <c r="I2" s="1791"/>
      <c r="J2" s="1791"/>
      <c r="K2" s="1792" t="str">
        <f>"估价期日："&amp;TEXT(项目基本情况!D3,"yyyy年m月d日;;")</f>
        <v>估价期日：2020年1月10日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4" t="s">
        <v>2029</v>
      </c>
      <c r="B3" s="3214" t="s">
        <v>2730</v>
      </c>
      <c r="C3" s="3215" t="s">
        <v>2030</v>
      </c>
      <c r="D3" s="3214" t="s">
        <v>2734</v>
      </c>
      <c r="E3" s="3209" t="s">
        <v>2031</v>
      </c>
      <c r="F3" s="3209"/>
      <c r="G3" s="3209"/>
      <c r="H3" s="3209" t="s">
        <v>2032</v>
      </c>
      <c r="I3" s="3209"/>
      <c r="J3" s="3209"/>
      <c r="K3" s="3215" t="s">
        <v>2033</v>
      </c>
      <c r="L3" s="3215" t="s">
        <v>2034</v>
      </c>
      <c r="M3" s="3214" t="s">
        <v>2731</v>
      </c>
      <c r="N3" s="3216" t="str">
        <f>"（分摊）"&amp;项目基本情况!B16&amp;"国有建设用地使用权面积/㎡"</f>
        <v>（分摊）出让国有建设用地使用权面积/㎡</v>
      </c>
      <c r="O3" s="3214" t="s">
        <v>2063</v>
      </c>
      <c r="P3" s="3215" t="s">
        <v>2043</v>
      </c>
      <c r="Q3" s="3215" t="s">
        <v>2064</v>
      </c>
      <c r="R3" s="3215" t="s">
        <v>2035</v>
      </c>
    </row>
    <row r="4" spans="1:18" ht="36.75" customHeight="1">
      <c r="A4" s="3214"/>
      <c r="B4" s="3214"/>
      <c r="C4" s="3215"/>
      <c r="D4" s="3214"/>
      <c r="E4" s="2611" t="s">
        <v>2042</v>
      </c>
      <c r="F4" s="2611" t="s">
        <v>2743</v>
      </c>
      <c r="G4" s="2611" t="s">
        <v>2036</v>
      </c>
      <c r="H4" s="2611" t="s">
        <v>2037</v>
      </c>
      <c r="I4" s="2611" t="s">
        <v>2744</v>
      </c>
      <c r="J4" s="2611" t="s">
        <v>2036</v>
      </c>
      <c r="K4" s="3215"/>
      <c r="L4" s="3215"/>
      <c r="M4" s="3214"/>
      <c r="N4" s="3216"/>
      <c r="O4" s="3214"/>
      <c r="P4" s="3215"/>
      <c r="Q4" s="3215"/>
      <c r="R4" s="3215"/>
    </row>
    <row r="5" spans="1:18" ht="135" customHeight="1">
      <c r="A5" s="1926" t="s">
        <v>2654</v>
      </c>
      <c r="B5" s="2820" t="s">
        <v>2652</v>
      </c>
      <c r="C5" s="2610">
        <v>22</v>
      </c>
      <c r="D5" s="2609" t="s">
        <v>2653</v>
      </c>
      <c r="E5" s="1793" t="str">
        <f>项目基本情况!B12</f>
        <v>城镇住宅用地</v>
      </c>
      <c r="F5" s="2609">
        <v>258</v>
      </c>
      <c r="G5" s="1793">
        <f>项目基本情况!B13</f>
        <v>0</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f>IF(项目基本情况!B16="出让",项目基本情况!D20,"——")</f>
        <v>0</v>
      </c>
      <c r="N5" s="1793">
        <f>项目基本情况!C22</f>
        <v>15094.79</v>
      </c>
      <c r="O5" s="1793">
        <f>项目基本情况!C21</f>
        <v>69312.710000000006</v>
      </c>
      <c r="P5" s="1793">
        <f ca="1">结果表!E42</f>
        <v>28319</v>
      </c>
      <c r="Q5" s="1793">
        <f ca="1">结果表!D42</f>
        <v>6167</v>
      </c>
      <c r="R5" s="1794">
        <f ca="1">结果表!C42</f>
        <v>42747</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5">
        <f ca="1">结果表!O39</f>
        <v>42747</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5"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5" t="str">
        <f>结果表!O41</f>
        <v>——</v>
      </c>
    </row>
    <row r="9" spans="1:18">
      <c r="A9" s="1796" t="s">
        <v>2041</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2028</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17" t="s">
        <v>2065</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2066</v>
      </c>
      <c r="B5" s="3220"/>
      <c r="C5" s="3220"/>
      <c r="D5" s="3220"/>
    </row>
    <row r="6" spans="1:4">
      <c r="A6" s="3217" t="s">
        <v>2044</v>
      </c>
      <c r="B6" s="3217"/>
      <c r="C6" s="3217"/>
      <c r="D6" s="3217"/>
    </row>
    <row r="7" spans="1:4" ht="33" customHeight="1">
      <c r="A7" s="3217" t="s">
        <v>2574</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2068</v>
      </c>
      <c r="B12" s="3220"/>
      <c r="C12" s="3220"/>
      <c r="D12" s="3220"/>
    </row>
    <row r="13" spans="1:4">
      <c r="A13" s="3218" t="s">
        <v>2745</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2701</v>
      </c>
      <c r="B17" s="3217"/>
      <c r="C17" s="3217"/>
      <c r="D17" s="3217"/>
    </row>
    <row r="18" spans="1:4">
      <c r="A18" s="3217" t="s">
        <v>2693</v>
      </c>
      <c r="B18" s="3217"/>
      <c r="C18" s="3217"/>
      <c r="D18" s="3217"/>
    </row>
    <row r="19" spans="1:4">
      <c r="A19" s="2821" t="s">
        <v>2694</v>
      </c>
      <c r="B19" s="2821" t="s">
        <v>2695</v>
      </c>
      <c r="C19" s="2821" t="s">
        <v>2696</v>
      </c>
      <c r="D19" s="2821" t="s">
        <v>2697</v>
      </c>
    </row>
    <row r="20" spans="1:4">
      <c r="A20" s="2821" t="str">
        <f>项目基本情况!B4</f>
        <v>王鹏</v>
      </c>
      <c r="B20" s="2821">
        <f ca="1">项目基本情况!C4</f>
        <v>2002110030</v>
      </c>
      <c r="C20" s="2823"/>
      <c r="D20" s="1783" t="s">
        <v>2702</v>
      </c>
    </row>
    <row r="21" spans="1:4">
      <c r="A21" s="2821" t="str">
        <f>项目基本情况!D4</f>
        <v>崔锴</v>
      </c>
      <c r="B21" s="2821">
        <f ca="1">项目基本情况!E4</f>
        <v>2010110070</v>
      </c>
      <c r="C21" s="2823"/>
      <c r="D21" s="1783" t="s">
        <v>2703</v>
      </c>
    </row>
    <row r="23" spans="1:4">
      <c r="A23" s="3217" t="s">
        <v>2698</v>
      </c>
      <c r="B23" s="3217"/>
      <c r="C23" s="3217"/>
      <c r="D23" s="3217"/>
    </row>
    <row r="24" spans="1:4">
      <c r="A24" s="2821" t="s">
        <v>2694</v>
      </c>
      <c r="B24" s="2821" t="s">
        <v>2699</v>
      </c>
      <c r="C24" s="2821" t="s">
        <v>2696</v>
      </c>
      <c r="D24" s="2821" t="s">
        <v>2697</v>
      </c>
    </row>
    <row r="25" spans="1:4">
      <c r="A25" s="2824" t="s">
        <v>2700</v>
      </c>
      <c r="B25" s="2821" t="s">
        <v>952</v>
      </c>
      <c r="C25" s="2823"/>
      <c r="D25" s="1783" t="s">
        <v>2703</v>
      </c>
    </row>
    <row r="29" spans="1:4">
      <c r="D29" s="2822" t="s">
        <v>2039</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H23" sqref="H23"/>
      <selection pane="bottomLeft" activeCell="H23" sqref="H23"/>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4">
      <c r="A15" s="3229" t="s">
        <v>53</v>
      </c>
      <c r="B15" s="3230" t="s">
        <v>846</v>
      </c>
      <c r="C15" s="3226"/>
    </row>
    <row r="16" spans="1:7" ht="14.4">
      <c r="A16" s="3229"/>
      <c r="B16" s="3227" t="s">
        <v>54</v>
      </c>
      <c r="C16" s="1166" t="s">
        <v>53</v>
      </c>
    </row>
    <row r="17" spans="1:3" ht="14.4">
      <c r="A17" s="3229"/>
      <c r="B17" s="3227"/>
      <c r="C17" s="1166" t="s">
        <v>55</v>
      </c>
    </row>
    <row r="18" spans="1:3" ht="14.4">
      <c r="A18" s="3229"/>
      <c r="B18" s="3227"/>
      <c r="C18" s="1166" t="s">
        <v>56</v>
      </c>
    </row>
    <row r="19" spans="1:3" ht="14.4">
      <c r="A19" s="3229"/>
      <c r="B19" s="3225" t="s">
        <v>57</v>
      </c>
      <c r="C19" s="3226"/>
    </row>
    <row r="20" spans="1:3" ht="14.4">
      <c r="A20" s="1167" t="s">
        <v>58</v>
      </c>
      <c r="B20" s="1168"/>
      <c r="C20" s="1169"/>
    </row>
    <row r="21" spans="1:3" ht="14.4">
      <c r="A21" s="3228" t="s">
        <v>59</v>
      </c>
      <c r="B21" s="3225" t="s">
        <v>60</v>
      </c>
      <c r="C21" s="3226"/>
    </row>
    <row r="22" spans="1:3" ht="14.4">
      <c r="A22" s="3228"/>
      <c r="B22" s="3225" t="s">
        <v>61</v>
      </c>
      <c r="C22" s="3226"/>
    </row>
    <row r="23" spans="1:3" ht="14.4">
      <c r="A23" s="3228"/>
      <c r="B23" s="3225" t="s">
        <v>62</v>
      </c>
      <c r="C23" s="3226"/>
    </row>
    <row r="24" spans="1:3" ht="14.4">
      <c r="A24" s="3228"/>
      <c r="B24" s="3231" t="s">
        <v>63</v>
      </c>
      <c r="C24" s="1170" t="s">
        <v>837</v>
      </c>
    </row>
    <row r="25" spans="1:3" ht="14.4">
      <c r="A25" s="3228"/>
      <c r="B25" s="3232"/>
      <c r="C25" s="1170" t="s">
        <v>838</v>
      </c>
    </row>
    <row r="26" spans="1:3" ht="14.4">
      <c r="A26" s="3228"/>
      <c r="B26" s="3232"/>
      <c r="C26" s="1170" t="s">
        <v>839</v>
      </c>
    </row>
    <row r="27" spans="1:3" ht="14.4">
      <c r="A27" s="3228"/>
      <c r="B27" s="3232"/>
      <c r="C27" s="1170" t="s">
        <v>840</v>
      </c>
    </row>
    <row r="28" spans="1:3" ht="14.4">
      <c r="A28" s="3228"/>
      <c r="B28" s="3232"/>
      <c r="C28" s="1170" t="s">
        <v>841</v>
      </c>
    </row>
    <row r="29" spans="1:3" ht="14.4">
      <c r="A29" s="3228"/>
      <c r="B29" s="3232"/>
      <c r="C29" s="1170" t="s">
        <v>842</v>
      </c>
    </row>
    <row r="30" spans="1:3" ht="14.4">
      <c r="A30" s="3228"/>
      <c r="B30" s="3232"/>
      <c r="C30" s="1170" t="s">
        <v>843</v>
      </c>
    </row>
    <row r="31" spans="1:3" ht="14.4">
      <c r="A31" s="3228"/>
      <c r="B31" s="3232"/>
      <c r="C31" s="1170" t="s">
        <v>844</v>
      </c>
    </row>
    <row r="32" spans="1:3" ht="14.4">
      <c r="A32" s="3228"/>
      <c r="B32" s="3232"/>
      <c r="C32" s="1170" t="s">
        <v>1646</v>
      </c>
    </row>
    <row r="33" spans="1:3" ht="14.4">
      <c r="A33" s="3228"/>
      <c r="B33" s="3222" t="s">
        <v>1652</v>
      </c>
      <c r="C33" s="1170" t="s">
        <v>1647</v>
      </c>
    </row>
    <row r="34" spans="1:3" ht="14.4">
      <c r="A34" s="3228"/>
      <c r="B34" s="3223"/>
      <c r="C34" s="1175" t="s">
        <v>1648</v>
      </c>
    </row>
    <row r="35" spans="1:3" ht="14.4">
      <c r="A35" s="3228"/>
      <c r="B35" s="3223"/>
      <c r="C35" s="1176" t="s">
        <v>1649</v>
      </c>
    </row>
    <row r="36" spans="1:3" ht="14.4">
      <c r="A36" s="3228"/>
      <c r="B36" s="3223"/>
      <c r="C36" s="1176" t="s">
        <v>1650</v>
      </c>
    </row>
    <row r="37" spans="1:3" ht="14.4">
      <c r="A37" s="3228"/>
      <c r="B37" s="3224"/>
      <c r="C37" s="1177" t="s">
        <v>1651</v>
      </c>
    </row>
    <row r="38" spans="1:3">
      <c r="A38" s="1171" t="s">
        <v>845</v>
      </c>
    </row>
    <row r="41" spans="1:3">
      <c r="A41" s="1171" t="s">
        <v>68</v>
      </c>
    </row>
    <row r="42" spans="1:3" ht="14.4">
      <c r="A42" s="1172" t="s">
        <v>853</v>
      </c>
    </row>
    <row r="43" spans="1:3" ht="14.4">
      <c r="A43" s="1173" t="s">
        <v>69</v>
      </c>
    </row>
    <row r="44" spans="1:3" ht="14.4">
      <c r="A44" s="1172" t="s">
        <v>852</v>
      </c>
    </row>
    <row r="45" spans="1:3" ht="14.4">
      <c r="A45" s="1174" t="s">
        <v>854</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H23" sqref="H23"/>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1907</v>
      </c>
      <c r="B2" s="3124">
        <f ca="1">TODAY()</f>
        <v>43878</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t="str">
        <f ca="1">IF(C4&lt;B2,"已过期",1119970066)</f>
        <v>已过期</v>
      </c>
      <c r="C4" s="3130">
        <v>43849</v>
      </c>
      <c r="D4" s="3128" t="s">
        <v>1914</v>
      </c>
      <c r="E4" s="3128">
        <f ca="1">IF(F4&lt;B2,"已过期",96010014)</f>
        <v>96010014</v>
      </c>
      <c r="F4" s="3131">
        <v>47118</v>
      </c>
    </row>
    <row r="5" spans="1:6" ht="20.25" customHeight="1">
      <c r="A5" s="3128" t="s">
        <v>1915</v>
      </c>
      <c r="B5" s="3128" t="str">
        <f ca="1">IF(C5&lt;B2,"已过期",1119970074)</f>
        <v>已过期</v>
      </c>
      <c r="C5" s="3130">
        <v>43849</v>
      </c>
      <c r="D5" s="3128" t="s">
        <v>1915</v>
      </c>
      <c r="E5" s="3128">
        <f ca="1">IF(F5&lt;B2,"已过期",2002110027)</f>
        <v>2002110027</v>
      </c>
      <c r="F5" s="3131">
        <v>46752</v>
      </c>
    </row>
    <row r="6" spans="1:6" ht="20.25" customHeight="1">
      <c r="A6" s="3128" t="s">
        <v>1916</v>
      </c>
      <c r="B6" s="3128" t="str">
        <f ca="1">IF(C6&lt;B2,"已过期",1119970111)</f>
        <v>已过期</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t="str">
        <f ca="1">IF(C8&lt;B2,"已过期",1120000080)</f>
        <v>已过期</v>
      </c>
      <c r="C8" s="3130">
        <v>43849</v>
      </c>
      <c r="D8" s="3128" t="s">
        <v>1918</v>
      </c>
      <c r="E8" s="3128">
        <f ca="1">IF(F8&lt;B2,"已过期",2000110082)</f>
        <v>2000110082</v>
      </c>
      <c r="F8" s="3131">
        <v>46387</v>
      </c>
    </row>
    <row r="9" spans="1:6" ht="20.25" customHeight="1">
      <c r="A9" s="3128" t="s">
        <v>1919</v>
      </c>
      <c r="B9" s="3128" t="str">
        <f ca="1">IF(C9&lt;B2,"已过期",1419970001)</f>
        <v>已过期</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t="str">
        <f ca="1">IF(C13&lt;B2,"已过期",1120070131)</f>
        <v>已过期</v>
      </c>
      <c r="C13" s="3130">
        <v>43814</v>
      </c>
      <c r="D13" s="3128" t="s">
        <v>1922</v>
      </c>
      <c r="E13" s="3128">
        <f ca="1">IF(F13&lt;B2,"已过期",2014110011)</f>
        <v>2014110011</v>
      </c>
      <c r="F13" s="3131">
        <v>49302</v>
      </c>
    </row>
    <row r="14" spans="1:6" ht="20.25" customHeight="1">
      <c r="A14" s="3128" t="s">
        <v>2975</v>
      </c>
      <c r="B14" s="3128" t="str">
        <f ca="1">IF(C14&lt;B2,"已过期",1120040230)</f>
        <v>已过期</v>
      </c>
      <c r="C14" s="3132">
        <v>43835</v>
      </c>
      <c r="D14" s="3133" t="s">
        <v>2976</v>
      </c>
      <c r="E14" s="3128">
        <f ca="1">IF(F14&lt;B2,"已过期",98030020)</f>
        <v>98030020</v>
      </c>
      <c r="F14" s="3131">
        <v>47118</v>
      </c>
    </row>
    <row r="15" spans="1:6" ht="20.25" customHeight="1">
      <c r="A15" s="3128" t="s">
        <v>2573</v>
      </c>
      <c r="B15" s="3128" t="str">
        <f ca="1">IF(C15&lt;B2,"已过期",1120070085)</f>
        <v>已过期</v>
      </c>
      <c r="C15" s="3132">
        <v>43814</v>
      </c>
      <c r="D15" s="3128" t="s">
        <v>2977</v>
      </c>
      <c r="E15" s="3128">
        <f ca="1">IF(F15&lt;B2,"已过期",2004110128)</f>
        <v>2004110128</v>
      </c>
      <c r="F15" s="3134">
        <v>47118</v>
      </c>
    </row>
    <row r="16" spans="1:6" ht="20.25" customHeight="1">
      <c r="A16" s="3128" t="s">
        <v>1923</v>
      </c>
      <c r="B16" s="3128">
        <f ca="1">IF(C16&lt;B2,"已过期",1120140022)</f>
        <v>1120140022</v>
      </c>
      <c r="C16" s="3130">
        <v>44029</v>
      </c>
      <c r="D16" s="3128" t="s">
        <v>2978</v>
      </c>
      <c r="E16" s="3128">
        <f ca="1">IF(F16&lt;B2,"已过期",2008110059)</f>
        <v>2008110059</v>
      </c>
      <c r="F16" s="3131">
        <v>47177</v>
      </c>
    </row>
    <row r="17" spans="1:7" ht="20.25" customHeight="1">
      <c r="A17" s="3128"/>
      <c r="B17" s="3128"/>
      <c r="C17" s="3130"/>
      <c r="D17" s="3133" t="s">
        <v>2979</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33" t="s">
        <v>1926</v>
      </c>
      <c r="B25" s="3233"/>
      <c r="C25" s="3233"/>
      <c r="D25" s="3233"/>
      <c r="E25" s="3233"/>
      <c r="F25" s="3233"/>
      <c r="G25" s="3233"/>
    </row>
    <row r="26" spans="1:7" ht="20.25" customHeight="1">
      <c r="A26" s="3234" t="s">
        <v>1927</v>
      </c>
      <c r="B26" s="3234"/>
      <c r="C26" s="3234"/>
      <c r="D26" s="3234" t="s">
        <v>1928</v>
      </c>
      <c r="E26" s="3234"/>
      <c r="F26" s="3234"/>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2988</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2"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2539</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876</v>
      </c>
    </row>
    <row r="4" spans="1:23" ht="14.4">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878</v>
      </c>
    </row>
    <row r="6" spans="1:23" ht="14.4">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2543</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0" t="s">
        <v>2949</v>
      </c>
      <c r="C18" s="1539"/>
    </row>
    <row r="19" spans="1:3" ht="14.4">
      <c r="A19" s="8" t="s">
        <v>120</v>
      </c>
      <c r="B19" s="3060" t="s">
        <v>2957</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常绿卓屹置业有限公司拟使用河南省郑州市金水区金水区经一路东、明鸿路南出让国有建设用地使用权作为抵押担保物，向四川信托办理贷款手续。四川信托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235"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10日，在规划利用条件下、设定土地开发程度为红线外“七通”、宗地内场地平整，设定用途为，剩余土地使用年限为的出让国有建设用地使用权价格。</v>
      </c>
      <c r="D53" s="1750"/>
      <c r="E53" s="1750"/>
    </row>
    <row r="54" spans="1:5">
      <c r="A54" s="3235"/>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5"/>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5"/>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5"/>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2049</v>
      </c>
      <c r="B58" s="1749"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2019-11-28T03:08:09Z</cp:lastPrinted>
  <dcterms:created xsi:type="dcterms:W3CDTF">2015-07-13T07:17:23Z</dcterms:created>
  <dcterms:modified xsi:type="dcterms:W3CDTF">2020-02-17T09:23:57Z</dcterms:modified>
</cp:coreProperties>
</file>