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5" yWindow="45" windowWidth="16335" windowHeight="131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81" r:id="rId23"/>
    <sheet name="收益法" sheetId="15" r:id="rId24"/>
    <sheet name="收益法 (元)" sheetId="67" state="hidden"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赁台账" sheetId="79" r:id="rId47"/>
    <sheet name="酒店经营" sheetId="80"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6" hidden="1">租赁台账!$A$1:$Y$140</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8" l="1"/>
  <c r="G5" i="78"/>
  <c r="H33" i="77" l="1"/>
  <c r="G32" i="77"/>
  <c r="G23" i="77"/>
  <c r="N17" i="1" l="1"/>
  <c r="U20" i="1"/>
  <c r="M16" i="3"/>
  <c r="E2" i="78"/>
  <c r="E4" i="78"/>
  <c r="C15" i="74" l="1"/>
  <c r="B15" i="74"/>
  <c r="I16" i="3"/>
  <c r="T136" i="79"/>
  <c r="T133" i="79"/>
  <c r="T117" i="79"/>
  <c r="T127" i="79"/>
  <c r="T115" i="79"/>
  <c r="T109" i="79"/>
  <c r="T107" i="79"/>
  <c r="T106" i="79"/>
  <c r="T105" i="79"/>
  <c r="T103" i="79"/>
  <c r="T102" i="79"/>
  <c r="T101" i="79"/>
  <c r="T99" i="79"/>
  <c r="T92" i="79"/>
  <c r="T91" i="79"/>
  <c r="T90" i="79"/>
  <c r="T89" i="79"/>
  <c r="T32" i="79"/>
  <c r="T30" i="79"/>
  <c r="E34" i="77" l="1"/>
  <c r="D34" i="77"/>
  <c r="C36" i="77"/>
  <c r="B4" i="77"/>
  <c r="Q72" i="81"/>
  <c r="Q59" i="81"/>
  <c r="K59" i="81"/>
  <c r="P74" i="81" s="1"/>
  <c r="F59" i="81"/>
  <c r="Q58" i="81"/>
  <c r="Q51" i="81"/>
  <c r="J50" i="81"/>
  <c r="M47" i="81"/>
  <c r="D46" i="81"/>
  <c r="F33" i="81"/>
  <c r="F61" i="81" s="1"/>
  <c r="F31" i="81"/>
  <c r="F23" i="81"/>
  <c r="D23" i="81" s="1"/>
  <c r="F21" i="81"/>
  <c r="F20" i="81"/>
  <c r="M19" i="81"/>
  <c r="F18" i="81"/>
  <c r="M17" i="81"/>
  <c r="F17" i="81"/>
  <c r="F15" i="81"/>
  <c r="N19" i="1"/>
  <c r="N6" i="1" s="1"/>
  <c r="N7" i="1" s="1"/>
  <c r="S139" i="79"/>
  <c r="T5" i="79"/>
  <c r="T3" i="79"/>
  <c r="Q7" i="1"/>
  <c r="J7" i="1"/>
  <c r="G19" i="6"/>
  <c r="F20" i="6"/>
  <c r="F19" i="6"/>
  <c r="AN15" i="3"/>
  <c r="AL15" i="3"/>
  <c r="M13" i="3"/>
  <c r="K14" i="3"/>
  <c r="I13" i="3"/>
  <c r="N138" i="79"/>
  <c r="R138" i="79" s="1"/>
  <c r="J138" i="79"/>
  <c r="N137" i="79"/>
  <c r="R137" i="79" s="1"/>
  <c r="J137" i="79"/>
  <c r="N136" i="79"/>
  <c r="J136" i="79"/>
  <c r="N135" i="79"/>
  <c r="R135" i="79" s="1"/>
  <c r="J135" i="79"/>
  <c r="N134" i="79"/>
  <c r="R134" i="79" s="1"/>
  <c r="J134" i="79"/>
  <c r="N133" i="79"/>
  <c r="J133" i="79"/>
  <c r="N132" i="79"/>
  <c r="R132" i="79" s="1"/>
  <c r="J132" i="79"/>
  <c r="N131" i="79"/>
  <c r="R131" i="79" s="1"/>
  <c r="J131" i="79"/>
  <c r="N130" i="79"/>
  <c r="R130" i="79" s="1"/>
  <c r="J130" i="79"/>
  <c r="N129" i="79"/>
  <c r="R129" i="79" s="1"/>
  <c r="J129" i="79"/>
  <c r="N128" i="79"/>
  <c r="R128" i="79" s="1"/>
  <c r="J128" i="79"/>
  <c r="N127" i="79"/>
  <c r="J127" i="79"/>
  <c r="N126" i="79"/>
  <c r="R126" i="79" s="1"/>
  <c r="J126" i="79"/>
  <c r="N125" i="79"/>
  <c r="R125" i="79" s="1"/>
  <c r="J125" i="79"/>
  <c r="N124" i="79"/>
  <c r="R124" i="79" s="1"/>
  <c r="J124" i="79"/>
  <c r="N123" i="79"/>
  <c r="R123" i="79" s="1"/>
  <c r="J123" i="79"/>
  <c r="N122" i="79"/>
  <c r="R122" i="79" s="1"/>
  <c r="J122" i="79"/>
  <c r="N121" i="79"/>
  <c r="R121" i="79" s="1"/>
  <c r="J121" i="79"/>
  <c r="N120" i="79"/>
  <c r="R120" i="79" s="1"/>
  <c r="J120" i="79"/>
  <c r="N119" i="79"/>
  <c r="R119" i="79" s="1"/>
  <c r="J119" i="79"/>
  <c r="N118" i="79"/>
  <c r="R118" i="79" s="1"/>
  <c r="J118" i="79"/>
  <c r="N117" i="79"/>
  <c r="J117" i="79"/>
  <c r="N116" i="79"/>
  <c r="R116" i="79" s="1"/>
  <c r="J116" i="79"/>
  <c r="N115" i="79"/>
  <c r="J115" i="79"/>
  <c r="N114" i="79"/>
  <c r="R114" i="79" s="1"/>
  <c r="J114" i="79"/>
  <c r="N113" i="79"/>
  <c r="R113" i="79" s="1"/>
  <c r="J113" i="79"/>
  <c r="R112" i="79"/>
  <c r="J112" i="79"/>
  <c r="R111" i="79"/>
  <c r="J111" i="79"/>
  <c r="N110" i="79"/>
  <c r="R110" i="79" s="1"/>
  <c r="J110" i="79"/>
  <c r="N109" i="79"/>
  <c r="J109" i="79"/>
  <c r="N108" i="79"/>
  <c r="R108" i="79" s="1"/>
  <c r="J108" i="79"/>
  <c r="N107" i="79"/>
  <c r="J107" i="79"/>
  <c r="N106" i="79"/>
  <c r="J106" i="79"/>
  <c r="N105" i="79"/>
  <c r="J105" i="79"/>
  <c r="N104" i="79"/>
  <c r="R104" i="79" s="1"/>
  <c r="J104" i="79"/>
  <c r="N103" i="79"/>
  <c r="J103" i="79"/>
  <c r="N102" i="79"/>
  <c r="J102" i="79"/>
  <c r="N101" i="79"/>
  <c r="J101" i="79"/>
  <c r="N100" i="79"/>
  <c r="R100" i="79" s="1"/>
  <c r="J100" i="79"/>
  <c r="N99" i="79"/>
  <c r="J99" i="79"/>
  <c r="N98" i="79"/>
  <c r="R98" i="79" s="1"/>
  <c r="J98" i="79"/>
  <c r="N97" i="79"/>
  <c r="R97" i="79" s="1"/>
  <c r="J97" i="79"/>
  <c r="N96" i="79"/>
  <c r="R96" i="79" s="1"/>
  <c r="J96" i="79"/>
  <c r="N95" i="79"/>
  <c r="R95" i="79" s="1"/>
  <c r="J95" i="79"/>
  <c r="N94" i="79"/>
  <c r="R94" i="79" s="1"/>
  <c r="J94" i="79"/>
  <c r="N93" i="79"/>
  <c r="R93" i="79" s="1"/>
  <c r="J93" i="79"/>
  <c r="N92" i="79"/>
  <c r="J92" i="79"/>
  <c r="N91" i="79"/>
  <c r="J91" i="79"/>
  <c r="N90" i="79"/>
  <c r="J90" i="79"/>
  <c r="N89" i="79"/>
  <c r="J89" i="79"/>
  <c r="N88" i="79"/>
  <c r="R88" i="79" s="1"/>
  <c r="J88" i="79"/>
  <c r="N87" i="79"/>
  <c r="J87" i="79"/>
  <c r="N86" i="79"/>
  <c r="R86" i="79" s="1"/>
  <c r="J86" i="79"/>
  <c r="N85" i="79"/>
  <c r="J85" i="79"/>
  <c r="N84" i="79"/>
  <c r="R84" i="79" s="1"/>
  <c r="J84" i="79"/>
  <c r="N83" i="79"/>
  <c r="R83" i="79" s="1"/>
  <c r="J83" i="79"/>
  <c r="N82" i="79"/>
  <c r="R82" i="79" s="1"/>
  <c r="J82" i="79"/>
  <c r="N81" i="79"/>
  <c r="R81" i="79" s="1"/>
  <c r="J81" i="79"/>
  <c r="N80" i="79"/>
  <c r="J80" i="79"/>
  <c r="N79" i="79"/>
  <c r="R79" i="79" s="1"/>
  <c r="J79" i="79"/>
  <c r="N78" i="79"/>
  <c r="J78" i="79"/>
  <c r="N77" i="79"/>
  <c r="R77" i="79" s="1"/>
  <c r="J77" i="79"/>
  <c r="N76" i="79"/>
  <c r="R76" i="79" s="1"/>
  <c r="J76" i="79"/>
  <c r="N75" i="79"/>
  <c r="R75" i="79" s="1"/>
  <c r="J75" i="79"/>
  <c r="N74" i="79"/>
  <c r="R74" i="79" s="1"/>
  <c r="J74" i="79"/>
  <c r="N73" i="79"/>
  <c r="R73" i="79" s="1"/>
  <c r="J73" i="79"/>
  <c r="N72" i="79"/>
  <c r="J72" i="79"/>
  <c r="N71" i="79"/>
  <c r="J71" i="79"/>
  <c r="N70" i="79"/>
  <c r="R70" i="79" s="1"/>
  <c r="J70" i="79"/>
  <c r="N69" i="79"/>
  <c r="R69" i="79" s="1"/>
  <c r="J69" i="79"/>
  <c r="N68" i="79"/>
  <c r="R68" i="79" s="1"/>
  <c r="J68" i="79"/>
  <c r="N67" i="79"/>
  <c r="J67" i="79"/>
  <c r="N66" i="79"/>
  <c r="R66" i="79" s="1"/>
  <c r="J66" i="79"/>
  <c r="N65" i="79"/>
  <c r="J65" i="79"/>
  <c r="N64" i="79"/>
  <c r="R64" i="79" s="1"/>
  <c r="J64" i="79"/>
  <c r="N63" i="79"/>
  <c r="R63" i="79" s="1"/>
  <c r="J63" i="79"/>
  <c r="N62" i="79"/>
  <c r="R62" i="79" s="1"/>
  <c r="J62" i="79"/>
  <c r="N61" i="79"/>
  <c r="J61" i="79"/>
  <c r="R60" i="79"/>
  <c r="J60" i="79"/>
  <c r="J59" i="79"/>
  <c r="N58" i="79"/>
  <c r="R58" i="79" s="1"/>
  <c r="J58" i="79"/>
  <c r="N57" i="79"/>
  <c r="R57" i="79" s="1"/>
  <c r="J57" i="79"/>
  <c r="N56" i="79"/>
  <c r="R56" i="79" s="1"/>
  <c r="J56" i="79"/>
  <c r="N55" i="79"/>
  <c r="R55" i="79" s="1"/>
  <c r="J55" i="79"/>
  <c r="N54" i="79"/>
  <c r="J54" i="79"/>
  <c r="N53" i="79"/>
  <c r="J53" i="79"/>
  <c r="N52" i="79"/>
  <c r="J52" i="79"/>
  <c r="N51" i="79"/>
  <c r="J51" i="79"/>
  <c r="N50" i="79"/>
  <c r="R50" i="79" s="1"/>
  <c r="J50" i="79"/>
  <c r="N49" i="79"/>
  <c r="J49" i="79"/>
  <c r="N48" i="79"/>
  <c r="R48" i="79" s="1"/>
  <c r="J48" i="79"/>
  <c r="N47" i="79"/>
  <c r="J47" i="79"/>
  <c r="N46" i="79"/>
  <c r="J46" i="79"/>
  <c r="N45" i="79"/>
  <c r="R45" i="79" s="1"/>
  <c r="J45" i="79"/>
  <c r="N44" i="79"/>
  <c r="R44" i="79" s="1"/>
  <c r="J44" i="79"/>
  <c r="N43" i="79"/>
  <c r="R43" i="79" s="1"/>
  <c r="J43" i="79"/>
  <c r="N42" i="79"/>
  <c r="R42" i="79" s="1"/>
  <c r="J42" i="79"/>
  <c r="R41" i="79"/>
  <c r="J41" i="79"/>
  <c r="N40" i="79"/>
  <c r="J40" i="79"/>
  <c r="N39" i="79"/>
  <c r="R39" i="79" s="1"/>
  <c r="J39" i="79"/>
  <c r="R38" i="79"/>
  <c r="R37" i="79"/>
  <c r="R35" i="79"/>
  <c r="R33" i="79"/>
  <c r="R31" i="79"/>
  <c r="R29" i="79"/>
  <c r="R26" i="79"/>
  <c r="R20" i="79"/>
  <c r="R18" i="79"/>
  <c r="R16" i="79"/>
  <c r="R15" i="79"/>
  <c r="R14" i="79"/>
  <c r="R13" i="79"/>
  <c r="R12" i="79"/>
  <c r="R11" i="79"/>
  <c r="R10" i="79"/>
  <c r="R9" i="79"/>
  <c r="R8" i="79"/>
  <c r="R5" i="79"/>
  <c r="R3" i="79"/>
  <c r="D24" i="81" l="1"/>
  <c r="P61" i="81"/>
  <c r="D22" i="81"/>
  <c r="N14" i="1"/>
  <c r="R139" i="79"/>
  <c r="F5" i="78" l="1"/>
  <c r="E5" i="78"/>
  <c r="D3" i="4"/>
  <c r="C5" i="78" l="1"/>
  <c r="C7" i="78"/>
  <c r="F4" i="78"/>
  <c r="F2" i="78"/>
  <c r="C12" i="78"/>
  <c r="C11" i="78"/>
  <c r="C10" i="78"/>
  <c r="C6" i="78"/>
  <c r="C3" i="78"/>
  <c r="Y6" i="1" l="1"/>
  <c r="Y7" i="1"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F15" i="4"/>
  <c r="F8" i="1"/>
  <c r="G8" i="1" s="1"/>
  <c r="F9" i="1"/>
  <c r="F10" i="1"/>
  <c r="F11" i="1"/>
  <c r="F12" i="1"/>
  <c r="F13" i="1"/>
  <c r="D6" i="1"/>
  <c r="D9" i="1"/>
  <c r="D10" i="1"/>
  <c r="G10" i="1" s="1"/>
  <c r="D11" i="1"/>
  <c r="D12" i="1"/>
  <c r="G12" i="1" s="1"/>
  <c r="D13" i="1"/>
  <c r="D7" i="1"/>
  <c r="D8" i="1"/>
  <c r="A7" i="1"/>
  <c r="B7" i="1" s="1"/>
  <c r="E7" i="1" s="1"/>
  <c r="A8" i="1"/>
  <c r="B8" i="1"/>
  <c r="E8" i="1" s="1"/>
  <c r="A9" i="1"/>
  <c r="S9" i="1" s="1"/>
  <c r="AR9" i="1" s="1"/>
  <c r="A10" i="1"/>
  <c r="A11" i="1"/>
  <c r="B11" i="1" s="1"/>
  <c r="E11" i="1" s="1"/>
  <c r="A12" i="1"/>
  <c r="A13" i="1"/>
  <c r="S13" i="1" s="1"/>
  <c r="AR13" i="1" s="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52" i="37" s="1"/>
  <c r="D52" i="37" s="1"/>
  <c r="C7" i="36"/>
  <c r="C46" i="36" s="1"/>
  <c r="D46" i="36" s="1"/>
  <c r="E46" i="36" s="1"/>
  <c r="F46" i="36" s="1"/>
  <c r="G46" i="36" s="1"/>
  <c r="H46" i="36" s="1"/>
  <c r="I46" i="36" s="1"/>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G29" i="6" s="1"/>
  <c r="AZ343" i="3"/>
  <c r="BK5" i="3"/>
  <c r="BI5" i="3"/>
  <c r="BG5" i="3"/>
  <c r="BE5" i="3"/>
  <c r="BC5" i="3"/>
  <c r="G17" i="3"/>
  <c r="BA17" i="3"/>
  <c r="BT5" i="3"/>
  <c r="AZ350" i="3"/>
  <c r="AZ352" i="3"/>
  <c r="AZ356" i="3"/>
  <c r="AZ360" i="3"/>
  <c r="AZ364" i="3"/>
  <c r="AZ368" i="3"/>
  <c r="BA15" i="3"/>
  <c r="BB5" i="3"/>
  <c r="E14" i="6" s="1"/>
  <c r="E63" i="39"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R13" i="1"/>
  <c r="R11" i="1"/>
  <c r="R9" i="1"/>
  <c r="J51" i="67"/>
  <c r="C42" i="1"/>
  <c r="C13" i="12" s="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G5" i="3" s="1"/>
  <c r="B3" i="3" s="1"/>
  <c r="BA13" i="3"/>
  <c r="E10" i="6"/>
  <c r="BA5" i="3"/>
  <c r="E11" i="6"/>
  <c r="E60" i="39" s="1"/>
  <c r="BL17" i="3"/>
  <c r="AZ17" i="3"/>
  <c r="BL13" i="3"/>
  <c r="J56" i="9"/>
  <c r="J57" i="9" s="1"/>
  <c r="J59" i="9" s="1"/>
  <c r="J61" i="9" s="1"/>
  <c r="A24" i="51"/>
  <c r="B18" i="72" s="1"/>
  <c r="U29" i="34"/>
  <c r="E5" i="6"/>
  <c r="D9" i="11" s="1"/>
  <c r="C9" i="11" s="1"/>
  <c r="E32" i="6"/>
  <c r="L19" i="6"/>
  <c r="K1" i="12"/>
  <c r="E19" i="69"/>
  <c r="E19" i="68"/>
  <c r="E19" i="11"/>
  <c r="E1" i="73"/>
  <c r="G22" i="68"/>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3"/>
  <c r="C58" i="33" s="1"/>
  <c r="C7" i="40"/>
  <c r="C63" i="40" s="1"/>
  <c r="G19" i="43"/>
  <c r="O19" i="43" s="1"/>
  <c r="C19" i="43" s="1"/>
  <c r="T35" i="4"/>
  <c r="A19" i="51"/>
  <c r="B14" i="72" s="1"/>
  <c r="A4" i="51"/>
  <c r="B6" i="72"/>
  <c r="C4" i="12"/>
  <c r="H66" i="43"/>
  <c r="H65" i="43"/>
  <c r="H64" i="43"/>
  <c r="H63" i="43"/>
  <c r="H55" i="43"/>
  <c r="H56" i="43"/>
  <c r="H72" i="43"/>
  <c r="L20" i="6"/>
  <c r="B6" i="1"/>
  <c r="E6" i="1"/>
  <c r="S8" i="1"/>
  <c r="AQ8" i="1" s="1"/>
  <c r="K11" i="1"/>
  <c r="M11" i="1" s="1"/>
  <c r="AP6" i="1"/>
  <c r="B9" i="1"/>
  <c r="E9" i="1" s="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Z13" i="3"/>
  <c r="F30" i="11"/>
  <c r="C48" i="11"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L48" i="15"/>
  <c r="B9" i="76"/>
  <c r="J15" i="15"/>
  <c r="B11" i="76"/>
  <c r="D2" i="21"/>
  <c r="M27" i="15"/>
  <c r="B12" i="76"/>
  <c r="F8" i="15"/>
  <c r="B8" i="76"/>
  <c r="M29" i="15"/>
  <c r="E10" i="76"/>
  <c r="M26" i="15"/>
  <c r="AO10" i="1"/>
  <c r="E8" i="76"/>
  <c r="E7" i="76"/>
  <c r="E11" i="76"/>
  <c r="AO9" i="1"/>
  <c r="M24" i="15"/>
  <c r="F38" i="15"/>
  <c r="D6" i="73"/>
  <c r="M8" i="15"/>
  <c r="D4" i="73"/>
  <c r="D2" i="33"/>
  <c r="E12" i="76"/>
  <c r="F3" i="73"/>
  <c r="M22" i="15"/>
  <c r="F42" i="15"/>
  <c r="B7" i="76"/>
  <c r="F20" i="31"/>
  <c r="B10" i="76"/>
  <c r="D3" i="73"/>
  <c r="B13" i="76"/>
  <c r="F16" i="15"/>
  <c r="F9" i="15"/>
  <c r="M6" i="15"/>
  <c r="AO11" i="1"/>
  <c r="E2" i="69"/>
  <c r="F7" i="15"/>
  <c r="D2" i="36"/>
  <c r="E9" i="76"/>
  <c r="D2" i="35"/>
  <c r="D2" i="34"/>
  <c r="M28" i="15"/>
  <c r="F4" i="73"/>
  <c r="AO13" i="1"/>
  <c r="E13" i="76"/>
  <c r="AO8" i="1"/>
  <c r="E2" i="68"/>
  <c r="F26" i="15"/>
  <c r="F43" i="15"/>
  <c r="D7" i="73"/>
  <c r="F13" i="15"/>
  <c r="F36" i="15"/>
  <c r="C76" i="15"/>
  <c r="D2" i="37"/>
  <c r="F40" i="15"/>
  <c r="L47" i="15"/>
  <c r="M9" i="15"/>
  <c r="AO12" i="1"/>
  <c r="F7" i="73"/>
  <c r="F5" i="73"/>
  <c r="F37" i="15"/>
  <c r="D5" i="73"/>
  <c r="M23" i="15"/>
  <c r="F6" i="73"/>
  <c r="F48" i="9" l="1"/>
  <c r="O52" i="9" s="1"/>
  <c r="F32" i="81"/>
  <c r="F60" i="81" s="1"/>
  <c r="F28" i="81"/>
  <c r="C28" i="81" s="1"/>
  <c r="M18" i="81"/>
  <c r="M20" i="15"/>
  <c r="M20" i="81"/>
  <c r="E14" i="77"/>
  <c r="F34" i="81"/>
  <c r="F62" i="81" s="1"/>
  <c r="G1" i="67"/>
  <c r="M47" i="9"/>
  <c r="C7" i="21"/>
  <c r="C58" i="21" s="1"/>
  <c r="C7" i="35"/>
  <c r="C48" i="35" s="1"/>
  <c r="D48" i="35" s="1"/>
  <c r="G26" i="12"/>
  <c r="G22" i="69"/>
  <c r="G1" i="68"/>
  <c r="M20" i="67"/>
  <c r="F34" i="67"/>
  <c r="F62" i="67" s="1"/>
  <c r="S11" i="1"/>
  <c r="AQ11" i="1" s="1"/>
  <c r="C7" i="34"/>
  <c r="C59" i="34" s="1"/>
  <c r="D59" i="34" s="1"/>
  <c r="E59" i="34" s="1"/>
  <c r="F59" i="34" s="1"/>
  <c r="G59" i="34" s="1"/>
  <c r="H59" i="34" s="1"/>
  <c r="I59" i="34" s="1"/>
  <c r="J59" i="34" s="1"/>
  <c r="G1" i="81"/>
  <c r="D22" i="15"/>
  <c r="C40" i="11"/>
  <c r="M7" i="1"/>
  <c r="T12" i="1"/>
  <c r="BL15" i="3"/>
  <c r="BL5" i="3" s="1"/>
  <c r="E8" i="6"/>
  <c r="E563" i="3"/>
  <c r="W6" i="3"/>
  <c r="E357" i="3"/>
  <c r="E342" i="3"/>
  <c r="E308" i="3"/>
  <c r="E499" i="3"/>
  <c r="E54" i="3"/>
  <c r="E38" i="3"/>
  <c r="E251" i="3"/>
  <c r="AZ14" i="3"/>
  <c r="F29" i="6"/>
  <c r="E29" i="6"/>
  <c r="K15" i="1" s="1"/>
  <c r="G30" i="6"/>
  <c r="G31" i="6" s="1"/>
  <c r="E80" i="3"/>
  <c r="E34" i="3"/>
  <c r="E275" i="3"/>
  <c r="E93" i="3"/>
  <c r="E208" i="3"/>
  <c r="E471" i="3"/>
  <c r="E438" i="3"/>
  <c r="E99" i="3"/>
  <c r="E22" i="3"/>
  <c r="E158" i="3"/>
  <c r="AF6" i="3"/>
  <c r="E206" i="3"/>
  <c r="E35" i="3"/>
  <c r="E324" i="3"/>
  <c r="E174" i="3"/>
  <c r="E473" i="3"/>
  <c r="E14" i="3"/>
  <c r="E257" i="3"/>
  <c r="E168" i="3"/>
  <c r="E475" i="3"/>
  <c r="E537" i="3"/>
  <c r="E288" i="3"/>
  <c r="E466" i="3"/>
  <c r="E253" i="3"/>
  <c r="E16" i="3"/>
  <c r="E431" i="3"/>
  <c r="E69" i="3"/>
  <c r="L27" i="6"/>
  <c r="G3" i="43"/>
  <c r="F22" i="43" s="1"/>
  <c r="J51" i="15"/>
  <c r="J53" i="15" s="1"/>
  <c r="L56" i="15" s="1"/>
  <c r="E83" i="3"/>
  <c r="E326" i="3"/>
  <c r="E287" i="3"/>
  <c r="E113" i="3"/>
  <c r="E102" i="3"/>
  <c r="E370" i="3"/>
  <c r="E232" i="3"/>
  <c r="E49" i="3"/>
  <c r="E86" i="3"/>
  <c r="E522" i="3"/>
  <c r="E383" i="3"/>
  <c r="E235" i="3"/>
  <c r="E220" i="3"/>
  <c r="E170" i="3"/>
  <c r="E455" i="3"/>
  <c r="E75" i="3"/>
  <c r="E31" i="3"/>
  <c r="E318" i="3"/>
  <c r="E351" i="3"/>
  <c r="E279" i="3"/>
  <c r="E150" i="3"/>
  <c r="E111" i="3"/>
  <c r="E72" i="3"/>
  <c r="E433" i="3"/>
  <c r="E450" i="3"/>
  <c r="E571" i="3"/>
  <c r="E562" i="3"/>
  <c r="E457" i="3"/>
  <c r="E527" i="3"/>
  <c r="E502" i="3"/>
  <c r="E286" i="3"/>
  <c r="E157" i="3"/>
  <c r="E29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42" i="3"/>
  <c r="R6" i="3"/>
  <c r="E575" i="3"/>
  <c r="E199" i="3"/>
  <c r="E77" i="3"/>
  <c r="E228" i="3"/>
  <c r="E159" i="3"/>
  <c r="E434" i="3"/>
  <c r="E314" i="3"/>
  <c r="E201" i="3"/>
  <c r="E509" i="3"/>
  <c r="E44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64" i="3"/>
  <c r="E421" i="3"/>
  <c r="E552" i="3"/>
  <c r="E542" i="3"/>
  <c r="AD6" i="3"/>
  <c r="E312" i="3"/>
  <c r="E141" i="3"/>
  <c r="E167" i="3"/>
  <c r="E212" i="3"/>
  <c r="E149" i="3"/>
  <c r="E181" i="3"/>
  <c r="E188" i="3"/>
  <c r="E191" i="3"/>
  <c r="E262" i="3"/>
  <c r="E306" i="3"/>
  <c r="AK6" i="3"/>
  <c r="E511" i="3"/>
  <c r="E247" i="3"/>
  <c r="E579" i="3"/>
  <c r="E114" i="3"/>
  <c r="E415" i="3"/>
  <c r="E395" i="3"/>
  <c r="E260"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278" i="3"/>
  <c r="E172" i="3"/>
  <c r="E535" i="3"/>
  <c r="E239" i="3"/>
  <c r="E516" i="3"/>
  <c r="E569" i="3"/>
  <c r="E396" i="3"/>
  <c r="E229" i="3"/>
  <c r="E151" i="3"/>
  <c r="E397" i="3"/>
  <c r="E568" i="3"/>
  <c r="I6" i="3"/>
  <c r="E536" i="3"/>
  <c r="E549" i="3"/>
  <c r="E453" i="3"/>
  <c r="E368" i="3"/>
  <c r="E244"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D9" i="69"/>
  <c r="C9" i="69" s="1"/>
  <c r="T8" i="1"/>
  <c r="E56" i="40"/>
  <c r="AR8" i="1"/>
  <c r="E28" i="6"/>
  <c r="F30" i="6"/>
  <c r="T10" i="1"/>
  <c r="AR12" i="1"/>
  <c r="E15" i="6"/>
  <c r="C5" i="11"/>
  <c r="C21" i="69"/>
  <c r="C24" i="12"/>
  <c r="F30" i="69"/>
  <c r="F48" i="69" s="1"/>
  <c r="M18" i="15"/>
  <c r="F52" i="9"/>
  <c r="F54" i="9"/>
  <c r="F32" i="15"/>
  <c r="F60" i="15" s="1"/>
  <c r="F32" i="67"/>
  <c r="F60" i="67" s="1"/>
  <c r="F28" i="67"/>
  <c r="C28" i="67" s="1"/>
  <c r="C30" i="11"/>
  <c r="D68" i="9"/>
  <c r="F28" i="15"/>
  <c r="C28" i="15" s="1"/>
  <c r="M18" i="67"/>
  <c r="F31" i="12"/>
  <c r="C31" i="12" s="1"/>
  <c r="F30" i="68"/>
  <c r="F53" i="9"/>
  <c r="C94" i="9"/>
  <c r="C92" i="9"/>
  <c r="D22" i="67"/>
  <c r="C36" i="69"/>
  <c r="T13" i="1"/>
  <c r="AR11" i="1"/>
  <c r="T11" i="1"/>
  <c r="AQ13" i="1"/>
  <c r="AR10" i="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7" i="6"/>
  <c r="E51" i="40"/>
  <c r="E56" i="39"/>
  <c r="E302" i="3"/>
  <c r="E503" i="3"/>
  <c r="E17" i="3"/>
  <c r="E361" i="3"/>
  <c r="E213" i="3"/>
  <c r="E183" i="3"/>
  <c r="E565" i="3"/>
  <c r="E528" i="3"/>
  <c r="E304" i="3"/>
  <c r="E261" i="3"/>
  <c r="E237" i="3"/>
  <c r="E13" i="6"/>
  <c r="E12" i="6"/>
  <c r="D9" i="68"/>
  <c r="C9" i="68" s="1"/>
  <c r="E59" i="40"/>
  <c r="D19" i="12"/>
  <c r="C19" i="12" s="1"/>
  <c r="O14" i="1"/>
  <c r="P14" i="1" s="1"/>
  <c r="O12" i="1"/>
  <c r="P12" i="1" s="1"/>
  <c r="O9" i="1"/>
  <c r="P9" i="1" s="1"/>
  <c r="P11" i="1"/>
  <c r="O11" i="1"/>
  <c r="O8" i="1"/>
  <c r="P8" i="1" s="1"/>
  <c r="H16" i="1"/>
  <c r="Q16" i="1"/>
  <c r="T9" i="1"/>
  <c r="AQ9" i="1"/>
  <c r="K101" i="43"/>
  <c r="E101" i="43"/>
  <c r="AH11" i="43"/>
  <c r="AH13" i="43" s="1"/>
  <c r="AD11" i="43"/>
  <c r="AD13" i="43" s="1"/>
  <c r="Z11" i="43"/>
  <c r="Z13" i="43" s="1"/>
  <c r="AI11" i="43"/>
  <c r="AI13" i="43" s="1"/>
  <c r="AE11" i="43"/>
  <c r="AE13" i="43" s="1"/>
  <c r="AA11" i="43"/>
  <c r="AA13" i="43" s="1"/>
  <c r="B113" i="43"/>
  <c r="C101" i="43"/>
  <c r="N104" i="46"/>
  <c r="H101" i="43"/>
  <c r="J22" i="43"/>
  <c r="G7" i="1"/>
  <c r="G16" i="1"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7" i="15"/>
  <c r="J55" i="15" s="1"/>
  <c r="J58" i="15" s="1"/>
  <c r="Q50" i="15" s="1"/>
  <c r="K1" i="73"/>
  <c r="B20" i="31"/>
  <c r="B21" i="31" s="1"/>
  <c r="I1" i="73"/>
  <c r="B39" i="1" s="1"/>
  <c r="B12" i="70"/>
  <c r="M7" i="15"/>
  <c r="J6" i="15" s="1"/>
  <c r="F50" i="15"/>
  <c r="F51" i="15"/>
  <c r="F71" i="15"/>
  <c r="B11" i="70"/>
  <c r="L59" i="15"/>
  <c r="L58" i="15"/>
  <c r="B8" i="70"/>
  <c r="F66" i="15"/>
  <c r="F64" i="15"/>
  <c r="C27" i="15"/>
  <c r="F65" i="15"/>
  <c r="B9" i="70"/>
  <c r="B13" i="70"/>
  <c r="F68" i="15"/>
  <c r="F16" i="81"/>
  <c r="M24" i="81"/>
  <c r="J15" i="81"/>
  <c r="M29" i="67"/>
  <c r="M27" i="67"/>
  <c r="F36" i="67"/>
  <c r="M8" i="67"/>
  <c r="L48" i="81"/>
  <c r="F37" i="81"/>
  <c r="M21" i="67"/>
  <c r="F43" i="67"/>
  <c r="M29" i="81"/>
  <c r="L47" i="81"/>
  <c r="F40" i="81"/>
  <c r="F8" i="81"/>
  <c r="M6" i="67"/>
  <c r="F42" i="67"/>
  <c r="F38" i="67"/>
  <c r="G1" i="73"/>
  <c r="F26" i="81"/>
  <c r="F6" i="81"/>
  <c r="F38" i="81"/>
  <c r="F26" i="67"/>
  <c r="F41" i="67"/>
  <c r="J15" i="67"/>
  <c r="L48" i="67"/>
  <c r="M26" i="81"/>
  <c r="M28" i="67"/>
  <c r="F7" i="67"/>
  <c r="M27" i="81"/>
  <c r="F36" i="81"/>
  <c r="M6" i="81"/>
  <c r="F13" i="67"/>
  <c r="L47" i="67"/>
  <c r="F6" i="67"/>
  <c r="F35" i="67"/>
  <c r="M9" i="81"/>
  <c r="F42" i="81"/>
  <c r="M23" i="67"/>
  <c r="F8" i="67"/>
  <c r="M22" i="81"/>
  <c r="F9" i="81"/>
  <c r="F40" i="67"/>
  <c r="M26" i="67"/>
  <c r="M9" i="67"/>
  <c r="M28" i="81"/>
  <c r="C76" i="81"/>
  <c r="F16" i="67"/>
  <c r="M8" i="81"/>
  <c r="C76" i="67"/>
  <c r="F43" i="81"/>
  <c r="F13" i="81"/>
  <c r="M24" i="67"/>
  <c r="F7" i="81"/>
  <c r="M23" i="81"/>
  <c r="F9" i="67"/>
  <c r="F37" i="67"/>
  <c r="C16" i="15"/>
  <c r="M22" i="67"/>
  <c r="F51" i="67" l="1"/>
  <c r="J53" i="67"/>
  <c r="Q52" i="67" s="1"/>
  <c r="L56" i="67"/>
  <c r="J57" i="67"/>
  <c r="J55" i="67" s="1"/>
  <c r="J58" i="67" s="1"/>
  <c r="Q50" i="67" s="1"/>
  <c r="I54" i="67"/>
  <c r="F63" i="67"/>
  <c r="C62" i="67" s="1"/>
  <c r="C34" i="67"/>
  <c r="F65" i="67"/>
  <c r="F66" i="67"/>
  <c r="F71" i="67"/>
  <c r="F64" i="67"/>
  <c r="M7" i="67"/>
  <c r="J6" i="67" s="1"/>
  <c r="J18" i="67" s="1"/>
  <c r="F50" i="67"/>
  <c r="C6" i="67"/>
  <c r="C32" i="67" s="1"/>
  <c r="F70" i="67"/>
  <c r="F69" i="67"/>
  <c r="Q71" i="67"/>
  <c r="L59" i="67"/>
  <c r="Q74" i="67" s="1"/>
  <c r="M59" i="67"/>
  <c r="N59" i="67"/>
  <c r="L58" i="67"/>
  <c r="Q73" i="67" s="1"/>
  <c r="J20" i="67"/>
  <c r="C27" i="67"/>
  <c r="F68" i="67"/>
  <c r="Q71" i="81"/>
  <c r="F51" i="81"/>
  <c r="F66" i="81"/>
  <c r="F68" i="81"/>
  <c r="F65" i="81"/>
  <c r="C6" i="81"/>
  <c r="C32" i="81" s="1"/>
  <c r="F64" i="81"/>
  <c r="N59" i="81"/>
  <c r="L58" i="81"/>
  <c r="L59" i="81"/>
  <c r="M59" i="81"/>
  <c r="C27" i="81"/>
  <c r="L57" i="81"/>
  <c r="L56" i="81"/>
  <c r="L60" i="81"/>
  <c r="I54" i="81"/>
  <c r="J57" i="81"/>
  <c r="J55" i="81" s="1"/>
  <c r="J58" i="81" s="1"/>
  <c r="Q50" i="81" s="1"/>
  <c r="J53" i="81"/>
  <c r="M7" i="81"/>
  <c r="J6" i="81" s="1"/>
  <c r="J18" i="81" s="1"/>
  <c r="F50" i="81"/>
  <c r="C49" i="81" s="1"/>
  <c r="F71" i="81"/>
  <c r="M59" i="15"/>
  <c r="N59" i="15"/>
  <c r="I54" i="15"/>
  <c r="J7" i="34"/>
  <c r="F7" i="36"/>
  <c r="S7" i="36" s="1"/>
  <c r="J7" i="37"/>
  <c r="W7" i="37" s="1"/>
  <c r="H7" i="36"/>
  <c r="U7" i="36" s="1"/>
  <c r="O7" i="1"/>
  <c r="O16" i="1" s="1"/>
  <c r="F11" i="81"/>
  <c r="M11" i="81"/>
  <c r="J10" i="81" s="1"/>
  <c r="J5" i="81" s="1"/>
  <c r="AZ15" i="3"/>
  <c r="AZ5" i="3" s="1"/>
  <c r="H22" i="43"/>
  <c r="M101" i="43"/>
  <c r="N101" i="43"/>
  <c r="N106" i="43" s="1"/>
  <c r="F31" i="6"/>
  <c r="G22" i="43"/>
  <c r="L101" i="43"/>
  <c r="J101" i="43"/>
  <c r="J104" i="43" s="1"/>
  <c r="G101" i="43"/>
  <c r="Y11" i="43"/>
  <c r="Y13" i="43" s="1"/>
  <c r="AC11" i="43"/>
  <c r="AC13" i="43" s="1"/>
  <c r="AG11" i="43"/>
  <c r="AG13" i="43" s="1"/>
  <c r="Z7" i="43"/>
  <c r="AB11" i="43"/>
  <c r="AB13" i="43" s="1"/>
  <c r="AF11" i="43"/>
  <c r="AF13" i="43" s="1"/>
  <c r="AJ11" i="43"/>
  <c r="AJ13" i="43" s="1"/>
  <c r="I101" i="43"/>
  <c r="D101" i="43"/>
  <c r="D109" i="43" s="1"/>
  <c r="E22" i="43"/>
  <c r="F101" i="43"/>
  <c r="F107" i="43" s="1"/>
  <c r="E16" i="6"/>
  <c r="H6" i="3"/>
  <c r="E27" i="6"/>
  <c r="K19" i="6" s="1"/>
  <c r="E60" i="40"/>
  <c r="E64" i="39"/>
  <c r="E30" i="6"/>
  <c r="K14" i="1"/>
  <c r="C48" i="69"/>
  <c r="C30" i="69"/>
  <c r="F48" i="68"/>
  <c r="C30" i="68"/>
  <c r="C48" i="68"/>
  <c r="K20" i="6"/>
  <c r="E57" i="40"/>
  <c r="E61" i="39"/>
  <c r="AC6" i="3"/>
  <c r="P16" i="1"/>
  <c r="C11" i="12" s="1"/>
  <c r="C12" i="12" s="1"/>
  <c r="E58" i="40"/>
  <c r="E62" i="39"/>
  <c r="F28" i="12"/>
  <c r="C29" i="12" s="1"/>
  <c r="D28" i="12" s="1"/>
  <c r="F27" i="11"/>
  <c r="F27" i="69"/>
  <c r="F27" i="68"/>
  <c r="L109" i="43"/>
  <c r="L106" i="43"/>
  <c r="L107" i="43"/>
  <c r="L103" i="43"/>
  <c r="L102" i="43"/>
  <c r="L105" i="43"/>
  <c r="L104" i="43"/>
  <c r="G105" i="43"/>
  <c r="G102" i="43"/>
  <c r="G103" i="43"/>
  <c r="G109" i="43"/>
  <c r="G107" i="43"/>
  <c r="G104" i="43"/>
  <c r="G106" i="43"/>
  <c r="E102" i="43"/>
  <c r="E106" i="43"/>
  <c r="E103" i="43"/>
  <c r="E107" i="43"/>
  <c r="E104" i="43"/>
  <c r="E105" i="43"/>
  <c r="E109" i="43"/>
  <c r="M109" i="43"/>
  <c r="M102" i="43"/>
  <c r="M106" i="43"/>
  <c r="M103" i="43"/>
  <c r="M104" i="43"/>
  <c r="M105" i="43"/>
  <c r="M107"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F10" i="40"/>
  <c r="S10" i="40" s="1"/>
  <c r="F10" i="39"/>
  <c r="AA10" i="39" s="1"/>
  <c r="J10" i="39"/>
  <c r="W10" i="39" s="1"/>
  <c r="H10" i="40"/>
  <c r="U10" i="40" s="1"/>
  <c r="H10" i="39"/>
  <c r="U10" i="39" s="1"/>
  <c r="J10" i="40"/>
  <c r="W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1" s="1"/>
  <c r="AC10" i="39"/>
  <c r="S10" i="39"/>
  <c r="H7" i="33"/>
  <c r="J7" i="33"/>
  <c r="D65" i="40"/>
  <c r="E63" i="40"/>
  <c r="F48" i="35"/>
  <c r="AA7" i="36"/>
  <c r="R36" i="36" s="1"/>
  <c r="AC7" i="37"/>
  <c r="V42" i="37" s="1"/>
  <c r="I42" i="37" s="1"/>
  <c r="AB7" i="36"/>
  <c r="T36" i="36" s="1"/>
  <c r="G36" i="36" s="1"/>
  <c r="AB7" i="34"/>
  <c r="T49" i="34" s="1"/>
  <c r="G49" i="34" s="1"/>
  <c r="U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J18" i="15"/>
  <c r="M28" i="43"/>
  <c r="N28" i="43"/>
  <c r="O28" i="43"/>
  <c r="P28" i="43"/>
  <c r="M11" i="67"/>
  <c r="J10" i="67" s="1"/>
  <c r="F11" i="15"/>
  <c r="M11" i="15"/>
  <c r="J10" i="15" s="1"/>
  <c r="J5" i="15" s="1"/>
  <c r="F11" i="67"/>
  <c r="F1" i="15"/>
  <c r="Q52" i="15"/>
  <c r="Q60" i="15"/>
  <c r="Q73" i="15"/>
  <c r="Q74" i="15"/>
  <c r="Q61" i="15"/>
  <c r="C16" i="81"/>
  <c r="C16" i="67"/>
  <c r="C17" i="67"/>
  <c r="C14" i="67"/>
  <c r="AE6" i="1"/>
  <c r="D105" i="43" l="1"/>
  <c r="N107" i="43"/>
  <c r="J105" i="43"/>
  <c r="C18" i="67"/>
  <c r="C15" i="67"/>
  <c r="Q60" i="67"/>
  <c r="F1" i="67"/>
  <c r="C49" i="67"/>
  <c r="Q61" i="67"/>
  <c r="C33" i="81"/>
  <c r="F1" i="81"/>
  <c r="Q52" i="81"/>
  <c r="Q61" i="81"/>
  <c r="Q74" i="81"/>
  <c r="J5" i="67"/>
  <c r="J26" i="67" s="1"/>
  <c r="J29" i="67" s="1"/>
  <c r="Q66" i="81"/>
  <c r="Q57" i="81"/>
  <c r="Q60" i="81"/>
  <c r="Q73" i="81"/>
  <c r="C24" i="81"/>
  <c r="J26" i="81"/>
  <c r="J24" i="81"/>
  <c r="C53" i="81"/>
  <c r="C48" i="81" s="1"/>
  <c r="C10" i="81"/>
  <c r="C5" i="81" s="1"/>
  <c r="D22" i="43"/>
  <c r="F106" i="43"/>
  <c r="M20" i="6"/>
  <c r="I20" i="6" s="1"/>
  <c r="S20" i="6" s="1"/>
  <c r="S7" i="1"/>
  <c r="E3" i="6"/>
  <c r="AY6" i="3"/>
  <c r="N109" i="43"/>
  <c r="E6" i="3"/>
  <c r="F105" i="43"/>
  <c r="D104" i="43"/>
  <c r="N105" i="43"/>
  <c r="N103" i="43"/>
  <c r="J107" i="43"/>
  <c r="F104" i="43"/>
  <c r="D102" i="43"/>
  <c r="N104" i="43"/>
  <c r="N102" i="43"/>
  <c r="J106" i="43"/>
  <c r="F109" i="43"/>
  <c r="F102" i="43"/>
  <c r="S4" i="43" s="1"/>
  <c r="T4" i="43" s="1"/>
  <c r="V4" i="43" s="1"/>
  <c r="F103" i="43"/>
  <c r="D107" i="43"/>
  <c r="D103" i="43"/>
  <c r="D106" i="43"/>
  <c r="J102" i="43"/>
  <c r="J109" i="43"/>
  <c r="J103" i="43"/>
  <c r="K24" i="6"/>
  <c r="M24" i="6" s="1"/>
  <c r="I24" i="6" s="1"/>
  <c r="S24" i="6" s="1"/>
  <c r="K26" i="6"/>
  <c r="M26" i="6" s="1"/>
  <c r="I26" i="6" s="1"/>
  <c r="S26" i="6" s="1"/>
  <c r="E31" i="6"/>
  <c r="K23" i="6"/>
  <c r="M23" i="6" s="1"/>
  <c r="I23" i="6" s="1"/>
  <c r="S23" i="6" s="1"/>
  <c r="K22" i="6"/>
  <c r="M22" i="6" s="1"/>
  <c r="I22" i="6" s="1"/>
  <c r="K25" i="6"/>
  <c r="M25" i="6" s="1"/>
  <c r="I25" i="6" s="1"/>
  <c r="K21" i="6"/>
  <c r="M21" i="6" s="1"/>
  <c r="I21" i="6" s="1"/>
  <c r="M14" i="1"/>
  <c r="M16" i="1" s="1"/>
  <c r="C34" i="69"/>
  <c r="K16" i="1"/>
  <c r="U7" i="37"/>
  <c r="AC10" i="40"/>
  <c r="C15" i="12"/>
  <c r="M19" i="6"/>
  <c r="S6" i="1"/>
  <c r="E65" i="39"/>
  <c r="AA10" i="40"/>
  <c r="AB10" i="39"/>
  <c r="C47" i="69"/>
  <c r="D45" i="69" s="1"/>
  <c r="F45" i="69"/>
  <c r="C29" i="69"/>
  <c r="D27" i="69" s="1"/>
  <c r="C29" i="68"/>
  <c r="D27" i="68" s="1"/>
  <c r="F45" i="68"/>
  <c r="C47" i="68"/>
  <c r="D45" i="68" s="1"/>
  <c r="C47" i="11"/>
  <c r="D45" i="11" s="1"/>
  <c r="C29" i="11"/>
  <c r="D27" i="11" s="1"/>
  <c r="C115" i="43"/>
  <c r="D113" i="43" s="1"/>
  <c r="S2" i="43"/>
  <c r="T2" i="43" s="1"/>
  <c r="V2" i="43" s="1"/>
  <c r="C23" i="43"/>
  <c r="C21" i="43" s="1"/>
  <c r="C29" i="43" s="1"/>
  <c r="C30" i="43" s="1"/>
  <c r="E30" i="43" s="1"/>
  <c r="S5" i="43"/>
  <c r="T5" i="43" s="1"/>
  <c r="V5" i="43" s="1"/>
  <c r="S3" i="43"/>
  <c r="T3" i="43" s="1"/>
  <c r="V3" i="43"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4" i="15"/>
  <c r="J26" i="15"/>
  <c r="C53" i="67"/>
  <c r="C10" i="67"/>
  <c r="C5" i="67" s="1"/>
  <c r="C53" i="15"/>
  <c r="C48" i="15" s="1"/>
  <c r="F25" i="12"/>
  <c r="F22" i="69"/>
  <c r="F41" i="69" s="1"/>
  <c r="F24" i="67"/>
  <c r="C24" i="67" s="1"/>
  <c r="F22" i="11"/>
  <c r="F22" i="68"/>
  <c r="F24" i="15"/>
  <c r="C24" i="15" s="1"/>
  <c r="F6" i="15"/>
  <c r="F41" i="15"/>
  <c r="C17" i="81"/>
  <c r="C17" i="15"/>
  <c r="C48" i="67" l="1"/>
  <c r="C66" i="67" s="1"/>
  <c r="C19" i="67"/>
  <c r="C20" i="67" s="1"/>
  <c r="C26" i="67" s="1"/>
  <c r="J24" i="67"/>
  <c r="S7" i="43"/>
  <c r="T7" i="43" s="1"/>
  <c r="V7" i="43" s="1"/>
  <c r="S6" i="43"/>
  <c r="T6" i="43" s="1"/>
  <c r="V6" i="43" s="1"/>
  <c r="E7" i="70"/>
  <c r="C38" i="81"/>
  <c r="C66" i="81"/>
  <c r="C60" i="81"/>
  <c r="AQ7" i="1"/>
  <c r="T7" i="1"/>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66" i="3"/>
  <c r="AY176" i="3"/>
  <c r="AY115" i="3"/>
  <c r="AY188" i="3"/>
  <c r="AY276" i="3"/>
  <c r="AY297" i="3"/>
  <c r="AY225" i="3"/>
  <c r="AY335" i="3"/>
  <c r="AY470" i="3"/>
  <c r="AY409" i="3"/>
  <c r="AY180" i="3"/>
  <c r="AY228" i="3"/>
  <c r="AY358" i="3"/>
  <c r="AY465" i="3"/>
  <c r="AY433" i="3"/>
  <c r="BK6" i="3"/>
  <c r="AY541" i="3"/>
  <c r="AY108" i="3"/>
  <c r="AY196" i="3"/>
  <c r="AY74" i="3"/>
  <c r="AY204" i="3"/>
  <c r="AY363" i="3"/>
  <c r="AY412" i="3"/>
  <c r="AY229" i="3"/>
  <c r="AY326" i="3"/>
  <c r="AY557" i="3"/>
  <c r="AY105" i="3"/>
  <c r="AY53" i="3"/>
  <c r="AY36" i="3"/>
  <c r="AY182" i="3"/>
  <c r="AY146" i="3"/>
  <c r="AY126" i="3"/>
  <c r="AY302" i="3"/>
  <c r="AY239" i="3"/>
  <c r="AY222" i="3"/>
  <c r="AY389" i="3"/>
  <c r="BS6" i="3"/>
  <c r="AY93" i="3"/>
  <c r="AY40"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82" i="3"/>
  <c r="AY191" i="3"/>
  <c r="AY132" i="3"/>
  <c r="AY31" i="3"/>
  <c r="AY292" i="3"/>
  <c r="AY147" i="3"/>
  <c r="AY220" i="3"/>
  <c r="AY350" i="3"/>
  <c r="AY486" i="3"/>
  <c r="AY83" i="3"/>
  <c r="AY23" i="3"/>
  <c r="AY155" i="3"/>
  <c r="AY59" i="3"/>
  <c r="AY131" i="3"/>
  <c r="AY58" i="3"/>
  <c r="AY268" i="3"/>
  <c r="AY371" i="3"/>
  <c r="AY318" i="3"/>
  <c r="AY428" i="3"/>
  <c r="AY106" i="3"/>
  <c r="AY245" i="3"/>
  <c r="AY395" i="3"/>
  <c r="AY342" i="3"/>
  <c r="AY452" i="3"/>
  <c r="AY513" i="3"/>
  <c r="AY569" i="3"/>
  <c r="AY553" i="3"/>
  <c r="AY67" i="3"/>
  <c r="AY139" i="3"/>
  <c r="AY123" i="3"/>
  <c r="AY252" i="3"/>
  <c r="AY489" i="3"/>
  <c r="AY43" i="3"/>
  <c r="AY379" i="3"/>
  <c r="AY436" i="3"/>
  <c r="AY540" i="3"/>
  <c r="AY85" i="3"/>
  <c r="AY68" i="3"/>
  <c r="AY25" i="3"/>
  <c r="AY178" i="3"/>
  <c r="AY157" i="3"/>
  <c r="AY117" i="3"/>
  <c r="AY271" i="3"/>
  <c r="AY254" i="3"/>
  <c r="AY211" i="3"/>
  <c r="AY365" i="3"/>
  <c r="BI6" i="3"/>
  <c r="AY57" i="3"/>
  <c r="AY186"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425" i="3"/>
  <c r="AY199" i="3"/>
  <c r="AY244" i="3"/>
  <c r="AY355" i="3"/>
  <c r="AY481"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352" i="3"/>
  <c r="AY336" i="3"/>
  <c r="AY492"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37" i="3"/>
  <c r="AY320" i="3"/>
  <c r="AY476"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321" i="3"/>
  <c r="AY461"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5" i="3"/>
  <c r="AY445" i="3"/>
  <c r="AY439" i="3"/>
  <c r="AY506" i="3"/>
  <c r="AY524" i="3"/>
  <c r="AY542" i="3"/>
  <c r="AY578" i="3"/>
  <c r="AY63" i="3"/>
  <c r="AY192" i="3"/>
  <c r="AY135" i="3"/>
  <c r="AY249" i="3"/>
  <c r="AY378" i="3"/>
  <c r="AY346" i="3"/>
  <c r="AY456" i="3"/>
  <c r="AY558" i="3"/>
  <c r="BL6" i="3"/>
  <c r="AY55" i="3"/>
  <c r="AY184" i="3"/>
  <c r="AY128" i="3"/>
  <c r="AY241" i="3"/>
  <c r="AY391" i="3"/>
  <c r="AY338" i="3"/>
  <c r="AY448" i="3"/>
  <c r="AY429" i="3"/>
  <c r="BD6" i="3"/>
  <c r="AY511" i="3"/>
  <c r="AY586"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304"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AY479" i="3"/>
  <c r="AY426" i="3"/>
  <c r="AY407" i="3"/>
  <c r="AY14" i="3"/>
  <c r="AY565" i="3"/>
  <c r="AY570" i="3"/>
  <c r="AY99" i="3"/>
  <c r="AY46" i="3"/>
  <c r="AY156" i="3"/>
  <c r="AY285" i="3"/>
  <c r="AY232" i="3"/>
  <c r="AY362" i="3"/>
  <c r="AY469" i="3"/>
  <c r="AY437" i="3"/>
  <c r="AY560" i="3"/>
  <c r="AY91" i="3"/>
  <c r="AY38" i="3"/>
  <c r="AY148" i="3"/>
  <c r="AY277" i="3"/>
  <c r="AY224" i="3"/>
  <c r="AY354" i="3"/>
  <c r="AY490" i="3"/>
  <c r="AY416" i="3"/>
  <c r="AY550" i="3"/>
  <c r="BC6" i="3"/>
  <c r="AY504" i="3"/>
  <c r="AY498" i="3"/>
  <c r="E6" i="6"/>
  <c r="D3" i="21"/>
  <c r="C17" i="4"/>
  <c r="B4" i="52" s="1"/>
  <c r="B43" i="72" s="1"/>
  <c r="D3" i="34"/>
  <c r="D37" i="11"/>
  <c r="C37" i="11" s="1"/>
  <c r="M18" i="9"/>
  <c r="B118" i="9" s="1"/>
  <c r="B14" i="74" s="1"/>
  <c r="B1" i="74" s="1"/>
  <c r="D19" i="11"/>
  <c r="C19" i="11" s="1"/>
  <c r="C24" i="11" s="1"/>
  <c r="D3" i="33"/>
  <c r="D3" i="37"/>
  <c r="L18" i="9"/>
  <c r="D14" i="12"/>
  <c r="H26" i="6"/>
  <c r="K27" i="6"/>
  <c r="H25" i="6"/>
  <c r="S25" i="6"/>
  <c r="S21" i="6"/>
  <c r="H21" i="6"/>
  <c r="H22" i="6"/>
  <c r="S22" i="6"/>
  <c r="H23" i="6"/>
  <c r="C6" i="15"/>
  <c r="E6" i="70"/>
  <c r="E2" i="70" s="1"/>
  <c r="C35" i="69"/>
  <c r="C38" i="69"/>
  <c r="C34" i="68"/>
  <c r="N16" i="1"/>
  <c r="L16" i="1"/>
  <c r="C34" i="11"/>
  <c r="F69" i="15"/>
  <c r="J29" i="15"/>
  <c r="AQ6" i="1"/>
  <c r="T6" i="1"/>
  <c r="AR6" i="1"/>
  <c r="S16" i="1"/>
  <c r="I19" i="6"/>
  <c r="M27" i="6"/>
  <c r="C19" i="68"/>
  <c r="C24" i="68"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23" i="67"/>
  <c r="C29" i="67" s="1"/>
  <c r="C14" i="81"/>
  <c r="C14" i="15"/>
  <c r="E6" i="76"/>
  <c r="B6" i="76"/>
  <c r="C60" i="67" l="1"/>
  <c r="C18" i="81"/>
  <c r="C15" i="81"/>
  <c r="C8" i="74"/>
  <c r="C7" i="74"/>
  <c r="D6" i="6"/>
  <c r="D25" i="6"/>
  <c r="R25" i="6" s="1"/>
  <c r="D22" i="6"/>
  <c r="R22" i="6" s="1"/>
  <c r="D24" i="6"/>
  <c r="D12" i="6"/>
  <c r="D13" i="6"/>
  <c r="E61" i="40"/>
  <c r="D10" i="6"/>
  <c r="D29" i="6"/>
  <c r="D26" i="6"/>
  <c r="R26" i="6" s="1"/>
  <c r="D8" i="6"/>
  <c r="D14" i="6"/>
  <c r="H20" i="6"/>
  <c r="M19" i="9"/>
  <c r="C118" i="9" s="1"/>
  <c r="C14" i="74" s="1"/>
  <c r="B2" i="74" s="1"/>
  <c r="D15" i="6"/>
  <c r="D21" i="6"/>
  <c r="R21" i="6" s="1"/>
  <c r="D20" i="6"/>
  <c r="D11" i="6"/>
  <c r="D28" i="6"/>
  <c r="D30" i="6" s="1"/>
  <c r="D9" i="6"/>
  <c r="L19" i="9"/>
  <c r="D19" i="6"/>
  <c r="C18" i="4"/>
  <c r="D23" i="6"/>
  <c r="R23" i="6" s="1"/>
  <c r="H24" i="6"/>
  <c r="D5" i="6"/>
  <c r="D17" i="12"/>
  <c r="C17" i="12" s="1"/>
  <c r="C14" i="12"/>
  <c r="C16" i="12" s="1"/>
  <c r="C20" i="11"/>
  <c r="C25" i="11" s="1"/>
  <c r="C22" i="11" s="1"/>
  <c r="D10" i="68"/>
  <c r="D10" i="69"/>
  <c r="D20" i="12"/>
  <c r="C20" i="12" s="1"/>
  <c r="D10" i="11"/>
  <c r="C10" i="11" s="1"/>
  <c r="C6" i="68"/>
  <c r="C18" i="15"/>
  <c r="C15" i="15"/>
  <c r="C35" i="11"/>
  <c r="C38" i="11"/>
  <c r="F50" i="11"/>
  <c r="F50" i="69"/>
  <c r="F50" i="68"/>
  <c r="T16" i="1"/>
  <c r="C35" i="68"/>
  <c r="C38" i="68"/>
  <c r="C32" i="15"/>
  <c r="C10" i="15"/>
  <c r="C5" i="15" s="1"/>
  <c r="C38" i="15" s="1"/>
  <c r="H19" i="6"/>
  <c r="I27" i="6"/>
  <c r="S19" i="6"/>
  <c r="S27"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81" l="1"/>
  <c r="C20" i="81" s="1"/>
  <c r="C26" i="81" s="1"/>
  <c r="R20" i="6"/>
  <c r="R7" i="1" s="1"/>
  <c r="B5" i="77"/>
  <c r="D14" i="77" s="1"/>
  <c r="C10" i="68"/>
  <c r="B29" i="1" s="1"/>
  <c r="C8" i="68" s="1"/>
  <c r="D19" i="68"/>
  <c r="D37" i="68" s="1"/>
  <c r="C37" i="68" s="1"/>
  <c r="C33" i="68" s="1"/>
  <c r="C39" i="68" s="1"/>
  <c r="A7" i="51"/>
  <c r="B7" i="72" s="1"/>
  <c r="A10" i="51"/>
  <c r="B9" i="72" s="1"/>
  <c r="C4" i="52"/>
  <c r="B45" i="72" s="1"/>
  <c r="D16" i="6"/>
  <c r="C10" i="69"/>
  <c r="C8" i="69" s="1"/>
  <c r="C5" i="69" s="1"/>
  <c r="D19" i="69"/>
  <c r="C28" i="11"/>
  <c r="C27" i="11" s="1"/>
  <c r="C31" i="11" s="1"/>
  <c r="D27" i="6"/>
  <c r="D31" i="6" s="1"/>
  <c r="I6" i="6" s="1"/>
  <c r="D7" i="74"/>
  <c r="D8" i="74"/>
  <c r="R24" i="6"/>
  <c r="C7" i="68"/>
  <c r="C19" i="15"/>
  <c r="C20" i="15" s="1"/>
  <c r="C26" i="15" s="1"/>
  <c r="I5" i="6"/>
  <c r="C33" i="11"/>
  <c r="R19" i="6"/>
  <c r="H27" i="6"/>
  <c r="I69" i="39"/>
  <c r="J67" i="39"/>
  <c r="B3" i="76"/>
  <c r="D6" i="71"/>
  <c r="M20" i="43"/>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23" i="81" l="1"/>
  <c r="C29" i="81" s="1"/>
  <c r="D13" i="77" s="1"/>
  <c r="C5" i="68"/>
  <c r="C23" i="68" s="1"/>
  <c r="D37" i="69"/>
  <c r="C37" i="69" s="1"/>
  <c r="C33" i="69" s="1"/>
  <c r="C19" i="69"/>
  <c r="C18" i="12"/>
  <c r="C21" i="12" s="1"/>
  <c r="C23" i="69"/>
  <c r="J7" i="21"/>
  <c r="C42" i="68"/>
  <c r="C23" i="15"/>
  <c r="C29" i="15" s="1"/>
  <c r="C39" i="11"/>
  <c r="C42" i="11"/>
  <c r="C46" i="68"/>
  <c r="C45" i="68" s="1"/>
  <c r="C43" i="68"/>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81"/>
  <c r="F35" i="15"/>
  <c r="F35" i="81"/>
  <c r="M21" i="15"/>
  <c r="J7" i="35" l="1"/>
  <c r="C36" i="81"/>
  <c r="C57" i="81"/>
  <c r="J59" i="81"/>
  <c r="J60" i="81" s="1"/>
  <c r="Q49" i="81"/>
  <c r="C13" i="81"/>
  <c r="J19" i="81"/>
  <c r="J14" i="81"/>
  <c r="C57" i="15"/>
  <c r="C61" i="15" s="1"/>
  <c r="D12" i="77"/>
  <c r="D11" i="77" s="1"/>
  <c r="J20" i="81"/>
  <c r="F63" i="81"/>
  <c r="C62" i="81" s="1"/>
  <c r="C34" i="81"/>
  <c r="C31" i="81" s="1"/>
  <c r="C20" i="68"/>
  <c r="C25" i="68" s="1"/>
  <c r="C22" i="68" s="1"/>
  <c r="C22" i="12"/>
  <c r="C27" i="12" s="1"/>
  <c r="C25" i="12" s="1"/>
  <c r="C42" i="69"/>
  <c r="C39" i="69"/>
  <c r="C20" i="69"/>
  <c r="C24" i="69"/>
  <c r="C28" i="68"/>
  <c r="C27" i="68" s="1"/>
  <c r="C41" i="68"/>
  <c r="C49" i="68" s="1"/>
  <c r="C51" i="68" s="1"/>
  <c r="J14" i="15"/>
  <c r="J13" i="15" s="1"/>
  <c r="J23" i="15" s="1"/>
  <c r="C13" i="15"/>
  <c r="C37" i="15" s="1"/>
  <c r="Q49" i="15"/>
  <c r="J19" i="15"/>
  <c r="C36" i="15"/>
  <c r="J59" i="15"/>
  <c r="J60" i="15" s="1"/>
  <c r="Q48" i="15" s="1"/>
  <c r="C46" i="11"/>
  <c r="C45" i="11" s="1"/>
  <c r="C43" i="11"/>
  <c r="C41" i="11" s="1"/>
  <c r="J22" i="15"/>
  <c r="C34" i="15"/>
  <c r="C31" i="15" s="1"/>
  <c r="F63" i="15"/>
  <c r="C62" i="15" s="1"/>
  <c r="J20" i="15"/>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81" l="1"/>
  <c r="C64" i="81"/>
  <c r="C61" i="81"/>
  <c r="C59" i="81" s="1"/>
  <c r="J22" i="81"/>
  <c r="J13" i="81"/>
  <c r="J23" i="81" s="1"/>
  <c r="Q70" i="81"/>
  <c r="C75" i="81"/>
  <c r="C56" i="81"/>
  <c r="C65" i="81" s="1"/>
  <c r="C37" i="81"/>
  <c r="C30" i="81" s="1"/>
  <c r="C39" i="81" s="1"/>
  <c r="Q69" i="81" s="1"/>
  <c r="L46" i="81"/>
  <c r="Q48" i="81"/>
  <c r="C64" i="15"/>
  <c r="E11" i="77"/>
  <c r="E7" i="77" s="1"/>
  <c r="D7" i="77"/>
  <c r="C26" i="77" s="1"/>
  <c r="C32" i="77" s="1"/>
  <c r="C38" i="77" s="1"/>
  <c r="C39" i="77" s="1"/>
  <c r="C40" i="77" s="1"/>
  <c r="C25" i="69"/>
  <c r="C22" i="69" s="1"/>
  <c r="C28" i="69"/>
  <c r="C27" i="69" s="1"/>
  <c r="C43" i="69"/>
  <c r="C41" i="69" s="1"/>
  <c r="C46" i="69"/>
  <c r="C45" i="69" s="1"/>
  <c r="C30" i="12"/>
  <c r="C28" i="12" s="1"/>
  <c r="C32" i="12" s="1"/>
  <c r="B2" i="12" s="1"/>
  <c r="B3" i="12" s="1"/>
  <c r="C31" i="68"/>
  <c r="C52" i="68" s="1"/>
  <c r="B2" i="68" s="1"/>
  <c r="J17" i="15"/>
  <c r="J16" i="15" s="1"/>
  <c r="J25" i="15" s="1"/>
  <c r="C56" i="15"/>
  <c r="C65" i="15" s="1"/>
  <c r="Q70" i="15"/>
  <c r="C30" i="15"/>
  <c r="C39" i="15" s="1"/>
  <c r="Q69" i="15" s="1"/>
  <c r="C75" i="15"/>
  <c r="C59" i="15"/>
  <c r="C49" i="11"/>
  <c r="C51" i="11" s="1"/>
  <c r="C52" i="11" s="1"/>
  <c r="B2" i="11" s="1"/>
  <c r="B3" i="11" s="1"/>
  <c r="L57" i="15"/>
  <c r="L60" i="15" s="1"/>
  <c r="L46"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81"/>
  <c r="C19" i="9"/>
  <c r="AE7" i="1"/>
  <c r="Q68" i="81" l="1"/>
  <c r="C58" i="81"/>
  <c r="C67" i="81" s="1"/>
  <c r="J16" i="81"/>
  <c r="J25" i="81" s="1"/>
  <c r="C80" i="81"/>
  <c r="C79" i="81" s="1"/>
  <c r="C27" i="77"/>
  <c r="B2" i="77"/>
  <c r="C41" i="77"/>
  <c r="Q67" i="81"/>
  <c r="C49" i="69"/>
  <c r="C51" i="69" s="1"/>
  <c r="C31" i="69"/>
  <c r="C40" i="15"/>
  <c r="Q56" i="15" s="1"/>
  <c r="C102" i="9"/>
  <c r="C21" i="9"/>
  <c r="B3" i="68"/>
  <c r="C57" i="68"/>
  <c r="C56" i="68" s="1"/>
  <c r="C58" i="15"/>
  <c r="C67" i="15" s="1"/>
  <c r="C68" i="15" s="1"/>
  <c r="C71" i="15" s="1"/>
  <c r="C80" i="15"/>
  <c r="C79" i="15" s="1"/>
  <c r="Q68" i="15"/>
  <c r="C56" i="11"/>
  <c r="C57" i="11" s="1"/>
  <c r="Q57" i="15"/>
  <c r="Q66" i="15"/>
  <c r="M69" i="39"/>
  <c r="N67" i="39"/>
  <c r="R39" i="35"/>
  <c r="E38" i="35"/>
  <c r="M63" i="40"/>
  <c r="L65" i="40"/>
  <c r="F41" i="81"/>
  <c r="D35" i="9"/>
  <c r="AO7" i="1"/>
  <c r="D34" i="9"/>
  <c r="L51" i="15"/>
  <c r="C20" i="9"/>
  <c r="Q67" i="15" l="1"/>
  <c r="F69" i="81"/>
  <c r="C68" i="81" s="1"/>
  <c r="C71" i="81" s="1"/>
  <c r="C40" i="81"/>
  <c r="C83" i="81" s="1"/>
  <c r="C82" i="81" s="1"/>
  <c r="J29" i="81"/>
  <c r="B7" i="70"/>
  <c r="B3" i="77"/>
  <c r="C52" i="69"/>
  <c r="B2" i="69" s="1"/>
  <c r="B3" i="69" s="1"/>
  <c r="B2" i="15"/>
  <c r="B3" i="15" s="1"/>
  <c r="Q47" i="15"/>
  <c r="Q53" i="15" s="1"/>
  <c r="C43" i="15"/>
  <c r="Q65" i="15"/>
  <c r="Q75" i="15" s="1"/>
  <c r="C83" i="15"/>
  <c r="C82" i="15" s="1"/>
  <c r="C103" i="9"/>
  <c r="C46" i="15"/>
  <c r="Q62" i="15"/>
  <c r="O67" i="39"/>
  <c r="O69" i="39" s="1"/>
  <c r="N69" i="39"/>
  <c r="F7" i="39" s="1"/>
  <c r="C39" i="35"/>
  <c r="B2" i="35" s="1"/>
  <c r="B3" i="35" s="1"/>
  <c r="C38" i="35"/>
  <c r="N63" i="40"/>
  <c r="M65" i="40"/>
  <c r="E43" i="35"/>
  <c r="F43" i="35" s="1"/>
  <c r="E42" i="35"/>
  <c r="F42" i="35" s="1"/>
  <c r="I43" i="35"/>
  <c r="J43" i="35" s="1"/>
  <c r="AO6" i="1"/>
  <c r="C46" i="81" l="1"/>
  <c r="C43" i="81"/>
  <c r="Q65" i="81"/>
  <c r="Q75" i="81" s="1"/>
  <c r="Q56" i="81"/>
  <c r="Q62" i="81" s="1"/>
  <c r="B2" i="81"/>
  <c r="B3" i="81" s="1"/>
  <c r="Q47" i="81"/>
  <c r="Q53" i="81" s="1"/>
  <c r="C57" i="69"/>
  <c r="C56" i="69" s="1"/>
  <c r="B6" i="70"/>
  <c r="B2" i="70" s="1"/>
  <c r="H7" i="39"/>
  <c r="J7" i="39"/>
  <c r="S7" i="39"/>
  <c r="AA7" i="39"/>
  <c r="R47" i="39" s="1"/>
  <c r="O63" i="40"/>
  <c r="O65" i="40" s="1"/>
  <c r="N65" i="40"/>
  <c r="D19" i="9"/>
  <c r="D102" i="9" l="1"/>
  <c r="D21" i="9"/>
  <c r="D22" i="9"/>
  <c r="G19" i="9"/>
  <c r="D27" i="9" s="1"/>
  <c r="B3" i="70"/>
  <c r="W7" i="39"/>
  <c r="AC7" i="39"/>
  <c r="V47" i="39" s="1"/>
  <c r="I47" i="39" s="1"/>
  <c r="E47" i="39"/>
  <c r="R48" i="39"/>
  <c r="U7" i="39"/>
  <c r="AB7" i="39"/>
  <c r="T47" i="39" s="1"/>
  <c r="G47" i="39" s="1"/>
  <c r="J7" i="40"/>
  <c r="F7" i="40"/>
  <c r="H7" i="40"/>
  <c r="D20" i="9"/>
  <c r="G21" i="9" l="1"/>
  <c r="C32" i="9"/>
  <c r="C35" i="9" s="1"/>
  <c r="C34" i="9" s="1"/>
  <c r="G20" i="9"/>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I118" i="9"/>
  <c r="D119" i="9"/>
  <c r="D5" i="52" s="1"/>
  <c r="B49" i="72" s="1"/>
  <c r="F119" i="9"/>
  <c r="F5" i="52" s="1"/>
  <c r="B53" i="72" s="1"/>
  <c r="G118" i="9"/>
  <c r="G4" i="52" s="1"/>
  <c r="B52" i="72" s="1"/>
  <c r="C104" i="9"/>
  <c r="H119" i="9"/>
  <c r="H5" i="52" s="1"/>
  <c r="D14" i="74"/>
  <c r="D5" i="53" l="1"/>
  <c r="M48" i="9"/>
  <c r="D45" i="9"/>
  <c r="H107" i="9"/>
  <c r="F14" i="74"/>
  <c r="E14" i="74"/>
  <c r="I4" i="52"/>
  <c r="C105" i="9"/>
  <c r="E118" i="9"/>
  <c r="E4" i="52" s="1"/>
  <c r="B48" i="72" s="1"/>
  <c r="H102" i="9"/>
  <c r="D7" i="53" s="1"/>
  <c r="B21" i="72" s="1"/>
  <c r="D53" i="9" l="1"/>
  <c r="D52" i="9"/>
  <c r="C93" i="9"/>
  <c r="C86" i="9" s="1"/>
  <c r="C78" i="9"/>
  <c r="C73" i="9" s="1"/>
  <c r="D55" i="9"/>
  <c r="M53" i="9" s="1"/>
  <c r="C85" i="9"/>
  <c r="C72" i="9"/>
  <c r="C64" i="9"/>
  <c r="C63" i="9" s="1"/>
  <c r="C67" i="9" s="1"/>
  <c r="B20" i="72"/>
  <c r="D6" i="53"/>
  <c r="B22" i="72" s="1"/>
  <c r="D13" i="53"/>
  <c r="D122" i="9"/>
  <c r="H108" i="9"/>
  <c r="D15" i="53" s="1"/>
  <c r="B31" i="72" s="1"/>
  <c r="C79" i="9" l="1"/>
  <c r="C80" i="9" s="1"/>
  <c r="E80" i="9" s="1"/>
  <c r="E81" i="9" s="1"/>
  <c r="D59" i="9"/>
  <c r="M55" i="9" s="1"/>
  <c r="C68" i="9"/>
  <c r="D54" i="9" s="1"/>
  <c r="C95" i="9"/>
  <c r="D8" i="52"/>
  <c r="G14" i="74"/>
  <c r="D123" i="9"/>
  <c r="D9" i="52" s="1"/>
  <c r="B30" i="72"/>
  <c r="D14" i="53"/>
  <c r="B32" i="72" s="1"/>
  <c r="C81" i="9" l="1"/>
  <c r="C96" i="9"/>
  <c r="E96" i="9" s="1"/>
  <c r="E97" i="9" s="1"/>
  <c r="C97" i="9" l="1"/>
  <c r="D58" i="9" s="1"/>
  <c r="D56" i="9" s="1"/>
  <c r="M54" i="9" s="1"/>
  <c r="N57" i="9" s="1"/>
  <c r="N58" i="9" l="1"/>
  <c r="N59" i="9"/>
  <c r="P57" i="9"/>
  <c r="N60" i="9" l="1"/>
  <c r="N61" i="9"/>
  <c r="D15" i="74" l="1"/>
  <c r="G15" i="74" l="1"/>
  <c r="B6" i="74" s="1"/>
  <c r="E15" i="74"/>
  <c r="B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huangfengran</author>
    <author>黄凤然</author>
    <author>dinglh</author>
  </authors>
  <commentList>
    <comment ref="Q18" authorId="0">
      <text>
        <r>
          <rPr>
            <b/>
            <sz val="9"/>
            <rFont val="Tahoma"/>
            <family val="2"/>
          </rPr>
          <t>huangfengran:</t>
        </r>
        <r>
          <rPr>
            <sz val="9"/>
            <rFont val="Tahoma"/>
            <family val="2"/>
          </rPr>
          <t xml:space="preserve">
</t>
        </r>
        <r>
          <rPr>
            <sz val="9"/>
            <rFont val="宋体"/>
            <family val="3"/>
            <charset val="134"/>
          </rPr>
          <t>补缴押金</t>
        </r>
      </text>
    </comment>
    <comment ref="Q22" authorId="0">
      <text>
        <r>
          <rPr>
            <b/>
            <sz val="9"/>
            <rFont val="Tahoma"/>
            <family val="2"/>
          </rPr>
          <t>huangfengran:</t>
        </r>
        <r>
          <rPr>
            <sz val="9"/>
            <rFont val="Tahoma"/>
            <family val="2"/>
          </rPr>
          <t xml:space="preserve">
</t>
        </r>
        <r>
          <rPr>
            <sz val="9"/>
            <rFont val="宋体"/>
            <family val="3"/>
            <charset val="134"/>
          </rPr>
          <t>补缴押金</t>
        </r>
      </text>
    </comment>
    <comment ref="Q23" authorId="0">
      <text>
        <r>
          <rPr>
            <b/>
            <sz val="9"/>
            <rFont val="Tahoma"/>
            <family val="2"/>
          </rPr>
          <t>huangfengran:</t>
        </r>
        <r>
          <rPr>
            <sz val="9"/>
            <rFont val="Tahoma"/>
            <family val="2"/>
          </rPr>
          <t xml:space="preserve">
</t>
        </r>
        <r>
          <rPr>
            <sz val="9"/>
            <rFont val="宋体"/>
            <family val="3"/>
            <charset val="134"/>
          </rPr>
          <t>补缴押金</t>
        </r>
      </text>
    </comment>
    <comment ref="Q25" authorId="0">
      <text>
        <r>
          <rPr>
            <b/>
            <sz val="9"/>
            <rFont val="Tahoma"/>
            <family val="2"/>
          </rPr>
          <t>huangfengran:</t>
        </r>
        <r>
          <rPr>
            <sz val="9"/>
            <rFont val="Tahoma"/>
            <family val="2"/>
          </rPr>
          <t xml:space="preserve">
</t>
        </r>
        <r>
          <rPr>
            <sz val="9"/>
            <rFont val="宋体"/>
            <family val="3"/>
            <charset val="134"/>
          </rPr>
          <t>补缴押金</t>
        </r>
      </text>
    </comment>
    <comment ref="Q26" authorId="0">
      <text>
        <r>
          <rPr>
            <b/>
            <sz val="9"/>
            <rFont val="Tahoma"/>
            <family val="2"/>
          </rPr>
          <t>huangfengran:</t>
        </r>
        <r>
          <rPr>
            <sz val="9"/>
            <rFont val="Tahoma"/>
            <family val="2"/>
          </rPr>
          <t xml:space="preserve">
</t>
        </r>
        <r>
          <rPr>
            <sz val="9"/>
            <rFont val="宋体"/>
            <family val="3"/>
            <charset val="134"/>
          </rPr>
          <t>补缴押金</t>
        </r>
      </text>
    </comment>
    <comment ref="Q27" authorId="0">
      <text>
        <r>
          <rPr>
            <b/>
            <sz val="9"/>
            <rFont val="Tahoma"/>
            <family val="2"/>
          </rPr>
          <t>huangfengran:</t>
        </r>
        <r>
          <rPr>
            <sz val="9"/>
            <rFont val="Tahoma"/>
            <family val="2"/>
          </rPr>
          <t xml:space="preserve">
</t>
        </r>
        <r>
          <rPr>
            <sz val="9"/>
            <rFont val="宋体"/>
            <family val="3"/>
            <charset val="134"/>
          </rPr>
          <t>补缴押金</t>
        </r>
      </text>
    </comment>
    <comment ref="Q28" authorId="0">
      <text>
        <r>
          <rPr>
            <b/>
            <sz val="9"/>
            <rFont val="Tahoma"/>
            <family val="2"/>
          </rPr>
          <t>huangfengran:</t>
        </r>
        <r>
          <rPr>
            <sz val="9"/>
            <rFont val="Tahoma"/>
            <family val="2"/>
          </rPr>
          <t xml:space="preserve">
</t>
        </r>
        <r>
          <rPr>
            <sz val="9"/>
            <rFont val="宋体"/>
            <family val="3"/>
            <charset val="134"/>
          </rPr>
          <t>补缴押金</t>
        </r>
      </text>
    </comment>
    <comment ref="Q30" authorId="0">
      <text>
        <r>
          <rPr>
            <b/>
            <sz val="9"/>
            <rFont val="Tahoma"/>
            <family val="2"/>
          </rPr>
          <t>huangfengran:</t>
        </r>
        <r>
          <rPr>
            <sz val="9"/>
            <rFont val="Tahoma"/>
            <family val="2"/>
          </rPr>
          <t xml:space="preserve">
</t>
        </r>
        <r>
          <rPr>
            <sz val="9"/>
            <rFont val="宋体"/>
            <family val="3"/>
            <charset val="134"/>
          </rPr>
          <t>补缴</t>
        </r>
      </text>
    </comment>
    <comment ref="Q32" authorId="0">
      <text>
        <r>
          <rPr>
            <b/>
            <sz val="9"/>
            <rFont val="Tahoma"/>
            <family val="2"/>
          </rPr>
          <t>huangfengran:</t>
        </r>
        <r>
          <rPr>
            <sz val="9"/>
            <rFont val="Tahoma"/>
            <family val="2"/>
          </rPr>
          <t xml:space="preserve">
</t>
        </r>
        <r>
          <rPr>
            <sz val="9"/>
            <rFont val="宋体"/>
            <family val="3"/>
            <charset val="134"/>
          </rPr>
          <t>补缴押金</t>
        </r>
      </text>
    </comment>
    <comment ref="Q33" authorId="0">
      <text>
        <r>
          <rPr>
            <b/>
            <sz val="9"/>
            <rFont val="Tahoma"/>
            <family val="2"/>
          </rPr>
          <t>huangfengran:</t>
        </r>
        <r>
          <rPr>
            <sz val="9"/>
            <rFont val="Tahoma"/>
            <family val="2"/>
          </rPr>
          <t xml:space="preserve">
</t>
        </r>
        <r>
          <rPr>
            <sz val="9"/>
            <rFont val="宋体"/>
            <family val="3"/>
            <charset val="134"/>
          </rPr>
          <t>补缴</t>
        </r>
      </text>
    </comment>
    <comment ref="Q46" authorId="0">
      <text>
        <r>
          <rPr>
            <b/>
            <sz val="9"/>
            <rFont val="Tahoma"/>
            <family val="2"/>
          </rPr>
          <t>huangfengran:</t>
        </r>
        <r>
          <rPr>
            <sz val="9"/>
            <rFont val="Tahoma"/>
            <family val="2"/>
          </rPr>
          <t xml:space="preserve">
</t>
        </r>
        <r>
          <rPr>
            <sz val="9"/>
            <rFont val="宋体"/>
            <family val="3"/>
            <charset val="134"/>
          </rPr>
          <t>补缴押金</t>
        </r>
      </text>
    </comment>
    <comment ref="Q47" authorId="0">
      <text>
        <r>
          <rPr>
            <b/>
            <sz val="9"/>
            <rFont val="Tahoma"/>
            <family val="2"/>
          </rPr>
          <t>huangfengran:</t>
        </r>
        <r>
          <rPr>
            <sz val="9"/>
            <rFont val="Tahoma"/>
            <family val="2"/>
          </rPr>
          <t xml:space="preserve">
</t>
        </r>
        <r>
          <rPr>
            <sz val="9"/>
            <rFont val="宋体"/>
            <family val="3"/>
            <charset val="134"/>
          </rPr>
          <t>补缴押金</t>
        </r>
      </text>
    </comment>
    <comment ref="Q51"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2"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3"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4"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1753.33</t>
        </r>
      </text>
    </comment>
    <comment ref="Q55" authorId="0">
      <text>
        <r>
          <rPr>
            <b/>
            <sz val="9"/>
            <rFont val="Tahoma"/>
            <family val="2"/>
          </rPr>
          <t>huangfengran:</t>
        </r>
        <r>
          <rPr>
            <sz val="9"/>
            <rFont val="Tahoma"/>
            <family val="2"/>
          </rPr>
          <t xml:space="preserve">
</t>
        </r>
        <r>
          <rPr>
            <sz val="9"/>
            <rFont val="宋体"/>
            <family val="3"/>
            <charset val="134"/>
          </rPr>
          <t>补缴押金</t>
        </r>
        <r>
          <rPr>
            <sz val="9"/>
            <rFont val="Tahoma"/>
            <family val="2"/>
          </rPr>
          <t>1168</t>
        </r>
      </text>
    </comment>
    <comment ref="Q56"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304.8</t>
        </r>
      </text>
    </comment>
    <comment ref="Q58"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3.2</t>
        </r>
      </text>
    </comment>
    <comment ref="Q59" authorId="0">
      <text>
        <r>
          <rPr>
            <b/>
            <sz val="9"/>
            <rFont val="Tahoma"/>
            <family val="2"/>
          </rPr>
          <t>huangfengran:</t>
        </r>
        <r>
          <rPr>
            <sz val="9"/>
            <rFont val="Tahoma"/>
            <family val="2"/>
          </rPr>
          <t xml:space="preserve">
</t>
        </r>
        <r>
          <rPr>
            <sz val="9"/>
            <rFont val="宋体"/>
            <family val="3"/>
            <charset val="134"/>
          </rPr>
          <t>扩租客户，补缴押金</t>
        </r>
        <r>
          <rPr>
            <sz val="9"/>
            <rFont val="Tahoma"/>
            <family val="2"/>
          </rPr>
          <t>2700</t>
        </r>
      </text>
    </comment>
    <comment ref="Q61"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36</t>
        </r>
        <r>
          <rPr>
            <sz val="9"/>
            <rFont val="宋体"/>
            <family val="3"/>
            <charset val="134"/>
          </rPr>
          <t>元</t>
        </r>
      </text>
    </comment>
    <comment ref="Q62" authorId="0">
      <text>
        <r>
          <rPr>
            <b/>
            <sz val="9"/>
            <rFont val="Tahoma"/>
            <family val="2"/>
          </rPr>
          <t>huangfengran:</t>
        </r>
        <r>
          <rPr>
            <sz val="9"/>
            <rFont val="Tahoma"/>
            <family val="2"/>
          </rPr>
          <t xml:space="preserve">
</t>
        </r>
        <r>
          <rPr>
            <sz val="9"/>
            <rFont val="宋体"/>
            <family val="3"/>
            <charset val="134"/>
          </rPr>
          <t>补缴押金</t>
        </r>
        <r>
          <rPr>
            <sz val="9"/>
            <rFont val="Tahoma"/>
            <family val="2"/>
          </rPr>
          <t>475.2</t>
        </r>
      </text>
    </comment>
    <comment ref="Q6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803
</t>
        </r>
      </text>
    </comment>
    <comment ref="Q6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17666</t>
        </r>
      </text>
    </comment>
    <comment ref="Q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3894.55
</t>
        </r>
      </text>
    </comment>
    <comment ref="Q72"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1807.2</t>
        </r>
      </text>
    </comment>
    <comment ref="Q7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77"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扩租客户，原押金抵扩租押金，需补缴“</t>
        </r>
        <r>
          <rPr>
            <sz val="9"/>
            <rFont val="Tahoma"/>
            <family val="2"/>
          </rPr>
          <t>2809.2</t>
        </r>
      </text>
    </comment>
    <comment ref="Q7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378</t>
        </r>
      </text>
    </comment>
    <comment ref="Q8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3814.25</t>
        </r>
      </text>
    </comment>
    <comment ref="Q83" authorId="2">
      <text>
        <r>
          <rPr>
            <b/>
            <sz val="9"/>
            <rFont val="Tahoma"/>
            <family val="2"/>
          </rPr>
          <t>dinglh:</t>
        </r>
        <r>
          <rPr>
            <sz val="9"/>
            <rFont val="Tahoma"/>
            <family val="2"/>
          </rPr>
          <t xml:space="preserve">
</t>
        </r>
        <r>
          <rPr>
            <sz val="9"/>
            <rFont val="宋体"/>
            <family val="3"/>
            <charset val="134"/>
          </rPr>
          <t>前期押金转入本期</t>
        </r>
      </text>
    </comment>
    <comment ref="Q8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2690.05</t>
        </r>
      </text>
    </comment>
    <comment ref="Q8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311.16</t>
        </r>
      </text>
    </comment>
    <comment ref="Q8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6249.35</t>
        </r>
      </text>
    </comment>
    <comment ref="Q9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6817.47</t>
        </r>
      </text>
    </comment>
    <comment ref="Q9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2300</t>
        </r>
        <r>
          <rPr>
            <sz val="9"/>
            <rFont val="宋体"/>
            <family val="3"/>
            <charset val="134"/>
          </rPr>
          <t>，补缴</t>
        </r>
        <r>
          <rPr>
            <sz val="9"/>
            <rFont val="Tahoma"/>
            <family val="2"/>
          </rPr>
          <t>102.4</t>
        </r>
      </text>
    </comment>
    <comment ref="Q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9216</t>
        </r>
        <r>
          <rPr>
            <sz val="9"/>
            <rFont val="宋体"/>
            <family val="3"/>
            <charset val="134"/>
          </rPr>
          <t>，押金补缴</t>
        </r>
        <r>
          <rPr>
            <sz val="9"/>
            <rFont val="Tahoma"/>
            <family val="2"/>
          </rPr>
          <t>5184</t>
        </r>
      </text>
    </comment>
    <comment ref="Q9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续租客户补缴押金</t>
        </r>
        <r>
          <rPr>
            <sz val="9"/>
            <rFont val="Tahoma"/>
            <family val="2"/>
          </rPr>
          <t>486</t>
        </r>
      </text>
    </comment>
    <comment ref="Q9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631.8</t>
        </r>
      </text>
    </comment>
    <comment ref="Q10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2860.68</t>
        </r>
      </text>
    </comment>
    <comment ref="Q10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3285</t>
        </r>
      </text>
    </comment>
    <comment ref="Q10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569.4</t>
        </r>
      </text>
    </comment>
    <comment ref="Q111"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2"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630</t>
        </r>
      </text>
    </comment>
    <comment ref="Q11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4290</t>
        </r>
      </text>
    </comment>
    <comment ref="Q11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210</t>
        </r>
      </text>
    </comment>
    <comment ref="Q11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3871</t>
        </r>
      </text>
    </comment>
    <comment ref="Q11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189</t>
        </r>
      </text>
    </comment>
    <comment ref="Q11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1314</t>
        </r>
      </text>
    </comment>
    <comment ref="Q120"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2026.8</t>
        </r>
      </text>
    </comment>
    <comment ref="Q12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1806.75</t>
        </r>
      </text>
    </comment>
    <comment ref="Q12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续租客户，前期押金转为本续租期押金</t>
        </r>
      </text>
    </comment>
    <comment ref="Q12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315</t>
        </r>
        <r>
          <rPr>
            <sz val="9"/>
            <rFont val="宋体"/>
            <family val="3"/>
            <charset val="134"/>
          </rPr>
          <t>元。</t>
        </r>
      </text>
    </comment>
    <comment ref="Q12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15421.25</t>
        </r>
      </text>
    </comment>
    <comment ref="Q12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2607.2</t>
        </r>
      </text>
    </comment>
    <comment ref="Q13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13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1539</t>
        </r>
      </text>
    </comment>
    <comment ref="Q13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1060.33</t>
        </r>
      </text>
    </comment>
    <comment ref="Q134" authorId="1">
      <text>
        <r>
          <rPr>
            <b/>
            <sz val="9"/>
            <rFont val="宋体"/>
            <family val="3"/>
            <charset val="134"/>
          </rPr>
          <t>黄凤然</t>
        </r>
        <r>
          <rPr>
            <b/>
            <sz val="9"/>
            <rFont val="Tahoma"/>
            <family val="2"/>
          </rPr>
          <t>:</t>
        </r>
        <r>
          <rPr>
            <b/>
            <sz val="9"/>
            <rFont val="宋体"/>
            <family val="3"/>
            <charset val="134"/>
          </rPr>
          <t>续租客户，押金补齐</t>
        </r>
        <r>
          <rPr>
            <b/>
            <sz val="9"/>
            <rFont val="Tahoma"/>
            <family val="2"/>
          </rPr>
          <t>3236.1</t>
        </r>
      </text>
    </comment>
    <comment ref="Q13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1091.35</t>
        </r>
      </text>
    </comment>
    <comment ref="Q1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122.5</t>
        </r>
      </text>
    </comment>
    <comment ref="Q138"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3879.68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<sst xmlns="http://schemas.openxmlformats.org/spreadsheetml/2006/main" count="9262" uniqueCount="3903">
  <si>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</si>
  <si>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</si>
  <si>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</si>
  <si>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</si>
  <si>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</si>
  <si>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</si>
  <si>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</si>
  <si>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</si>
  <si>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</si>
  <si>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</si>
  <si>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</si>
  <si>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</si>
  <si>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</si>
  <si>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</si>
  <si>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</si>
  <si>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</si>
  <si>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</si>
  <si>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</si>
  <si>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</si>
  <si>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</si>
  <si>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</si>
  <si>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</si>
  <si>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</si>
  <si>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</si>
  <si>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</si>
  <si>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</si>
  <si>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</si>
  <si>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</si>
  <si>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</si>
  <si>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</si>
  <si>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</si>
  <si>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</si>
  <si>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</si>
  <si>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</si>
  <si>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</si>
  <si>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</si>
  <si>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</si>
  <si>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</si>
  <si>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</si>
  <si>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</si>
  <si>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</si>
  <si>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</si>
  <si>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</si>
  <si>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</si>
  <si>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</si>
  <si>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</si>
  <si>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</si>
  <si>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</si>
  <si>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</si>
  <si>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</si>
  <si>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</si>
  <si>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</si>
  <si>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</si>
  <si>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</si>
  <si>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</si>
  <si>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</si>
  <si>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</si>
  <si>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</si>
  <si>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</si>
  <si>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</si>
  <si>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</si>
  <si>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</si>
  <si>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</si>
  <si>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</si>
  <si>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</si>
  <si>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</si>
  <si>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</si>
  <si>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</si>
  <si>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</si>
  <si>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</si>
  <si>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</si>
  <si>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</si>
  <si>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</si>
  <si>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</si>
  <si>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</si>
  <si>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</si>
  <si>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</si>
  <si>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</si>
  <si>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</si>
  <si>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</si>
  <si>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</si>
  <si>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</si>
  <si>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</si>
  <si>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</si>
  <si>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</si>
  <si>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</si>
  <si>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</si>
  <si>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</si>
  <si>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</si>
  <si>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</si>
  <si>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</si>
  <si>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</si>
  <si>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</si>
  <si>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</si>
  <si>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</si>
  <si>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</si>
  <si>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</si>
  <si>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</si>
  <si>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</si>
  <si>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</si>
  <si>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</si>
  <si>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</si>
  <si>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</si>
  <si>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</si>
  <si>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</si>
  <si>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</si>
  <si>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</si>
  <si>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</si>
  <si>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</si>
  <si>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</si>
  <si>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</si>
  <si>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</si>
  <si>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</si>
  <si>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</si>
  <si>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</si>
  <si>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</si>
  <si>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</si>
  <si>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</si>
  <si>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</si>
  <si>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</si>
  <si>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</si>
  <si>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</si>
  <si>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</si>
  <si>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</si>
  <si>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</si>
  <si>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</si>
  <si>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</si>
  <si>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</si>
  <si>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</si>
  <si>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</si>
  <si>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</si>
  <si>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</si>
  <si>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</si>
  <si>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</si>
  <si>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</si>
  <si>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</si>
  <si>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</si>
  <si>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</si>
  <si>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</si>
  <si>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</si>
  <si>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</si>
  <si>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</si>
  <si>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</si>
  <si>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</si>
  <si>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</si>
  <si>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</si>
  <si>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</si>
  <si>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</si>
  <si>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</si>
  <si>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</si>
  <si>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</si>
  <si>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</si>
  <si>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</si>
  <si>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</si>
  <si>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</si>
  <si>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</si>
  <si>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</si>
  <si>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</si>
  <si>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</si>
  <si>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</si>
  <si>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</si>
  <si>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</si>
  <si>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</si>
  <si>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</si>
  <si>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</si>
  <si>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</si>
  <si>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</si>
  <si>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</si>
  <si>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</si>
  <si>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</si>
  <si>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</si>
  <si>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</si>
  <si>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</si>
  <si>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</si>
  <si>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</si>
  <si>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</si>
  <si>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</si>
  <si>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</si>
  <si>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</si>
  <si>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</si>
  <si>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</si>
  <si>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</si>
  <si>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</si>
  <si>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</si>
  <si>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</si>
  <si>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</si>
  <si>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</si>
  <si>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</si>
  <si>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</si>
  <si>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</si>
  <si>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</si>
  <si>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</si>
  <si>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</si>
  <si>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</si>
  <si>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</si>
  <si>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</si>
  <si>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</si>
  <si>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</si>
  <si>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</si>
  <si>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</si>
  <si>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</si>
  <si>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</si>
  <si>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</si>
  <si>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</si>
  <si>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</si>
  <si>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</si>
  <si>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</si>
  <si>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</si>
  <si>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</si>
  <si>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</si>
  <si>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</si>
  <si>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</si>
  <si>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</si>
  <si>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</si>
  <si>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</si>
  <si>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</si>
  <si>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</si>
  <si>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</si>
  <si>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</si>
  <si>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</si>
  <si>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</si>
  <si>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</si>
  <si>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</si>
  <si>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</si>
  <si>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</si>
  <si>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</si>
  <si>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</si>
  <si>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</si>
  <si>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</si>
  <si>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</si>
  <si>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</si>
  <si>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</si>
  <si>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</si>
  <si>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</si>
  <si>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</si>
  <si>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</si>
  <si>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</si>
  <si>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</si>
  <si>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</si>
  <si>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</si>
  <si>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</si>
  <si>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</si>
  <si>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</si>
  <si>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</si>
  <si>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</si>
  <si>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</si>
  <si>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</si>
  <si>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</si>
  <si>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</si>
  <si>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</si>
  <si>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</si>
  <si>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</si>
  <si>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</si>
  <si>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</si>
  <si>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</si>
  <si>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</si>
  <si>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</si>
  <si>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</si>
  <si>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</si>
  <si>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</si>
  <si>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</si>
  <si>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</si>
  <si>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</si>
  <si>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</si>
  <si>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</si>
  <si>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</si>
  <si>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</si>
  <si>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</si>
  <si>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</si>
  <si>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</si>
  <si>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</si>
  <si>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</si>
  <si>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</si>
  <si>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</si>
  <si>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</si>
  <si>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</si>
  <si>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</si>
  <si>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</si>
  <si>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</si>
  <si>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</si>
  <si>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</si>
  <si>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</si>
  <si>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</si>
  <si>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</si>
  <si>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</si>
  <si>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</si>
  <si>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</si>
  <si>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</si>
  <si>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</si>
  <si>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</si>
  <si>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</si>
  <si>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</si>
  <si>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</si>
  <si>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</si>
  <si>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</si>
  <si>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</si>
  <si>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</si>
  <si>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</si>
  <si>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</si>
  <si>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</si>
  <si>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</si>
  <si>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</si>
  <si>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</si>
  <si>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</si>
  <si>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</si>
  <si>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</si>
  <si>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</si>
  <si>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</si>
  <si>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</si>
  <si>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</si>
  <si>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</si>
  <si>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</si>
  <si>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</si>
  <si>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</si>
  <si>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</si>
  <si>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</si>
  <si>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</si>
  <si>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</si>
  <si>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</si>
  <si>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</si>
  <si>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</si>
  <si>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</si>
  <si>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</si>
  <si>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</si>
  <si>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</si>
  <si>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</si>
  <si>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</si>
  <si>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</si>
  <si>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</si>
  <si>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</si>
  <si>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</si>
  <si>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</si>
  <si>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</si>
  <si>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</si>
  <si>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</si>
  <si>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</si>
  <si>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</si>
  <si>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</si>
  <si>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</si>
  <si>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</si>
  <si>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</si>
  <si>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</si>
  <si>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</si>
  <si>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</si>
  <si>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</si>
  <si>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</si>
  <si>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</si>
  <si>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</si>
  <si>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</si>
  <si>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</si>
  <si>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</si>
  <si>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</si>
  <si>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</si>
  <si>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</si>
  <si>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</si>
  <si>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</si>
  <si>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</si>
  <si>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</si>
  <si>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</si>
  <si>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</si>
  <si>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</si>
  <si>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</si>
  <si>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</si>
  <si>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</si>
  <si>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</si>
  <si>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</si>
  <si>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</si>
  <si>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</si>
  <si>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</si>
  <si>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</si>
  <si>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</si>
  <si>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</si>
  <si>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</si>
  <si>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</si>
  <si>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</si>
  <si>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</si>
  <si>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</si>
  <si>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</si>
  <si>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</si>
  <si>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</si>
  <si>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</si>
  <si>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</si>
  <si>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</si>
  <si>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</si>
  <si>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</si>
  <si>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</si>
  <si>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</si>
  <si>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</si>
  <si>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</si>
  <si>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</si>
  <si>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</si>
  <si>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</si>
  <si>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</si>
  <si>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</si>
  <si>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</si>
  <si>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</si>
  <si>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</si>
  <si>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</si>
  <si>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</si>
  <si>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</si>
  <si>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</si>
  <si>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</si>
  <si>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</si>
  <si>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</si>
  <si>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</si>
  <si>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</si>
  <si>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</si>
  <si>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</si>
  <si>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</si>
  <si>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</si>
  <si>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</si>
  <si>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</si>
  <si>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</si>
  <si>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</si>
  <si>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</si>
  <si>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</si>
  <si>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</si>
  <si>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</si>
  <si>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</si>
  <si>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</si>
  <si>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</si>
  <si>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</si>
  <si>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</si>
  <si>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</si>
  <si>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</si>
  <si>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</si>
  <si>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</si>
  <si>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</si>
  <si>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</si>
  <si>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</si>
  <si>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</si>
  <si>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</si>
  <si>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</si>
  <si>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</si>
  <si>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</si>
  <si>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</si>
  <si>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</si>
  <si>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</si>
  <si>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</si>
  <si>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</si>
  <si>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</si>
  <si>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</si>
  <si>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</si>
  <si>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</si>
  <si>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</si>
  <si>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</si>
  <si>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</si>
  <si>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</si>
  <si>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</si>
  <si>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</si>
  <si>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</si>
  <si>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</si>
  <si>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</si>
  <si>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</si>
  <si>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</si>
  <si>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</si>
  <si>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</si>
  <si>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</si>
  <si>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</si>
  <si>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</si>
  <si>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</si>
  <si>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</si>
  <si>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</si>
  <si>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</si>
  <si>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</si>
  <si>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</si>
  <si>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</si>
  <si>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</si>
  <si>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</si>
  <si>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</si>
  <si>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</si>
  <si>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</si>
  <si>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</si>
  <si>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</si>
  <si>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</si>
  <si>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</si>
  <si>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</si>
  <si>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</si>
  <si>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</si>
  <si>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</si>
  <si>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</si>
  <si>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</si>
  <si>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</si>
  <si>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</si>
  <si>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</si>
  <si>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</si>
  <si>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</si>
  <si>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</si>
  <si>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</si>
  <si>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</si>
  <si>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</si>
  <si>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</si>
  <si>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</si>
  <si>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</si>
  <si>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</si>
  <si>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</si>
  <si>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</si>
  <si>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</si>
  <si>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</si>
  <si>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</si>
  <si>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</si>
  <si>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</si>
  <si>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</si>
  <si>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</si>
  <si>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</si>
  <si>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</si>
  <si>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</si>
  <si>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</si>
  <si>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</si>
  <si>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</si>
  <si>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</si>
  <si>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</si>
  <si>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</si>
  <si>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</si>
  <si>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</si>
  <si>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</si>
  <si>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</si>
  <si>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</si>
  <si>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</si>
  <si>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</si>
  <si>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</si>
  <si>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</si>
  <si>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</si>
  <si>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</si>
  <si>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</si>
  <si>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</si>
  <si>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</si>
  <si>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</si>
  <si>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</si>
  <si>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</si>
  <si>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</si>
  <si>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</si>
  <si>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</si>
  <si>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</si>
  <si>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</si>
  <si>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</si>
  <si>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</si>
  <si>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</si>
  <si>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</si>
  <si>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</si>
  <si>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</si>
  <si>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</si>
  <si>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</si>
  <si>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</si>
  <si>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</si>
  <si>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</si>
  <si>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</si>
  <si>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</si>
  <si>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</si>
  <si>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</si>
  <si>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</si>
  <si>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</si>
  <si>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</si>
  <si>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</si>
  <si>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</si>
  <si>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</si>
  <si>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</si>
  <si>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</si>
  <si>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</si>
  <si>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</si>
  <si>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</si>
  <si>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</si>
  <si>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</si>
  <si>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</si>
  <si>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</si>
  <si>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</si>
  <si>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</si>
  <si>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</si>
  <si>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</si>
  <si>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</si>
  <si>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</si>
  <si>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</si>
  <si>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</si>
  <si>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</si>
  <si>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</si>
  <si>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</si>
  <si>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</si>
  <si>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</si>
  <si>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</si>
  <si>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</si>
  <si>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</si>
  <si>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</si>
  <si>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</si>
  <si>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</si>
  <si>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</si>
  <si>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</si>
  <si>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</si>
  <si>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</si>
  <si>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</si>
  <si>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</si>
  <si>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</si>
  <si>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</si>
  <si>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</si>
  <si>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</si>
  <si>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</si>
  <si>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</si>
  <si>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</si>
  <si>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</si>
  <si>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</si>
  <si>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</si>
  <si>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</si>
  <si>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</si>
  <si>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</si>
  <si>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</si>
  <si>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</si>
  <si>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</si>
  <si>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</si>
  <si>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</si>
  <si>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</si>
  <si>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</si>
  <si>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</si>
  <si>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</si>
  <si>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</si>
  <si>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</si>
  <si>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</si>
  <si>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</si>
  <si>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</si>
  <si>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</si>
  <si>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</si>
  <si>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</si>
  <si>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</si>
  <si>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</si>
  <si>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</si>
  <si>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</si>
  <si>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</si>
  <si>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</si>
  <si>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</si>
  <si>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</si>
  <si>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</si>
  <si>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</si>
  <si>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</si>
  <si>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</si>
  <si>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</si>
  <si>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</si>
  <si>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</si>
  <si>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</si>
  <si>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</si>
  <si>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</si>
  <si>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</si>
  <si>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</si>
  <si>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</si>
  <si>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</si>
  <si>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</si>
  <si>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</si>
  <si>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</si>
  <si>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</si>
  <si>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</si>
  <si>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</si>
  <si>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</si>
  <si>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</si>
  <si>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</si>
  <si>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</si>
  <si>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</si>
  <si>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</si>
  <si>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</si>
  <si>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</si>
  <si>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</si>
  <si>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</si>
  <si>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</si>
  <si>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</si>
  <si>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</si>
  <si>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</si>
  <si>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</si>
  <si>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</si>
  <si>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</si>
  <si>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</si>
  <si>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</si>
  <si>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</si>
  <si>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</si>
  <si>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</si>
  <si>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</si>
  <si>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</si>
  <si>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</si>
  <si>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</si>
  <si>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</si>
  <si>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</si>
  <si>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</si>
  <si>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</si>
  <si>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</si>
  <si>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</si>
  <si>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</si>
  <si>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</si>
  <si>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</si>
  <si>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</si>
  <si>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</si>
  <si>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</si>
  <si>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</si>
  <si>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</si>
  <si>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</si>
  <si>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</si>
  <si>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</si>
  <si>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</si>
  <si>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</si>
  <si>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</si>
  <si>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</si>
  <si>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</si>
  <si>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</si>
  <si>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</si>
  <si>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</si>
  <si>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</si>
  <si>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</si>
  <si>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</si>
  <si>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</si>
  <si>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</si>
  <si>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</si>
  <si>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</si>
  <si>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</si>
  <si>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</si>
  <si>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</si>
  <si>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</si>
  <si>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</si>
  <si>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</si>
  <si>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</si>
  <si>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</si>
  <si>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</si>
  <si>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</si>
  <si>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</si>
  <si>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</si>
  <si>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</si>
  <si>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</si>
  <si>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</si>
  <si>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</si>
  <si>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</si>
  <si>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</si>
  <si>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</si>
  <si>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</si>
  <si>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</si>
  <si>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</si>
  <si>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</si>
  <si>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</si>
  <si>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</si>
  <si>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</si>
  <si>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</si>
  <si>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</si>
  <si>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</si>
  <si>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</si>
  <si>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</si>
  <si>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</si>
  <si>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</si>
  <si>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</si>
  <si>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</si>
  <si>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</si>
  <si>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</si>
  <si>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</si>
  <si>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</si>
  <si>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</si>
  <si>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</si>
  <si>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</si>
  <si>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</si>
  <si>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</si>
  <si>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</si>
  <si>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</si>
  <si>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</si>
  <si>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</si>
  <si>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</si>
  <si>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</si>
  <si>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</si>
  <si>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</si>
  <si>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</si>
  <si>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</si>
  <si>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</si>
  <si>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</si>
  <si>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</si>
  <si>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</si>
  <si>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</si>
  <si>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</si>
  <si>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</si>
  <si>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</si>
  <si>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</si>
  <si>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</si>
  <si>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</si>
  <si>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</si>
  <si>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</si>
  <si>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</si>
  <si>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</si>
  <si>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</si>
  <si>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</si>
  <si>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</si>
  <si>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</si>
  <si>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</si>
  <si>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</si>
  <si>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</si>
  <si>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</si>
  <si>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</si>
  <si>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</si>
  <si>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</si>
  <si>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</si>
  <si>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</si>
  <si>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</si>
  <si>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</si>
  <si>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</si>
  <si>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</si>
  <si>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</si>
  <si>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</si>
  <si>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</si>
  <si>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</si>
  <si>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</si>
  <si>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</si>
  <si>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</si>
  <si>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</si>
  <si>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</si>
  <si>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</si>
  <si>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</si>
  <si>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</si>
  <si>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</si>
  <si>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</si>
  <si>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</si>
  <si>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</si>
  <si>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</si>
  <si>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</si>
  <si>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</si>
  <si>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</si>
  <si>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</si>
  <si>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</si>
  <si>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</si>
  <si>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</si>
  <si>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</si>
  <si>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</si>
  <si>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</si>
  <si>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</si>
  <si>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</si>
  <si>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</si>
  <si>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</si>
  <si>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</si>
  <si>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</si>
  <si>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</si>
  <si>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</si>
  <si>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</si>
  <si>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</si>
  <si>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</si>
  <si>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</si>
  <si>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</si>
  <si>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</si>
  <si>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</si>
  <si>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</si>
  <si>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</si>
  <si>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</si>
  <si>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</si>
  <si>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</si>
  <si>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</si>
  <si>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</si>
  <si>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</si>
  <si>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</si>
  <si>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</si>
  <si>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</si>
  <si>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</si>
  <si>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</si>
  <si>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</si>
  <si>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</si>
  <si>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</si>
  <si>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</si>
  <si>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</si>
  <si>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</si>
  <si>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</si>
  <si>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</si>
  <si>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</si>
  <si>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</si>
  <si>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</si>
  <si>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</si>
  <si>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</si>
  <si>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</si>
  <si>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</si>
  <si>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</si>
  <si>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</si>
  <si>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</si>
  <si>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</si>
  <si>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</si>
  <si>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</si>
  <si>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</si>
  <si>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</si>
  <si>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</si>
  <si>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</si>
  <si>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</si>
  <si>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</si>
  <si>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</si>
  <si>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</si>
  <si>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</si>
  <si>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</si>
  <si>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</si>
  <si>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</si>
  <si>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</si>
  <si>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</si>
  <si>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</si>
  <si>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</si>
  <si>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</si>
  <si>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</si>
  <si>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</si>
  <si>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</si>
  <si>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</si>
  <si>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</si>
  <si>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</si>
  <si>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</si>
  <si>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</si>
  <si>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</si>
  <si>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</si>
  <si>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</si>
  <si>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</si>
  <si>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</si>
  <si>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</si>
  <si>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</si>
  <si>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</si>
  <si>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</si>
  <si>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</si>
  <si>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</si>
  <si>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</si>
  <si>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</si>
  <si>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</si>
  <si>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</si>
  <si>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</si>
  <si>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</si>
  <si>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</si>
  <si>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</si>
  <si>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</si>
  <si>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</si>
  <si>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</si>
  <si>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</si>
  <si>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</si>
  <si>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</si>
  <si>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</si>
  <si>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</si>
  <si>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</si>
  <si>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</si>
  <si>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</si>
  <si>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</si>
  <si>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</si>
  <si>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</si>
  <si>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</si>
  <si>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</si>
  <si>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</si>
  <si>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</si>
  <si>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</si>
  <si>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</si>
  <si>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</si>
  <si>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</si>
  <si>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</si>
  <si>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</si>
  <si>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</si>
  <si>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</si>
  <si>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</si>
  <si>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</si>
  <si>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</si>
  <si>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</si>
  <si>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</si>
  <si>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</si>
  <si>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</si>
  <si>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</si>
  <si>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</si>
  <si>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</si>
  <si>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</si>
  <si>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</si>
  <si>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</si>
  <si>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</si>
  <si>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</si>
  <si>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</si>
  <si>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</si>
  <si>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</si>
  <si>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</si>
  <si>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</si>
  <si>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</si>
  <si>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</si>
  <si>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</si>
  <si>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</si>
  <si>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</si>
  <si>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</si>
  <si>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</si>
  <si>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</si>
  <si>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</si>
  <si>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</si>
  <si>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</si>
  <si>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</si>
  <si>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</si>
  <si>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</si>
  <si>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</si>
  <si>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</si>
  <si>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</si>
  <si>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</si>
  <si>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</si>
  <si>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</si>
  <si>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</si>
  <si>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</si>
  <si>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</si>
  <si>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</si>
  <si>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</si>
  <si>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</si>
  <si>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</si>
  <si>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</si>
  <si>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</si>
  <si>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</si>
  <si>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</si>
  <si>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</si>
  <si>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</si>
  <si>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</si>
  <si>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</si>
  <si>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</si>
  <si>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</si>
  <si>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</si>
  <si>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</si>
  <si>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</si>
  <si>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</si>
  <si>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</si>
  <si>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</si>
  <si>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</si>
  <si>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</si>
  <si>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</si>
  <si>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</si>
  <si>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</si>
  <si>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</si>
  <si>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</si>
  <si>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</si>
  <si>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</si>
  <si>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</si>
  <si>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</si>
  <si>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</si>
  <si>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</si>
  <si>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</si>
  <si>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</si>
  <si>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</si>
  <si>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</si>
  <si>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</si>
  <si>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</si>
  <si>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</si>
  <si>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</si>
  <si>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</si>
  <si>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</si>
  <si>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</si>
  <si>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</si>
  <si>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</si>
  <si>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</si>
  <si>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</si>
  <si>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</si>
  <si>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</si>
  <si>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</si>
  <si>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</si>
  <si>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</si>
  <si>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</si>
  <si>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</si>
  <si>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</si>
  <si>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</si>
  <si>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</si>
  <si>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</si>
  <si>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</si>
  <si>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</si>
  <si>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</si>
  <si>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</si>
  <si>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</si>
  <si>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</si>
  <si>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</si>
  <si>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</si>
  <si>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</si>
  <si>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</si>
  <si>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</si>
  <si>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</si>
  <si>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</si>
  <si>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</si>
  <si>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</si>
  <si>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</si>
  <si>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</si>
  <si>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</si>
  <si>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</si>
  <si>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</si>
  <si>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</si>
  <si>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</si>
  <si>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</si>
  <si>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</si>
  <si>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</si>
  <si>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</si>
  <si>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</si>
  <si>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</si>
  <si>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</si>
  <si>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</si>
  <si>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</si>
  <si>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</si>
  <si>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</si>
  <si>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</si>
  <si>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</si>
  <si>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</si>
  <si>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</si>
  <si>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</si>
  <si>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</si>
  <si>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</si>
  <si>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</si>
  <si>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</si>
  <si>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</si>
  <si>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</si>
  <si>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</si>
  <si>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</si>
  <si>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</si>
  <si>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</si>
  <si>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</si>
  <si>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</si>
  <si>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</si>
  <si>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</si>
  <si>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</si>
  <si>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</si>
  <si>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</si>
  <si>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</si>
  <si>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</si>
  <si>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</si>
  <si>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</si>
  <si>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</si>
  <si>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</si>
  <si>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</si>
  <si>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</si>
  <si>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</si>
  <si>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</si>
  <si>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</si>
  <si>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</si>
  <si>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</si>
  <si>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</si>
  <si>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</si>
  <si>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</si>
  <si>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</si>
  <si>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</si>
  <si>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</si>
  <si>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</si>
  <si>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</si>
  <si>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</si>
  <si>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</si>
  <si>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</si>
  <si>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</si>
  <si>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</si>
  <si>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</si>
  <si>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</si>
  <si>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</si>
  <si>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</si>
  <si>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</si>
  <si>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</si>
  <si>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</si>
  <si>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</si>
  <si>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</si>
  <si>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</si>
  <si>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</si>
  <si>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</si>
  <si>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</si>
  <si>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</si>
  <si>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</si>
  <si>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</si>
  <si>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</si>
  <si>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</si>
  <si>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</si>
  <si>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</si>
  <si>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</si>
  <si>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</si>
  <si>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</si>
  <si>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</si>
  <si>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</si>
  <si>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</si>
  <si>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</si>
  <si>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</si>
  <si>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</si>
  <si>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</si>
  <si>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</si>
  <si>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</si>
  <si>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</si>
  <si>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</si>
  <si>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</si>
  <si>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</si>
  <si>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</si>
  <si>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</si>
  <si>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</si>
  <si>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</si>
  <si>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</si>
  <si>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</si>
  <si>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</si>
  <si>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</si>
  <si>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</si>
  <si>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</si>
  <si>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</si>
  <si>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</si>
  <si>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</si>
  <si>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</si>
  <si>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</si>
  <si>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</si>
  <si>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</si>
  <si>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</si>
  <si>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</si>
  <si>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</si>
  <si>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</si>
  <si>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</si>
  <si>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</si>
  <si>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</si>
  <si>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</si>
  <si>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</si>
  <si>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</si>
  <si>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</si>
  <si>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</si>
  <si>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</si>
  <si>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</si>
  <si>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</si>
  <si>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</si>
  <si>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</si>
  <si>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</si>
  <si>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</si>
  <si>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</si>
  <si>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</si>
  <si>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</si>
  <si>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</si>
  <si>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</si>
  <si>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</si>
  <si>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</si>
  <si>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</si>
  <si>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</si>
  <si>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</si>
  <si>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</si>
  <si>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</si>
  <si>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</si>
  <si>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</si>
  <si>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</si>
  <si>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</si>
  <si>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</si>
  <si>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</si>
  <si>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</si>
  <si>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</si>
  <si>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</si>
  <si>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</si>
  <si>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</si>
  <si>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</si>
  <si>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</si>
  <si>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</si>
  <si>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</si>
  <si>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</si>
  <si>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</si>
  <si>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</si>
  <si>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</si>
  <si>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</si>
  <si>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</si>
  <si>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</si>
  <si>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</si>
  <si>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</si>
  <si>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</si>
  <si>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</si>
  <si>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</si>
  <si>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</si>
  <si>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</si>
  <si>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</si>
  <si>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</si>
  <si>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</si>
  <si>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</si>
  <si>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</si>
  <si>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</si>
  <si>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</si>
  <si>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</si>
  <si>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</si>
  <si>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</si>
  <si>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</si>
  <si>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</si>
  <si>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</si>
  <si>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</si>
  <si>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</si>
  <si>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</si>
  <si>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</si>
  <si>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</si>
  <si>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</si>
  <si>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</si>
  <si>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</si>
  <si>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</si>
  <si>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</si>
  <si>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</si>
  <si>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</si>
  <si>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</si>
  <si>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</si>
  <si>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</si>
  <si>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</si>
  <si>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</si>
  <si>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</si>
  <si>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</si>
  <si>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</si>
  <si>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</si>
  <si>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</si>
  <si>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</si>
  <si>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</si>
  <si>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</si>
  <si>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</si>
  <si>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</si>
  <si>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</si>
  <si>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</si>
  <si>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</si>
  <si>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</si>
  <si>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</si>
  <si>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</si>
  <si>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</si>
  <si>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</si>
  <si>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</si>
  <si>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</si>
  <si>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</si>
  <si>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</si>
  <si>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</si>
  <si>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</si>
  <si>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</si>
  <si>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</si>
  <si>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</si>
  <si>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</si>
  <si>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</si>
  <si>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</si>
  <si>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</si>
  <si>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</si>
  <si>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</si>
  <si>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</si>
  <si>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</si>
  <si>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</si>
  <si>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</si>
  <si>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</si>
  <si>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</si>
  <si>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</si>
  <si>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</si>
  <si>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</si>
  <si>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</si>
  <si>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</si>
  <si>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</si>
  <si>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</si>
  <si>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</si>
  <si>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</si>
  <si>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</si>
  <si>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</si>
  <si>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</si>
  <si>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</si>
  <si>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</si>
  <si>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</si>
  <si>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</si>
  <si>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</si>
  <si>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</si>
  <si>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</si>
  <si>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</si>
  <si>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</si>
  <si>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</si>
  <si>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</si>
  <si>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</si>
  <si>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</si>
  <si>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</si>
  <si>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</si>
  <si>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</si>
  <si>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</si>
  <si>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</si>
  <si>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</si>
  <si>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</si>
  <si>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</si>
  <si>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</si>
  <si>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</si>
  <si>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</si>
  <si>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</si>
  <si>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</si>
  <si>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</si>
  <si>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</si>
  <si>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</si>
  <si>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</si>
  <si>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</si>
  <si>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</si>
  <si>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</si>
  <si>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</si>
  <si>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</si>
  <si>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</si>
  <si>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</si>
  <si>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</si>
  <si>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</si>
  <si>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</si>
  <si>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</si>
  <si>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</si>
  <si>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</si>
  <si>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</si>
  <si>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</si>
  <si>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</si>
  <si>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</si>
  <si>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</si>
  <si>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</si>
  <si>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</si>
  <si>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</si>
  <si>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</si>
  <si>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</si>
  <si>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</si>
  <si>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</si>
  <si>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</si>
  <si>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</si>
  <si>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</si>
  <si>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</si>
  <si>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</si>
  <si>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</si>
  <si>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</si>
  <si>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</si>
  <si>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</si>
  <si>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</si>
  <si>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</si>
  <si>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</si>
  <si>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</si>
  <si>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</si>
  <si>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</si>
  <si>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</si>
  <si>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</si>
  <si>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</si>
  <si>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</si>
  <si>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</si>
  <si>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</si>
  <si>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</si>
  <si>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</si>
  <si>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</si>
  <si>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</si>
  <si>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</si>
  <si>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</si>
  <si>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</si>
  <si>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</si>
  <si>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</si>
  <si>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</si>
  <si>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</si>
  <si>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</si>
  <si>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</si>
  <si>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</si>
  <si>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</si>
  <si>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</si>
  <si>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</si>
  <si>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</si>
  <si>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</si>
  <si>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</si>
  <si>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</si>
  <si>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</si>
  <si>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</si>
  <si>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</si>
  <si>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</si>
  <si>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</si>
  <si>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</si>
  <si>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</si>
  <si>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</si>
  <si>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</si>
  <si>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</si>
  <si>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</si>
  <si>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</si>
  <si>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</si>
  <si>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</si>
  <si>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</si>
  <si>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</si>
  <si>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</si>
  <si>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</si>
  <si>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</si>
  <si>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</si>
  <si>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</si>
  <si>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</si>
  <si>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</si>
  <si>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</si>
  <si>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</si>
  <si>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</si>
  <si>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</si>
  <si>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</si>
  <si>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</si>
  <si>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</si>
  <si>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</si>
  <si>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</si>
  <si>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</si>
  <si>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</si>
  <si>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</si>
  <si>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</si>
  <si>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</si>
  <si>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</si>
  <si>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</si>
  <si>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</si>
  <si>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</si>
  <si>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</si>
  <si>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</si>
  <si>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</si>
  <si>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</si>
  <si>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</si>
  <si>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</si>
  <si>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</si>
  <si>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</si>
  <si>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</si>
  <si>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</si>
  <si>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</si>
  <si>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</si>
  <si>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</si>
  <si>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</si>
  <si>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</si>
  <si>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</si>
  <si>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</si>
  <si>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</si>
  <si>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</si>
  <si>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</si>
  <si>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</si>
  <si>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</si>
  <si>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</si>
  <si>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</si>
  <si>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</si>
  <si>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</si>
  <si>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</si>
  <si>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</si>
  <si>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</si>
  <si>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</si>
  <si>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</si>
  <si>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</si>
  <si>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</si>
  <si>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</si>
  <si>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</si>
  <si>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</si>
  <si>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</si>
  <si>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</si>
  <si>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</si>
  <si>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</si>
  <si>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</si>
  <si>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</si>
  <si>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</si>
  <si>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</si>
  <si>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</si>
  <si>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</si>
  <si>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</si>
  <si>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</si>
  <si>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</si>
  <si>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</si>
  <si>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</si>
  <si>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</si>
  <si>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</si>
  <si>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</si>
  <si>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</si>
  <si>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</si>
  <si>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</si>
  <si>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</si>
  <si>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</si>
  <si>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</si>
  <si>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</si>
  <si>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</si>
  <si>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</si>
  <si>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</si>
  <si>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</si>
  <si>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</si>
  <si>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</si>
  <si>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</si>
  <si>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</si>
  <si>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</si>
  <si>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</si>
  <si>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</si>
  <si>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</si>
  <si>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</si>
  <si>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</si>
  <si>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</si>
  <si>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</si>
  <si>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</si>
  <si>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</si>
  <si>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</si>
  <si>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</si>
  <si>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</si>
  <si>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</si>
  <si>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</si>
  <si>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</si>
  <si>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</si>
  <si>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</si>
  <si>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</si>
  <si>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</si>
  <si>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</si>
  <si>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</si>
  <si>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</si>
  <si>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</si>
  <si>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</si>
  <si>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</si>
  <si>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</si>
  <si>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</si>
  <si>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</si>
  <si>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</si>
  <si>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</si>
  <si>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</si>
  <si>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</si>
  <si>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</si>
  <si>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</si>
  <si>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</si>
  <si>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</si>
  <si>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</si>
  <si>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</si>
  <si>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</si>
  <si>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</si>
  <si>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</si>
  <si>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</si>
  <si>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</si>
  <si>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</si>
  <si>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</si>
  <si>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</si>
  <si>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</si>
  <si>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</si>
  <si>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</si>
  <si>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</si>
  <si>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</si>
  <si>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</si>
  <si>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</si>
  <si>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</si>
  <si>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</si>
  <si>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</si>
  <si>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</si>
  <si>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</si>
  <si>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</si>
  <si>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</si>
  <si>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</si>
  <si>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</si>
  <si>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</si>
  <si>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</si>
  <si>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</si>
  <si>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</si>
  <si>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</si>
  <si>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</si>
  <si>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</si>
  <si>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</si>
  <si>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</si>
  <si>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</si>
  <si>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</si>
  <si>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</si>
  <si>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</si>
  <si>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</si>
  <si>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</si>
  <si>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</si>
  <si>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</si>
  <si>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</si>
  <si>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</si>
  <si>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</si>
  <si>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</si>
  <si>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</si>
  <si>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</si>
  <si>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</si>
  <si>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</si>
  <si>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</si>
  <si>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</si>
  <si>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</si>
  <si>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</si>
  <si>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</si>
  <si>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</si>
  <si>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</si>
  <si>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</si>
  <si>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</si>
  <si>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</si>
  <si>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</si>
  <si>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</si>
  <si>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</si>
  <si>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</si>
  <si>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</si>
  <si>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</si>
  <si>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</si>
  <si>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</si>
  <si>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</si>
  <si>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</si>
  <si>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</si>
  <si>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</si>
  <si>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</si>
  <si>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</si>
  <si>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</si>
  <si>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</si>
  <si>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</si>
  <si>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</si>
  <si>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</si>
  <si>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</si>
  <si>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</si>
  <si>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</si>
  <si>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</si>
  <si>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</si>
  <si>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</si>
  <si>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</si>
  <si>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</si>
  <si>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</si>
  <si>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</si>
  <si>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</si>
  <si>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</si>
  <si>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</si>
  <si>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</si>
  <si>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</si>
  <si>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</si>
  <si>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</si>
  <si>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</si>
  <si>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</si>
  <si>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</si>
  <si>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</si>
  <si>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</si>
  <si>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</si>
  <si>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</si>
  <si>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</si>
  <si>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</si>
  <si>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</si>
  <si>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</si>
  <si>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</si>
  <si>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</si>
  <si>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</si>
  <si>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</si>
  <si>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</si>
  <si>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</si>
  <si>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</si>
  <si>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</si>
  <si>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</si>
  <si>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</si>
  <si>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</si>
  <si>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</si>
  <si>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</si>
  <si>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</si>
  <si>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</si>
  <si>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</si>
  <si>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</si>
  <si>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</si>
  <si>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</si>
  <si>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</si>
  <si>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</si>
  <si>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</si>
  <si>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</si>
  <si>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</si>
  <si>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</si>
  <si>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</si>
  <si>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</si>
  <si>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</si>
  <si>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</si>
  <si>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</si>
  <si>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</si>
  <si>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</si>
  <si>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</si>
  <si>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</si>
  <si>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</si>
  <si>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</si>
  <si>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</si>
  <si>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</si>
  <si>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</si>
  <si>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</si>
  <si>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</si>
  <si>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</si>
  <si>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</si>
  <si>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</si>
  <si>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</si>
  <si>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</si>
  <si>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</si>
  <si>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</si>
  <si>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</si>
  <si>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</si>
  <si>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</si>
  <si>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</si>
  <si>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</si>
  <si>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</si>
  <si>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</si>
  <si>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</si>
  <si>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</si>
  <si>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</si>
  <si>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</si>
  <si>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</si>
  <si>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</si>
  <si>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</si>
  <si>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</si>
  <si>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</si>
  <si>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</si>
  <si>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</si>
  <si>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</si>
  <si>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</si>
  <si>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</si>
  <si>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</si>
  <si>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</si>
  <si>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</si>
  <si>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</si>
  <si>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</si>
  <si>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</si>
  <si>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</si>
  <si>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</si>
  <si>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</si>
  <si>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</si>
  <si>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</si>
  <si>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</si>
  <si>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</si>
  <si>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</si>
  <si>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</si>
  <si>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</si>
  <si>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</si>
  <si>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</si>
  <si>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</si>
  <si>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</si>
  <si>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</si>
  <si>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</si>
  <si>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</si>
  <si>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</si>
  <si>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</si>
  <si>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</si>
  <si>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</si>
  <si>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</si>
  <si>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</si>
  <si>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</si>
  <si>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</si>
  <si>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</si>
  <si>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</si>
  <si>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</si>
  <si>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</si>
  <si>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</si>
  <si>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</si>
  <si>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</si>
  <si>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</si>
  <si>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</si>
  <si>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</si>
  <si>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</si>
  <si>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</si>
  <si>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</si>
  <si>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</si>
  <si>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</si>
  <si>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</si>
  <si>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</si>
  <si>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</si>
  <si>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</si>
  <si>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</si>
  <si>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</si>
  <si>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</si>
  <si>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</si>
  <si>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</si>
  <si>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</si>
  <si>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</si>
  <si>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</si>
  <si>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</si>
  <si>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</si>
  <si>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</si>
  <si>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</si>
  <si>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</si>
  <si>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</si>
  <si>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</si>
  <si>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</si>
  <si>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</si>
  <si>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</si>
  <si>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</si>
  <si>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</si>
  <si>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</si>
  <si>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</si>
  <si>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</si>
  <si>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</si>
  <si>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</si>
  <si>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</si>
  <si>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</si>
  <si>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</si>
  <si>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</si>
  <si>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</si>
  <si>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</si>
  <si>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</si>
  <si>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</si>
  <si>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</si>
  <si>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</si>
  <si>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</si>
  <si>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</si>
  <si>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</si>
  <si>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</si>
  <si>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</si>
  <si>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</si>
  <si>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</si>
  <si>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</si>
  <si>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</si>
  <si>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</si>
  <si>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</si>
  <si>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</si>
  <si>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</si>
  <si>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</si>
  <si>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</si>
  <si>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</si>
  <si>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</si>
  <si>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</si>
  <si>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</si>
  <si>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</si>
  <si>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</si>
  <si>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</si>
  <si>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</si>
  <si>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</si>
  <si>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</si>
  <si>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</si>
  <si>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</si>
  <si>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</si>
  <si>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</si>
  <si>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</si>
  <si>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</si>
  <si>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</si>
  <si>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</si>
  <si>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</si>
  <si>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</si>
  <si>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</si>
  <si>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</si>
  <si>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</si>
  <si>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</si>
  <si>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</si>
  <si>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</si>
  <si>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</si>
  <si>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</si>
  <si>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</si>
  <si>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</si>
  <si>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</si>
  <si>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</si>
  <si>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</si>
  <si>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</si>
  <si>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</si>
  <si>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</si>
  <si>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</si>
  <si>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</si>
  <si>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</si>
  <si>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</si>
  <si>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</si>
  <si>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</si>
  <si>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</si>
  <si>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</si>
  <si>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</si>
  <si>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</si>
  <si>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</si>
  <si>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</si>
  <si>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</si>
  <si>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</si>
  <si>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</si>
  <si>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</si>
  <si>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</si>
  <si>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</si>
  <si>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</si>
  <si>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</si>
  <si>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</si>
  <si>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</si>
  <si>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</si>
  <si>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</si>
  <si>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</si>
  <si>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</si>
  <si>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</si>
  <si>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</si>
  <si>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</si>
  <si>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</si>
  <si>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</si>
  <si>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</si>
  <si>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</si>
  <si>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</si>
  <si>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</si>
  <si>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</si>
  <si>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</si>
  <si>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</si>
  <si>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</si>
  <si>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</si>
  <si>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</si>
  <si>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</si>
  <si>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</si>
  <si>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</si>
  <si>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</si>
  <si>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</si>
  <si>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</si>
  <si>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</si>
  <si>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</si>
  <si>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</si>
  <si>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</si>
  <si>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</si>
  <si>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</si>
  <si>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</si>
  <si>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</si>
  <si>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</si>
  <si>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</si>
  <si>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</si>
  <si>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</si>
  <si>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</si>
  <si>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</si>
  <si>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</si>
  <si>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</si>
  <si>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</si>
  <si>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</si>
  <si>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</si>
  <si>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</si>
  <si>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</si>
  <si>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</si>
  <si>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</si>
  <si>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</si>
  <si>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</si>
  <si>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</si>
  <si>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</si>
  <si>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</si>
  <si>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</si>
  <si>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</si>
  <si>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</si>
  <si>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</si>
  <si>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</si>
  <si>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</si>
  <si>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</si>
  <si>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</si>
  <si>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</si>
  <si>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</si>
  <si>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</si>
  <si>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</si>
  <si>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</si>
  <si>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</si>
  <si>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</si>
  <si>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</si>
  <si>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</si>
  <si>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</si>
  <si>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</si>
  <si>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</si>
  <si>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</si>
  <si>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</si>
  <si>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</si>
  <si>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</si>
  <si>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</si>
  <si>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</si>
  <si>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</si>
  <si>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</si>
  <si>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</si>
  <si>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</si>
  <si>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</si>
  <si>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</si>
  <si>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</si>
  <si>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</si>
  <si>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</si>
  <si>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</si>
  <si>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</si>
  <si>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</si>
  <si>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</si>
  <si>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</si>
  <si>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</si>
  <si>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</si>
  <si>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</si>
  <si>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</si>
  <si>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</si>
  <si>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</si>
  <si>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</si>
  <si>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</si>
  <si>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</si>
  <si>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</si>
  <si>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</si>
  <si>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</si>
  <si>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</si>
  <si>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</si>
  <si>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</si>
  <si>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</si>
  <si>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</si>
  <si>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</si>
  <si>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</si>
  <si>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</si>
  <si>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</si>
  <si>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</si>
  <si>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</si>
  <si>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</si>
  <si>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</si>
  <si>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</si>
  <si>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</si>
  <si>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</si>
  <si>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</si>
  <si>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</si>
  <si>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</si>
  <si>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</si>
  <si>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</si>
  <si>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</si>
  <si>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</si>
  <si>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</si>
  <si>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</si>
  <si>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</si>
  <si>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</si>
  <si>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</si>
  <si>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</si>
  <si>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</si>
  <si>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</si>
  <si>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</si>
  <si>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</si>
  <si>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</si>
  <si>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</si>
  <si>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</si>
  <si>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</si>
  <si>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</si>
  <si>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</si>
  <si>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</si>
  <si>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</si>
  <si>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</si>
  <si>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</si>
  <si>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</si>
  <si>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</si>
  <si>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</si>
  <si>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</si>
  <si>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</si>
  <si>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</si>
  <si>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</si>
  <si>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</si>
  <si>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</si>
  <si>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</si>
  <si>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</si>
  <si>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</si>
  <si>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</si>
  <si>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</si>
  <si>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</si>
  <si>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</si>
  <si>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</si>
  <si>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</si>
  <si>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</si>
  <si>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</si>
  <si>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</si>
  <si>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</si>
  <si>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</si>
  <si>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</si>
  <si>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</si>
  <si>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</si>
  <si>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</si>
  <si>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</si>
  <si>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</si>
  <si>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</si>
  <si>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</si>
  <si>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</si>
  <si>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</si>
  <si>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</si>
  <si>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</si>
  <si>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</si>
  <si>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</si>
  <si>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</si>
  <si>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</si>
  <si>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</si>
  <si>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</si>
  <si>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</si>
  <si>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</si>
  <si>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</si>
  <si>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</si>
  <si>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</si>
  <si>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</si>
  <si>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</si>
  <si>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</si>
  <si>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</si>
  <si>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</si>
  <si>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</si>
  <si>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</si>
  <si>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</si>
  <si>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</si>
  <si>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</si>
  <si>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</si>
  <si>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</si>
  <si>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</si>
  <si>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</si>
  <si>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</si>
  <si>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</si>
  <si>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</si>
  <si>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</si>
  <si>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</si>
  <si>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</si>
  <si>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</si>
  <si>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</si>
  <si>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</si>
  <si>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</si>
  <si>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</si>
  <si>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</si>
  <si>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</si>
  <si>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</si>
  <si>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</si>
  <si>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</si>
  <si>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</si>
  <si>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</si>
  <si>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</si>
  <si>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</si>
  <si>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</si>
  <si>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</si>
  <si>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</si>
  <si>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</si>
  <si>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</si>
  <si>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</si>
  <si>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</si>
  <si>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</si>
  <si>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</si>
  <si>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</si>
  <si>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</si>
  <si>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</si>
  <si>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</si>
  <si>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</si>
  <si>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</si>
  <si>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</si>
  <si>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</si>
  <si>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</si>
  <si>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</si>
  <si>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</si>
  <si>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</si>
  <si>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</si>
  <si>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</si>
  <si>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</si>
  <si>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</si>
  <si>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</si>
  <si>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</si>
  <si>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</si>
  <si>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</si>
  <si>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</si>
  <si>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</si>
  <si>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</si>
  <si>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</si>
  <si>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</si>
  <si>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</si>
  <si>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</si>
  <si>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</si>
  <si>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</si>
  <si>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</si>
  <si>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</si>
  <si>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</si>
  <si>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</si>
  <si>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</si>
  <si>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</si>
  <si>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</si>
  <si>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</si>
  <si>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</si>
  <si>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</si>
  <si>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</si>
  <si>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</si>
  <si>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</si>
  <si>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</si>
  <si>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</si>
  <si>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</si>
  <si>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</si>
  <si>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</si>
  <si>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</si>
  <si>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</si>
  <si>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</si>
  <si>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</si>
  <si>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</si>
  <si>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</si>
  <si>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</si>
  <si>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</si>
  <si>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</si>
  <si>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</si>
  <si>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</si>
  <si>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</si>
  <si>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</si>
  <si>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</si>
  <si>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</si>
  <si>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</si>
  <si>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</si>
  <si>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</si>
  <si>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</si>
  <si>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</si>
  <si>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</si>
  <si>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</si>
  <si>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</si>
  <si>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</si>
  <si>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</si>
  <si>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</si>
  <si>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</si>
  <si>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</si>
  <si>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</si>
  <si>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</si>
  <si>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</si>
  <si>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</si>
  <si>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</si>
  <si>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</si>
  <si>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</si>
  <si>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</si>
  <si>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</si>
  <si>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</si>
  <si>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</si>
  <si>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</si>
  <si>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</si>
  <si>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</si>
  <si>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</si>
  <si>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</si>
  <si>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</si>
  <si>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</si>
  <si>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</si>
  <si>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</si>
  <si>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</si>
  <si>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</si>
  <si>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</si>
  <si>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</si>
  <si>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</si>
  <si>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</si>
  <si>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</si>
  <si>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</si>
  <si>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</si>
  <si>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</si>
  <si>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</si>
  <si>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</si>
  <si>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</si>
  <si>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</si>
  <si>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</si>
  <si>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</si>
  <si>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</si>
  <si>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</si>
  <si>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</si>
  <si>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</si>
  <si>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</si>
  <si>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</si>
  <si>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</si>
  <si>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</si>
  <si>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</si>
  <si>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</si>
  <si>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</si>
  <si>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</si>
  <si>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</si>
  <si>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</si>
  <si>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</si>
  <si>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</si>
  <si>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</si>
  <si>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</si>
  <si>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</si>
  <si>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</si>
  <si>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</si>
  <si>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</si>
  <si>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</si>
  <si>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</si>
  <si>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</si>
  <si>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</si>
  <si>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</si>
  <si>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</si>
  <si>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</si>
  <si>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</si>
  <si>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</si>
  <si>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</si>
  <si>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</si>
  <si>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</si>
  <si>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</si>
  <si>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</si>
  <si>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</si>
  <si>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</si>
  <si>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</si>
  <si>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</si>
  <si>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</si>
  <si>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</si>
  <si>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</si>
  <si>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</si>
  <si>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</si>
  <si>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</si>
  <si>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</si>
  <si>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</si>
  <si>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</si>
  <si>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</si>
  <si>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</si>
  <si>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</si>
  <si>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</si>
  <si>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</si>
  <si>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</si>
  <si>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</si>
  <si>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</si>
  <si>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</si>
  <si>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</si>
  <si>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</si>
  <si>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</si>
  <si>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</si>
  <si>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</si>
  <si>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</si>
  <si>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</si>
  <si>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</si>
  <si>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</si>
  <si>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</si>
  <si>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</si>
  <si>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</si>
  <si>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</si>
  <si>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</si>
  <si>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</si>
  <si>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</si>
  <si>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</si>
  <si>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</si>
  <si>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</si>
  <si>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</si>
  <si>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</si>
  <si>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</si>
  <si>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</si>
  <si>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</si>
  <si>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</si>
  <si>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</si>
  <si>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</si>
  <si>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</si>
  <si>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</si>
  <si>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</si>
  <si>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</si>
  <si>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</si>
  <si>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</si>
  <si>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</si>
  <si>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</si>
  <si>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</si>
  <si>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</si>
  <si>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</si>
  <si>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</si>
  <si>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</si>
  <si>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</si>
  <si>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</si>
  <si>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</si>
  <si>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</si>
  <si>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</si>
  <si>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</si>
  <si>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</si>
  <si>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</si>
  <si>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</si>
  <si>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</si>
  <si>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</si>
  <si>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</si>
  <si>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</si>
  <si>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</si>
  <si>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</si>
  <si>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</si>
  <si>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</si>
  <si>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</si>
  <si>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</si>
  <si>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</si>
  <si>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</si>
  <si>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</si>
  <si>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</si>
  <si>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</si>
  <si>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</si>
  <si>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</si>
  <si>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</si>
  <si>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</si>
  <si>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</si>
  <si>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</si>
  <si>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</si>
  <si>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</si>
  <si>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</si>
  <si>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</si>
  <si>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</si>
  <si>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</si>
  <si>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</si>
  <si>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</si>
  <si>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</si>
  <si>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</si>
  <si>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</si>
  <si>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</si>
  <si>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</si>
  <si>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</si>
  <si>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</si>
  <si>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</si>
  <si>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</si>
  <si>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</si>
  <si>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</si>
  <si>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</si>
  <si>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</si>
  <si>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</si>
  <si>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</si>
  <si>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</si>
  <si>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</si>
  <si>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</si>
  <si>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</si>
  <si>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</si>
  <si>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</si>
  <si>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</si>
  <si>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</si>
  <si>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</si>
  <si>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</si>
  <si>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</si>
  <si>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</si>
  <si>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</si>
  <si>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</si>
  <si>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</si>
  <si>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</si>
  <si>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</si>
  <si>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</si>
  <si>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</si>
  <si>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</si>
  <si>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</si>
  <si>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</si>
  <si>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</si>
  <si>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</si>
  <si>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</si>
  <si>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</si>
  <si>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</si>
  <si>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</si>
  <si>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</si>
  <si>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</si>
  <si>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</si>
  <si>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</si>
  <si>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</si>
  <si>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</si>
  <si>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</si>
  <si>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</si>
  <si>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</si>
  <si>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</si>
  <si>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</si>
  <si>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</si>
  <si>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</si>
  <si>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</si>
  <si>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</si>
  <si>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</si>
  <si>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</si>
  <si>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</si>
  <si>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</si>
  <si>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</si>
  <si>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</si>
  <si>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</si>
  <si>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</si>
  <si>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</si>
  <si>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</si>
  <si>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</si>
  <si>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</si>
  <si>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</si>
  <si>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</si>
  <si>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</si>
  <si>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</si>
  <si>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</si>
  <si>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</si>
  <si>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</si>
  <si>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</si>
  <si>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</si>
  <si>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</si>
  <si>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</si>
  <si>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</si>
  <si>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</si>
  <si>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</si>
  <si>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</si>
  <si>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</si>
  <si>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</si>
  <si>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</si>
  <si>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</si>
  <si>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</si>
  <si>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</si>
  <si>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</si>
  <si>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</si>
  <si>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</si>
  <si>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</si>
  <si>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</si>
  <si>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</si>
  <si>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</si>
  <si>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</si>
  <si>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</si>
  <si>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</si>
  <si>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</si>
  <si>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</si>
  <si>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</si>
  <si>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</si>
  <si>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</si>
  <si>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</si>
  <si>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</si>
  <si>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</si>
  <si>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</si>
  <si>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</si>
  <si>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</si>
  <si>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</si>
  <si>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</si>
  <si>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</si>
  <si>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</si>
  <si>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</si>
  <si>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</si>
  <si>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</si>
  <si>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</si>
  <si>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</si>
  <si>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</si>
  <si>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</si>
  <si>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</si>
  <si>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</si>
  <si>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</si>
  <si>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</si>
  <si>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</si>
  <si>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</si>
  <si>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</si>
  <si>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</si>
  <si>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</si>
  <si>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</si>
  <si>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</si>
  <si>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</si>
  <si>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</si>
  <si>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</si>
  <si>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</si>
  <si>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</si>
  <si>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</si>
  <si>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</si>
  <si>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</si>
  <si>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</si>
  <si>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</si>
  <si>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</si>
  <si>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</si>
  <si>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</si>
  <si>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</si>
  <si>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</si>
  <si>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</si>
  <si>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</si>
  <si>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</si>
  <si>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</si>
  <si>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</si>
  <si>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</si>
  <si>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</si>
  <si>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</si>
  <si>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</si>
  <si>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</si>
  <si>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</si>
  <si>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</si>
  <si>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</si>
  <si>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</si>
  <si>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</si>
  <si>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</si>
  <si>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</si>
  <si>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</si>
  <si>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</si>
  <si>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</si>
  <si>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</si>
  <si>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</si>
  <si>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</si>
  <si>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</si>
  <si>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</si>
  <si>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</si>
  <si>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</si>
  <si>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</si>
  <si>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</si>
  <si>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</si>
  <si>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</si>
  <si>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</si>
  <si>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</si>
  <si>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</si>
  <si>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</si>
  <si>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</si>
  <si>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</si>
  <si>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</si>
  <si>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</si>
  <si>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</si>
  <si>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</si>
  <si>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</si>
  <si>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</si>
  <si>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</si>
  <si>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</si>
  <si>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</si>
  <si>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</si>
  <si>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</si>
  <si>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</si>
  <si>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</si>
  <si>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</si>
  <si>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</si>
  <si>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</si>
  <si>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</si>
  <si>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</si>
  <si>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</si>
  <si>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</si>
  <si>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</si>
  <si>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</si>
  <si>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</si>
  <si>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</si>
  <si>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</si>
  <si>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</si>
  <si>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</si>
  <si>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</si>
  <si>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</si>
  <si>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</si>
  <si>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</si>
  <si>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</si>
  <si>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</si>
  <si>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</si>
  <si>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</si>
  <si>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</si>
  <si>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</si>
  <si>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</si>
  <si>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</si>
  <si>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</si>
  <si>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</si>
  <si>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</si>
  <si>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</si>
  <si>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</si>
  <si>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</si>
  <si>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</si>
  <si>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</si>
  <si>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</si>
  <si>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</si>
  <si>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</si>
  <si>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</si>
  <si>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</si>
  <si>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</si>
  <si>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</si>
  <si>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</si>
  <si>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</si>
  <si>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</si>
  <si>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</si>
  <si>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</si>
  <si>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</si>
  <si>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</si>
  <si>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</si>
  <si>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</si>
  <si>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</si>
  <si>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</si>
  <si>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</si>
  <si>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</si>
  <si>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</si>
  <si>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</si>
  <si>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</si>
  <si>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</si>
  <si>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</si>
  <si>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</si>
  <si>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</si>
  <si>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</si>
  <si>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</si>
  <si>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</si>
  <si>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</si>
  <si>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</si>
  <si>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</si>
  <si>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</si>
  <si>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</si>
  <si>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</si>
  <si>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</si>
  <si>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</si>
  <si>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</si>
  <si>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</si>
  <si>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</si>
  <si>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</si>
  <si>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</si>
  <si>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</si>
  <si>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</si>
  <si>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</si>
  <si>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</si>
  <si>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</si>
  <si>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</si>
  <si>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</si>
  <si>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</si>
  <si>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</si>
  <si>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</si>
  <si>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</si>
  <si>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</si>
  <si>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</si>
  <si>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</si>
  <si>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</si>
  <si>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</si>
  <si>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</si>
  <si>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</si>
  <si>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</si>
  <si>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</si>
  <si>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</si>
  <si>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</si>
  <si>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</si>
  <si>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</si>
  <si>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</si>
  <si>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</si>
  <si>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</si>
  <si>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</si>
  <si>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</si>
  <si>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</si>
  <si>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</si>
  <si>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</si>
  <si>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</si>
  <si>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</si>
  <si>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</si>
  <si>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</si>
  <si>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</si>
  <si>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</si>
  <si>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</si>
  <si>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</si>
  <si>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</si>
  <si>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</si>
  <si>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</si>
  <si>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</si>
  <si>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</si>
  <si>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</si>
  <si>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</si>
  <si>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</si>
  <si>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</si>
  <si>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</si>
  <si>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</si>
  <si>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</si>
  <si>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</si>
  <si>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</si>
  <si>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</si>
  <si>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</si>
  <si>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</si>
  <si>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</si>
  <si>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</si>
  <si>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</si>
  <si>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</si>
  <si>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</si>
  <si>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</si>
  <si>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</si>
  <si>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</si>
  <si>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</si>
  <si>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</si>
  <si>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</si>
  <si>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</si>
  <si>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</si>
  <si>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</si>
  <si>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</si>
  <si>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</si>
  <si>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</si>
  <si>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</si>
  <si>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</si>
  <si>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</si>
  <si>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</si>
  <si>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</si>
  <si>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</si>
  <si>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</si>
  <si>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</si>
  <si>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</si>
  <si>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</si>
  <si>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</si>
  <si>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</si>
  <si>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</si>
  <si>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</si>
  <si>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</si>
  <si>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</si>
  <si>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</si>
  <si>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</si>
  <si>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</si>
  <si>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</si>
  <si>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</si>
  <si>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</si>
  <si>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</si>
  <si>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</si>
  <si>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</si>
  <si>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</si>
  <si>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</si>
  <si>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</si>
  <si>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</si>
  <si>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</si>
  <si>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</si>
  <si>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</si>
  <si>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</si>
  <si>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</si>
  <si>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</si>
  <si>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</si>
  <si>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</si>
  <si>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</si>
  <si>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</si>
  <si>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</si>
  <si>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</si>
  <si>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</si>
  <si>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</si>
  <si>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</si>
  <si>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</si>
  <si>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</si>
  <si>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</si>
  <si>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</si>
  <si>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</si>
  <si>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</si>
  <si>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</si>
  <si>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</si>
  <si>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</si>
  <si>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</si>
  <si>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</si>
  <si>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</si>
  <si>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</si>
  <si>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</si>
  <si>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</si>
  <si>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</si>
  <si>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</si>
  <si>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</si>
  <si>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</si>
  <si>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</si>
  <si>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</si>
  <si>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</si>
  <si>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</si>
  <si>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</si>
  <si>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</si>
  <si>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</si>
  <si>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</si>
  <si>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</si>
  <si>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</si>
  <si>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</si>
  <si>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</si>
  <si>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</si>
  <si>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</si>
  <si>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</si>
  <si>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</si>
  <si>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</si>
  <si>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</si>
  <si>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</si>
  <si>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</si>
  <si>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</si>
  <si>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</si>
  <si>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</si>
  <si>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</si>
  <si>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</si>
  <si>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</si>
  <si>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</si>
  <si>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</si>
  <si>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</si>
  <si>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</si>
  <si>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</si>
  <si>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</si>
  <si>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</si>
  <si>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</si>
  <si>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</si>
  <si>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</si>
  <si>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</si>
  <si>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</si>
  <si>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</si>
  <si>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</si>
  <si>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</si>
  <si>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</si>
  <si>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</si>
  <si>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</si>
  <si>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</si>
  <si>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</si>
  <si>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</si>
  <si>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</si>
  <si>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</si>
  <si>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</si>
  <si>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</si>
  <si>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</si>
  <si>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</si>
  <si>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</si>
  <si>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</si>
  <si>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</si>
  <si>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</si>
  <si>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</si>
  <si>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</si>
  <si>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</si>
  <si>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</si>
  <si>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</si>
  <si>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</si>
  <si>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</si>
  <si>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</si>
  <si>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</si>
  <si>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</si>
  <si>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</si>
  <si>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</si>
  <si>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</si>
  <si>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</si>
  <si>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</si>
  <si>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</si>
  <si>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</si>
  <si>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</si>
  <si>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</si>
  <si>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</si>
  <si>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</si>
  <si>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</si>
  <si>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</si>
  <si>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</si>
  <si>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</si>
  <si>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</si>
  <si>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</si>
  <si>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</si>
  <si>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</si>
  <si>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</si>
  <si>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</si>
  <si>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</si>
  <si>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</si>
  <si>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</si>
  <si>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</si>
  <si>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</si>
  <si>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</si>
  <si>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</si>
  <si>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</si>
  <si>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</si>
  <si>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</si>
  <si>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</si>
  <si>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</si>
  <si>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</si>
  <si>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</si>
  <si>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</si>
  <si>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</si>
  <si>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</si>
  <si>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</si>
  <si>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</si>
  <si>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</si>
  <si>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</si>
  <si>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</si>
  <si>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</si>
  <si>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</si>
  <si>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</si>
  <si>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</si>
  <si>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</si>
  <si>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</si>
  <si>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</si>
  <si>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</si>
  <si>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</si>
  <si>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</si>
  <si>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</si>
  <si>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</si>
  <si>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</si>
  <si>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</si>
  <si>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</si>
  <si>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</si>
  <si>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</si>
  <si>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</si>
  <si>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</si>
  <si>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</si>
  <si>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</si>
  <si>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</si>
  <si>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</si>
  <si>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</si>
  <si>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</si>
  <si>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</si>
  <si>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</si>
  <si>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</si>
  <si>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</si>
  <si>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</si>
  <si>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</si>
  <si>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</si>
  <si>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</si>
  <si>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</si>
  <si>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</si>
  <si>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</si>
  <si>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</si>
  <si>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</si>
  <si>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</si>
  <si>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</si>
  <si>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</si>
  <si>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</si>
  <si>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</si>
  <si>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</si>
  <si>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</si>
  <si>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</si>
  <si>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</si>
  <si>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</si>
  <si>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</si>
  <si>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</si>
  <si>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</si>
  <si>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</si>
  <si>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</si>
  <si>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</si>
  <si>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</si>
  <si>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</si>
  <si>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</si>
  <si>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</si>
  <si>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</si>
  <si>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</si>
  <si>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</si>
  <si>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</si>
  <si>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</si>
  <si>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</si>
  <si>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</si>
  <si>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</si>
  <si>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</si>
  <si>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</si>
  <si>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</si>
  <si>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</si>
  <si>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</si>
  <si>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</si>
  <si>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</si>
  <si>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</si>
  <si>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</si>
  <si>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</si>
  <si>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</si>
  <si>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</si>
  <si>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</si>
  <si>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</si>
  <si>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</si>
  <si>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</si>
  <si>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</si>
  <si>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</si>
  <si>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</si>
  <si>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</si>
  <si>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</si>
  <si>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</si>
  <si>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</si>
  <si>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</si>
  <si>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</si>
  <si>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</si>
  <si>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</si>
  <si>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</si>
  <si>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</si>
  <si>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</si>
  <si>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</si>
  <si>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</si>
  <si>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</si>
  <si>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</si>
  <si>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</si>
  <si>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</si>
  <si>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</si>
  <si>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</si>
  <si>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</si>
  <si>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</si>
  <si>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</si>
  <si>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</si>
  <si>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</si>
  <si>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</si>
  <si>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</si>
  <si>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</si>
  <si>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</si>
  <si>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</si>
  <si>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</si>
  <si>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</si>
  <si>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</si>
  <si>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</si>
  <si>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</si>
  <si>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</si>
  <si>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</si>
  <si>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</si>
  <si>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</si>
  <si>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</si>
  <si>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</si>
  <si>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</si>
  <si>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</si>
  <si>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</si>
  <si>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</si>
  <si>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</si>
  <si>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</si>
  <si>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</si>
  <si>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</si>
  <si>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</si>
  <si>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</si>
  <si>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</si>
  <si>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</si>
  <si>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</si>
  <si>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</si>
  <si>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</si>
  <si>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</si>
  <si>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</si>
  <si>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</si>
  <si>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</si>
  <si>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</si>
  <si>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</si>
  <si>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</si>
  <si>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</si>
  <si>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</si>
  <si>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</si>
  <si>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</si>
  <si>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</si>
  <si>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</si>
  <si>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</si>
  <si>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</si>
  <si>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</si>
  <si>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</si>
  <si>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</si>
  <si>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</si>
  <si>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</si>
  <si>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</si>
  <si>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</si>
  <si>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</si>
  <si>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</si>
  <si>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</si>
  <si>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</si>
  <si>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</si>
  <si>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</si>
  <si>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</si>
  <si>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</si>
  <si>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</si>
  <si>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</si>
  <si>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</si>
  <si>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</si>
  <si>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</si>
  <si>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</si>
  <si>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</si>
  <si>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</si>
  <si>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</si>
  <si>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</si>
  <si>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</si>
  <si>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</si>
  <si>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</si>
  <si>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</si>
  <si>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</si>
  <si>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</si>
  <si>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</si>
  <si>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</si>
  <si>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</si>
  <si>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</si>
  <si>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</si>
  <si>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</si>
  <si>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</si>
  <si>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</si>
  <si>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</si>
  <si>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</si>
  <si>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</si>
  <si>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</si>
  <si>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</si>
  <si>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</si>
  <si>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</si>
  <si>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</si>
  <si>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</si>
  <si>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</si>
  <si>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</si>
  <si>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</si>
  <si>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</si>
  <si>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</si>
  <si>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</si>
  <si>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</si>
  <si>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</si>
  <si>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</si>
  <si>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</si>
  <si>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</si>
  <si>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</si>
  <si>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</si>
  <si>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</si>
  <si>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</si>
  <si>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</si>
  <si>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</si>
  <si>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</si>
  <si>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</si>
  <si>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</si>
  <si>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</si>
  <si>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</si>
  <si>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</si>
  <si>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</si>
  <si>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</si>
  <si>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</si>
  <si>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</si>
  <si>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</si>
  <si>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</si>
  <si>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</si>
  <si>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</si>
  <si>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</si>
  <si>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</si>
  <si>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</si>
  <si>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</si>
  <si>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</si>
  <si>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</si>
  <si>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</si>
  <si>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</si>
  <si>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</si>
  <si>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</si>
  <si>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</si>
  <si>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</si>
  <si>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</si>
  <si>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</si>
  <si>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</si>
  <si>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</si>
  <si>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</si>
  <si>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</si>
  <si>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</si>
  <si>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</si>
  <si>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</si>
  <si>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</si>
  <si>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</si>
  <si>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</si>
  <si>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</si>
  <si>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</si>
  <si>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</si>
  <si>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</si>
  <si>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</si>
  <si>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</si>
  <si>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</si>
  <si>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</si>
  <si>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</si>
  <si>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</si>
  <si>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</si>
  <si>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</si>
  <si>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</si>
  <si>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</si>
  <si>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</si>
  <si>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办公楼</t>
  </si>
  <si>
    <t>是</t>
  </si>
  <si>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</si>
  <si>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</si>
  <si>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</si>
  <si>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</si>
  <si>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</si>
  <si>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</si>
  <si>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</si>
  <si>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</si>
  <si>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</si>
  <si>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</si>
  <si>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</si>
  <si>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</si>
  <si>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</si>
  <si>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成本比率</t>
  </si>
  <si>
    <t>地上</t>
    <phoneticPr fontId="3" type="noConversion"/>
  </si>
  <si>
    <t>地下</t>
  </si>
  <si>
    <t>现房</t>
    <phoneticPr fontId="3" type="noConversion"/>
  </si>
  <si>
    <t>不动产权证书</t>
    <phoneticPr fontId="140" type="noConversion"/>
  </si>
  <si>
    <r>
      <t>1</t>
    </r>
    <r>
      <rPr>
        <sz val="10"/>
        <color indexed="8"/>
        <rFont val="宋体"/>
        <family val="3"/>
        <charset val="134"/>
      </rPr>
      <t>幢</t>
    </r>
    <phoneticPr fontId="3" type="noConversion"/>
  </si>
  <si>
    <r>
      <t>B1-8</t>
    </r>
    <r>
      <rPr>
        <sz val="10"/>
        <color indexed="8"/>
        <rFont val="宋体"/>
        <family val="3"/>
        <charset val="134"/>
      </rPr>
      <t>层</t>
    </r>
    <phoneticPr fontId="3" type="noConversion"/>
  </si>
  <si>
    <t>京（2020）通不动产权第0016689号</t>
    <phoneticPr fontId="140"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</si>
  <si>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</si>
  <si>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</si>
  <si>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</si>
  <si>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</si>
  <si>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终止日期</t>
    <phoneticPr fontId="140" type="noConversion"/>
  </si>
  <si>
    <t>土地面积</t>
    <phoneticPr fontId="140" type="noConversion"/>
  </si>
  <si>
    <t>土地</t>
    <phoneticPr fontId="140" type="noConversion"/>
  </si>
  <si>
    <t>小计</t>
    <phoneticPr fontId="140" type="noConversion"/>
  </si>
  <si>
    <t>京（2020）通不动产权第0016690号</t>
  </si>
  <si>
    <t>2022规自（开）建字0028号</t>
    <phoneticPr fontId="140" type="noConversion"/>
  </si>
  <si>
    <t>一期</t>
    <phoneticPr fontId="140" type="noConversion"/>
  </si>
  <si>
    <t>二期</t>
    <phoneticPr fontId="140" type="noConversion"/>
  </si>
  <si>
    <t>建筑面积</t>
    <phoneticPr fontId="140" type="noConversion"/>
  </si>
  <si>
    <t>楼层</t>
    <phoneticPr fontId="140" type="noConversion"/>
  </si>
  <si>
    <t>B2-6层</t>
    <phoneticPr fontId="140" type="noConversion"/>
  </si>
  <si>
    <t>规证附图</t>
    <phoneticPr fontId="140" type="noConversion"/>
  </si>
  <si>
    <t>合计</t>
    <phoneticPr fontId="140" type="noConversion"/>
  </si>
  <si>
    <t>序号</t>
  </si>
  <si>
    <t>资产公司合同号</t>
  </si>
  <si>
    <t>房租合同编码</t>
  </si>
  <si>
    <t>客户公司名称</t>
  </si>
  <si>
    <t>租赁位置</t>
  </si>
  <si>
    <t>签订日期</t>
  </si>
  <si>
    <t>免租期</t>
  </si>
  <si>
    <t>合同有效期</t>
  </si>
  <si>
    <t>合同到期日</t>
  </si>
  <si>
    <t>合同到期警示期</t>
  </si>
  <si>
    <t>提前付款期</t>
  </si>
  <si>
    <t>付款方式</t>
  </si>
  <si>
    <t>房租金额</t>
  </si>
  <si>
    <t>房租总金额</t>
  </si>
  <si>
    <t>房租每平每日单价</t>
  </si>
  <si>
    <t>面积</t>
  </si>
  <si>
    <t>押金</t>
  </si>
  <si>
    <t>当前租约单价</t>
    <phoneticPr fontId="140" type="noConversion"/>
  </si>
  <si>
    <t>TLHG20201113</t>
  </si>
  <si>
    <t>众鑫泰达（北京）企业管理有限公司</t>
  </si>
  <si>
    <t>4层A区1416</t>
  </si>
  <si>
    <t>2020.8.10</t>
  </si>
  <si>
    <t>2020.8.15-2020.11.14</t>
  </si>
  <si>
    <t>2020.11.15-2021.11.14</t>
  </si>
  <si>
    <t>提前7日付</t>
  </si>
  <si>
    <t>半年付</t>
  </si>
  <si>
    <t>1.47元/天/平</t>
  </si>
  <si>
    <t>2021.11.15-2022.11.14</t>
  </si>
  <si>
    <t>1.547元/天/平</t>
  </si>
  <si>
    <t>TLHG20201125</t>
  </si>
  <si>
    <t>北京久佳印刷有限责任公司</t>
  </si>
  <si>
    <t>4层A区1401/1402</t>
  </si>
  <si>
    <t>2020.6.1</t>
  </si>
  <si>
    <t>2020.7.1-2020.8.29</t>
  </si>
  <si>
    <t>2020.8.30-2022.8.29</t>
  </si>
  <si>
    <t>1.575元/天/平</t>
  </si>
  <si>
    <t>2022.8.30-2023.8.29</t>
  </si>
  <si>
    <t>1.65375元/天/平</t>
  </si>
  <si>
    <t>TLHG20201112</t>
  </si>
  <si>
    <t>北京新路程科技有限公司</t>
  </si>
  <si>
    <t>2层众创1214、1215、1216</t>
  </si>
  <si>
    <t>2020.3.12</t>
  </si>
  <si>
    <t>2020.3.22-2021.3.21</t>
  </si>
  <si>
    <t>季付</t>
  </si>
  <si>
    <t>1.785元/天/平</t>
  </si>
  <si>
    <t>2021.3.22-2022.3.21</t>
  </si>
  <si>
    <t>1.876元/天/平</t>
  </si>
  <si>
    <t>2022.3.22-2023.3.21</t>
  </si>
  <si>
    <t>1.967元/天/平</t>
  </si>
  <si>
    <t>TLHG20201101</t>
  </si>
  <si>
    <t>北京润世恒昌商贸有限公司</t>
  </si>
  <si>
    <t>5层1509</t>
  </si>
  <si>
    <t>2020.11.5</t>
  </si>
  <si>
    <t>2020.11.6-2021.1.5</t>
  </si>
  <si>
    <t>2021.1.6-2023.1.5</t>
  </si>
  <si>
    <t>1.5元/天/平</t>
  </si>
  <si>
    <t>TLHG20201103</t>
  </si>
  <si>
    <t>北京华源智诚建设工程有限公司</t>
  </si>
  <si>
    <t>5层1511</t>
  </si>
  <si>
    <t>2020.11.3</t>
  </si>
  <si>
    <t>2020.11.21-2020.11.30</t>
  </si>
  <si>
    <t>2020.12.1-2022.11.30</t>
  </si>
  <si>
    <t>1.61元/天/平</t>
  </si>
  <si>
    <t>BTFM-TZ2021TZ002104</t>
  </si>
  <si>
    <t>TLHG20201137</t>
  </si>
  <si>
    <t>金赤乌科技（北京）有限公司</t>
  </si>
  <si>
    <t>2层1255</t>
  </si>
  <si>
    <t>2020.11.25</t>
  </si>
  <si>
    <t>2020.11.30-2022.11.29</t>
  </si>
  <si>
    <t>2.54545元/天/平</t>
  </si>
  <si>
    <t>TLHG20201148</t>
  </si>
  <si>
    <t>北京海蓝冠科科技有限公司（北京海蓝冠科建设工程有限公司）</t>
  </si>
  <si>
    <t>4层1406</t>
  </si>
  <si>
    <t>2020.12.4</t>
  </si>
  <si>
    <t>2020.12.25-2021.1.13</t>
  </si>
  <si>
    <t>2021.1.14-2023.1.13</t>
  </si>
  <si>
    <t>TLHG20201147</t>
  </si>
  <si>
    <t>福州琪石阁文化传媒有限公司</t>
  </si>
  <si>
    <t>5层1512</t>
  </si>
  <si>
    <t>2020.11.20</t>
  </si>
  <si>
    <t>2023.2.24-2023.3.5</t>
  </si>
  <si>
    <t>2021.2.24-2023.2.23</t>
  </si>
  <si>
    <t>1.655914元/天/平</t>
  </si>
  <si>
    <t>TLHG20201205</t>
  </si>
  <si>
    <t>北京众丞华晔技术有限公司</t>
  </si>
  <si>
    <t>5层1517-1527</t>
  </si>
  <si>
    <t>2020.12.9</t>
  </si>
  <si>
    <t>2020.12.14-2021.1.22</t>
  </si>
  <si>
    <t>2021.1.23-2023.1.22</t>
  </si>
  <si>
    <t>年付</t>
  </si>
  <si>
    <t>TLHG20201202</t>
  </si>
  <si>
    <t>合肥中智工业技术有限公司</t>
  </si>
  <si>
    <t>5层1513</t>
  </si>
  <si>
    <t>2020.12.15</t>
  </si>
  <si>
    <t>2020.12.16-2021.1.4</t>
  </si>
  <si>
    <t>2021.1.5-2023.1.4</t>
  </si>
  <si>
    <t>1.75元/天/平</t>
  </si>
  <si>
    <t>TLHG20201226</t>
  </si>
  <si>
    <t>北京乐创天下劳务服务有限公司</t>
  </si>
  <si>
    <t>4层1418</t>
  </si>
  <si>
    <t>2020.12.28</t>
  </si>
  <si>
    <t>2021.1.4-2021.1.9</t>
  </si>
  <si>
    <t>2021.1.10-2023.1.9</t>
  </si>
  <si>
    <t>1.89元/天/平</t>
  </si>
  <si>
    <t>BTFM-TZ2022TZ001020</t>
  </si>
  <si>
    <t>TLHG20201223</t>
  </si>
  <si>
    <t>北京优品一百科贸有限公司（北京优品一百商贸中心）</t>
  </si>
  <si>
    <t>4层1409</t>
  </si>
  <si>
    <t>2021.1.1-2021.12.31</t>
  </si>
  <si>
    <t>2022.1.1-2022.12.31</t>
  </si>
  <si>
    <t>BTFM-TZ2021TZ002016</t>
  </si>
  <si>
    <t>TLHG20201233</t>
  </si>
  <si>
    <t>美高怡生生物技术（北京）有限公司</t>
  </si>
  <si>
    <t>6层</t>
  </si>
  <si>
    <t>2021.1.22</t>
  </si>
  <si>
    <t>2021.6.1-2021.8.31</t>
  </si>
  <si>
    <t>2021.3.1-2022.2.28</t>
  </si>
  <si>
    <t>2023.2.1-2023.2.28</t>
  </si>
  <si>
    <t>2022.3.1-2023.2.28</t>
  </si>
  <si>
    <t>2024.2.1-2024.2.29</t>
  </si>
  <si>
    <t>2023.3.1-2024.2.29</t>
  </si>
  <si>
    <t>2025.2.1-2025.2.28</t>
  </si>
  <si>
    <t>2024.3.1-2025.2.28</t>
  </si>
  <si>
    <t>1.58元/天/平</t>
  </si>
  <si>
    <t>2026.2.1-2026.2.28</t>
  </si>
  <si>
    <t>2025.3.1-2026.2.28</t>
  </si>
  <si>
    <t>1.65元/天/平</t>
  </si>
  <si>
    <t>TLHG20201232</t>
  </si>
  <si>
    <t>十二料（北京）餐饮管理有限责任公司</t>
  </si>
  <si>
    <t>1层101-6餐厅后厨</t>
  </si>
  <si>
    <t>2020.9.1</t>
  </si>
  <si>
    <t>2020.9.1-2020.10.31</t>
  </si>
  <si>
    <t>2020.11.1-2021.10.31</t>
  </si>
  <si>
    <t>月付</t>
  </si>
  <si>
    <t>3.224元/天/平</t>
  </si>
  <si>
    <t>2021.11.1-2022.10.31</t>
  </si>
  <si>
    <t>3.38元/天/平</t>
  </si>
  <si>
    <t>2022.11.1-2023.10.31</t>
  </si>
  <si>
    <t>3.55元/天/平</t>
  </si>
  <si>
    <t>2023.11.1-2024.10.31</t>
  </si>
  <si>
    <t>3.73元/天/平</t>
  </si>
  <si>
    <t>2024.11.1-2025.10.31</t>
  </si>
  <si>
    <t>3.92元/天/平</t>
  </si>
  <si>
    <t>TLHG20210203</t>
  </si>
  <si>
    <t>北京弘晔项目管理有限公司</t>
  </si>
  <si>
    <t>5层1533</t>
  </si>
  <si>
    <t>2021.2.3</t>
  </si>
  <si>
    <t>2021.3.11-2021.4.30</t>
  </si>
  <si>
    <t>2021.5.1-2023.4.30</t>
  </si>
  <si>
    <t>2023.5.1-2024.4.30</t>
  </si>
  <si>
    <t>BTFM-TZ2021TZ002063</t>
  </si>
  <si>
    <t>TLHG20210306</t>
  </si>
  <si>
    <t>莱恩斯建材（北京）有限公司</t>
  </si>
  <si>
    <t>5层1530</t>
  </si>
  <si>
    <t>2021.3.26</t>
  </si>
  <si>
    <t>2021.4.12-2021.5.11</t>
  </si>
  <si>
    <t>2021.5.12-2023.5.11</t>
  </si>
  <si>
    <t>2023.5.12-2024.5.11</t>
  </si>
  <si>
    <t>1.69元/天/平</t>
  </si>
  <si>
    <t>BTFM-TZ2021TZ002066</t>
  </si>
  <si>
    <t>TLHG20210307</t>
  </si>
  <si>
    <t>北京市秦氏黑色食品开发公司（龙玉艺墅（北京）装配科技有限公司）</t>
  </si>
  <si>
    <t>5层1529</t>
  </si>
  <si>
    <t>2021.3.31</t>
  </si>
  <si>
    <t>2021.4.28-2023.4.27</t>
  </si>
  <si>
    <t>BTFM-TZ2021TZ002064</t>
  </si>
  <si>
    <t>TLHG20210303</t>
  </si>
  <si>
    <t>北京麦哲天农科技发展有限公司</t>
  </si>
  <si>
    <t>2021.3.25</t>
  </si>
  <si>
    <t>2021.3.30-2021.4.28</t>
  </si>
  <si>
    <t>2021.4.29-2022.4.28</t>
  </si>
  <si>
    <t>2022.4.29-2022.5.28</t>
  </si>
  <si>
    <t>2022.5.29-2023.5.28</t>
  </si>
  <si>
    <t>BTFM-TZ2021TZ002065</t>
  </si>
  <si>
    <t>TLHG20210304</t>
  </si>
  <si>
    <t>北京近仁伟业商贸有限公司</t>
  </si>
  <si>
    <t>4层1410</t>
  </si>
  <si>
    <t>BTFM-TZ2021TZ002101</t>
  </si>
  <si>
    <t>TLHG20210408</t>
  </si>
  <si>
    <t>北京三一浩源教育咨询有限责任公司</t>
  </si>
  <si>
    <t>5层1536</t>
  </si>
  <si>
    <t>2021.4.30</t>
  </si>
  <si>
    <t>2021.5.20-2021.6.18</t>
  </si>
  <si>
    <t>2021.6.19-2023.6.18</t>
  </si>
  <si>
    <t>BTFM-TZ2021TZ002107</t>
  </si>
  <si>
    <t>TLHG20210410</t>
  </si>
  <si>
    <t>北京瑞岚生物科技有限公司</t>
  </si>
  <si>
    <t>5层1537</t>
  </si>
  <si>
    <t>2021.5.1-2021.5.15</t>
  </si>
  <si>
    <t>2021.5.16-2023.5.15</t>
  </si>
  <si>
    <t>1.82元/天/平</t>
  </si>
  <si>
    <t>BTFM-TZ2021TZ002073</t>
  </si>
  <si>
    <t>TLHG20210506</t>
  </si>
  <si>
    <t>中绿农生物肥料（北京）有限公司</t>
  </si>
  <si>
    <t>5层1550</t>
  </si>
  <si>
    <t>2021.5.10</t>
  </si>
  <si>
    <t>2021.5.10-2022.11.9</t>
  </si>
  <si>
    <t>3.78元/天/平</t>
  </si>
  <si>
    <t>2022.11.10-2023.1.9</t>
  </si>
  <si>
    <t>BTFM-TZ2021TZ002114</t>
  </si>
  <si>
    <t>TLHG20210504</t>
  </si>
  <si>
    <t>华越时代纸制品销售（北京）有限公司</t>
  </si>
  <si>
    <t>5层1538</t>
  </si>
  <si>
    <t>2021.5.17</t>
  </si>
  <si>
    <t>2021.6.7-2021.7.6</t>
  </si>
  <si>
    <t>2021.7.7-2023.7.6</t>
  </si>
  <si>
    <t>BTFM-TZ2021TZ002110</t>
  </si>
  <si>
    <t>TLHG20210501</t>
  </si>
  <si>
    <t>1层茶水间</t>
  </si>
  <si>
    <t>2021.5.1-2024.4.30</t>
  </si>
  <si>
    <t>420元/月</t>
  </si>
  <si>
    <t>BTFM-TZ2021TZ002123</t>
  </si>
  <si>
    <t>TLHG20210508</t>
  </si>
  <si>
    <t>北京三益信科电子有限公司</t>
  </si>
  <si>
    <t>5层B区1536</t>
  </si>
  <si>
    <t>2021.5.14</t>
  </si>
  <si>
    <t>2021.5.15-2021.6.14</t>
  </si>
  <si>
    <t>2021.6.15-2023.6.14</t>
  </si>
  <si>
    <t>1.54元/天/平</t>
  </si>
  <si>
    <t>BTFM-TZ2021TZ002111</t>
  </si>
  <si>
    <t>TLHG20210503</t>
  </si>
  <si>
    <t>北京龙兴瑞诚建筑工程有限公司</t>
  </si>
  <si>
    <t>4层A区1421</t>
  </si>
  <si>
    <t>2021.5.6</t>
  </si>
  <si>
    <t>2023.6.15-2024.6.14</t>
  </si>
  <si>
    <t>2024.6.15-2026.6.14</t>
  </si>
  <si>
    <t>1.71元/天/平</t>
  </si>
  <si>
    <t>BTFM-TZ2021TZ002127</t>
  </si>
  <si>
    <t>TLHG20210511</t>
  </si>
  <si>
    <t>北京中贸科技有限公司</t>
  </si>
  <si>
    <t>7层1708</t>
  </si>
  <si>
    <t>2021.6.2</t>
  </si>
  <si>
    <t>2021.6.3-2021.6.7</t>
  </si>
  <si>
    <t>2021.6.18-2023.6.17</t>
  </si>
  <si>
    <t>BTFM-TZ2021TZ002181</t>
  </si>
  <si>
    <t>TLHG20210812</t>
  </si>
  <si>
    <t>北京胡曼智造科技有限责任公司</t>
  </si>
  <si>
    <t>3层B区1309</t>
  </si>
  <si>
    <t>2021.8.30</t>
  </si>
  <si>
    <t>2021.12.1-2022.2.28</t>
  </si>
  <si>
    <t>2021.9.1-2022.8.31</t>
  </si>
  <si>
    <t>1.50元/天/平</t>
  </si>
  <si>
    <t>2022.9.1-2022.9.30</t>
  </si>
  <si>
    <t>2022.9.1-2023.8.31</t>
  </si>
  <si>
    <t>2023.9.1-2024.8.31</t>
  </si>
  <si>
    <t>2024.9.1-2025.8.31</t>
  </si>
  <si>
    <t>1.66元/天/平</t>
  </si>
  <si>
    <t>2025.9.1-2026.8.31</t>
  </si>
  <si>
    <t>1.74元/天/平</t>
  </si>
  <si>
    <t>BTFM-TZ2021TZ002178</t>
  </si>
  <si>
    <t>TLHG20210807</t>
  </si>
  <si>
    <t>大邦科技（天津）有限公司</t>
  </si>
  <si>
    <t>1层1101</t>
  </si>
  <si>
    <t>2021.8.20</t>
  </si>
  <si>
    <t>1.73元/天/平</t>
  </si>
  <si>
    <t>BTFM-TZ2021TZ002180</t>
  </si>
  <si>
    <t>TLHG20210809</t>
  </si>
  <si>
    <t>北京亿隆鸿达商贸有限公司</t>
  </si>
  <si>
    <t>2层1201</t>
  </si>
  <si>
    <t>2021.8.23</t>
  </si>
  <si>
    <t>2021.8.24-2023.8.23</t>
  </si>
  <si>
    <t>1.85元/天/平</t>
  </si>
  <si>
    <t>BTFM-TZ2021TZ002208</t>
  </si>
  <si>
    <t>TLHG20211013</t>
  </si>
  <si>
    <t>北京点阵虹光光电科技有限公司</t>
  </si>
  <si>
    <t>2层1212、1213</t>
  </si>
  <si>
    <t>2021.10.25</t>
  </si>
  <si>
    <t>2021.10.26-2021.11.24</t>
  </si>
  <si>
    <t>2021.11.25-2023.11.24</t>
  </si>
  <si>
    <t>BTFM-TZ2021TZ002201</t>
  </si>
  <si>
    <t>TLHG20211002</t>
  </si>
  <si>
    <t>宝荣智电（北京）科技有限公司</t>
  </si>
  <si>
    <t>2层1210</t>
  </si>
  <si>
    <t>2021.10.8</t>
  </si>
  <si>
    <t>2021.10.8-2023.10.7</t>
  </si>
  <si>
    <t>BTFM-TZ2021TZ002205</t>
  </si>
  <si>
    <t>TLHG20211005</t>
  </si>
  <si>
    <t>北京北斗国际旅行社有限公司</t>
  </si>
  <si>
    <t>2层1218</t>
  </si>
  <si>
    <t>2021.7.17</t>
  </si>
  <si>
    <t>2021.7.18-2022.7.17</t>
  </si>
  <si>
    <t>2022.7.18-2022.11.24</t>
  </si>
  <si>
    <t>BTFM-TZ2021TZ002217</t>
  </si>
  <si>
    <t>TLHG20211102</t>
  </si>
  <si>
    <t>北京瑞和蓝天制冷设备有限公司</t>
  </si>
  <si>
    <t>2层1204</t>
  </si>
  <si>
    <t>2021.11.7</t>
  </si>
  <si>
    <t>2021.11.8-2022.11.7</t>
  </si>
  <si>
    <t>2022.11.8-2023.11.7</t>
  </si>
  <si>
    <t>BTFM-TZ2021TZ002221</t>
  </si>
  <si>
    <t>TLHG20211103</t>
  </si>
  <si>
    <t>北京聚源泰科技有限公司</t>
  </si>
  <si>
    <t>5层1570</t>
  </si>
  <si>
    <t>2021.11.8</t>
  </si>
  <si>
    <t>2021.11.10-2021.11.24</t>
  </si>
  <si>
    <t>BTFM-TZ2021TZ002246</t>
  </si>
  <si>
    <t>TLHG20211203</t>
  </si>
  <si>
    <t>多与（北京）科技有限公司</t>
  </si>
  <si>
    <t>4层1423</t>
  </si>
  <si>
    <t>2021.12.20</t>
  </si>
  <si>
    <t>2021.12.20-2022.1.3</t>
  </si>
  <si>
    <t>2022.1.4-2023.1.3</t>
  </si>
  <si>
    <t>2023.1.4-2024.1.3</t>
  </si>
  <si>
    <t>BTFM-TZ2021TZ002243</t>
  </si>
  <si>
    <t>TLHG20211202</t>
  </si>
  <si>
    <t>中科艾尔（北京）科技有限公司</t>
  </si>
  <si>
    <t>4层B区1422</t>
  </si>
  <si>
    <t>2021.12.16</t>
  </si>
  <si>
    <t>2022.2.28-2022.4.27</t>
  </si>
  <si>
    <t>2021.11.30-2022.11.29</t>
  </si>
  <si>
    <t>2022.11.30-2023.11.29</t>
  </si>
  <si>
    <t>1.62元/天/平</t>
  </si>
  <si>
    <t>BTFM-TZ2021TZ002228</t>
  </si>
  <si>
    <t>TLHG20211108</t>
  </si>
  <si>
    <t>苏州广林达电子科技有限公司</t>
  </si>
  <si>
    <t>2层1241</t>
  </si>
  <si>
    <t>2021.11.10-2022.1.9</t>
  </si>
  <si>
    <t>2022.1.10-2024.1.9</t>
  </si>
  <si>
    <t>1.68元/天/平</t>
  </si>
  <si>
    <t>BTFM-TZ2021TZ002270</t>
  </si>
  <si>
    <t>TLHG20211216</t>
  </si>
  <si>
    <t>北京启铭兴装饰工程有限公司</t>
  </si>
  <si>
    <t>3层1303</t>
  </si>
  <si>
    <t>2021.12.25</t>
  </si>
  <si>
    <t>2021.12.25-2023.12.24</t>
  </si>
  <si>
    <t>BTFM-TZ2021TZ002259</t>
  </si>
  <si>
    <t>TLHG20211209</t>
  </si>
  <si>
    <t>北京易同云网科技有限公司</t>
  </si>
  <si>
    <t>2021.12.24</t>
  </si>
  <si>
    <t>2021.12.25-2022.2.2</t>
  </si>
  <si>
    <t>2022.2.3-2023.2.2</t>
  </si>
  <si>
    <t>2023.2.3-2024.2.2</t>
  </si>
  <si>
    <t>BTFM-TZ2022TZ001006</t>
  </si>
  <si>
    <t>TLHG20211214</t>
  </si>
  <si>
    <t>北京普路讯盈信息技术有限公司</t>
  </si>
  <si>
    <t>2层众创1221</t>
  </si>
  <si>
    <t>2021.12.27</t>
  </si>
  <si>
    <t>2021.12.28-2022.2.11</t>
  </si>
  <si>
    <t>一次性</t>
  </si>
  <si>
    <t>2.55元/天/平</t>
  </si>
  <si>
    <t>2022.2.12-2023.2.11</t>
  </si>
  <si>
    <t>BTFM-TZ2021TZ002268</t>
  </si>
  <si>
    <t>TLHG20211218</t>
  </si>
  <si>
    <t>北京天宇智联科技有限公司</t>
  </si>
  <si>
    <t>7层1717</t>
  </si>
  <si>
    <t>2021.12.30</t>
  </si>
  <si>
    <t>2021.12.30-2022.2.27</t>
  </si>
  <si>
    <t>2022.2.28-2024.2.27</t>
  </si>
  <si>
    <t>BTFM-TZ2022TZ001003</t>
  </si>
  <si>
    <t>TLHG20211206</t>
  </si>
  <si>
    <t>北京世纪美居家具有限公司</t>
  </si>
  <si>
    <t>2层1235</t>
  </si>
  <si>
    <t>2022.1.8</t>
  </si>
  <si>
    <t>2022.1.8-2023.1.7</t>
  </si>
  <si>
    <t>BTFM-TZ2022TZ001009</t>
  </si>
  <si>
    <t>TLHG20220101</t>
  </si>
  <si>
    <t>北京富思特建设有限公司</t>
  </si>
  <si>
    <t>2层1262</t>
  </si>
  <si>
    <t>2022.1.4</t>
  </si>
  <si>
    <t>2022.1.4-2022.3.3</t>
  </si>
  <si>
    <t>2022.3.4-2024.3.3</t>
  </si>
  <si>
    <t>BTFM-TZ2022TZ001034</t>
  </si>
  <si>
    <t>TLHG20220201</t>
  </si>
  <si>
    <t>北京重启梦想科技有限责任公司</t>
  </si>
  <si>
    <t>4层1403</t>
  </si>
  <si>
    <t>2022.2.15</t>
  </si>
  <si>
    <t>2022.2.16-2023.2.15</t>
  </si>
  <si>
    <t>1.98元/天/平</t>
  </si>
  <si>
    <t>2023.2.16-2024.2.15</t>
  </si>
  <si>
    <t>2.08元/天/平</t>
  </si>
  <si>
    <t>BTFM-TZ2022TZ001057</t>
  </si>
  <si>
    <t>TLHG20220307</t>
  </si>
  <si>
    <t>北京依托华茂生物科技有限公司</t>
  </si>
  <si>
    <t>2层1257、1263</t>
  </si>
  <si>
    <t>2022.4.1</t>
  </si>
  <si>
    <t>2022.4.1-2022.5.31</t>
  </si>
  <si>
    <t>2022.4.1-2023.5.31</t>
  </si>
  <si>
    <t>2023.6.1-2024.5.31</t>
  </si>
  <si>
    <t>BTFM-TZ2022TZ001037</t>
  </si>
  <si>
    <t>TLHG20220309</t>
  </si>
  <si>
    <t>北京天语测试科技有限公司</t>
  </si>
  <si>
    <t>5层1503</t>
  </si>
  <si>
    <t>2022.1.31</t>
  </si>
  <si>
    <t>2022.2.1-2023.8.31</t>
  </si>
  <si>
    <t>BTFM-TZ2022TZ001065</t>
  </si>
  <si>
    <t>TLHG20220310</t>
  </si>
  <si>
    <t>北京合造科技有限公司</t>
  </si>
  <si>
    <t>4层403</t>
  </si>
  <si>
    <t>2022.3.25</t>
  </si>
  <si>
    <t>2022.3.25-2024.3.24</t>
  </si>
  <si>
    <t>BTFM-TZ2022TZ001076</t>
  </si>
  <si>
    <t>KTFZ20220401</t>
  </si>
  <si>
    <t>北京厚德菲斯健身服务有限公司</t>
  </si>
  <si>
    <t>1层1102</t>
  </si>
  <si>
    <t>2022.3.31</t>
  </si>
  <si>
    <t>2022.4.1-2023.8.31</t>
  </si>
  <si>
    <t>BTFM-TZ2022TZ001077</t>
  </si>
  <si>
    <t>TLHG20220312</t>
  </si>
  <si>
    <t>北京睿和名扬印刷有限公司</t>
  </si>
  <si>
    <t>1层1118</t>
  </si>
  <si>
    <t>2022.4.1-2023.3.31</t>
  </si>
  <si>
    <t>2023.4.1-2024.3.31</t>
  </si>
  <si>
    <t>BTFM-TZ2022TZ001095</t>
  </si>
  <si>
    <t>TLHG20220414</t>
  </si>
  <si>
    <t>4层1417</t>
  </si>
  <si>
    <t>2022.4.20</t>
  </si>
  <si>
    <t>2022.4.20-2022.4.26</t>
  </si>
  <si>
    <t>2022.4.20-2023.4.26</t>
  </si>
  <si>
    <t>2023.4.27-2024.4.26</t>
  </si>
  <si>
    <t>BTFM-TZ2022TZ001048</t>
  </si>
  <si>
    <t>TLHG20220306</t>
  </si>
  <si>
    <t>1层1117</t>
  </si>
  <si>
    <t>2022.3.18</t>
  </si>
  <si>
    <t>2022.3.18-2022.6.30</t>
  </si>
  <si>
    <t>2022.3.18-2023.6.30</t>
  </si>
  <si>
    <t>2023.7.1-2023.7.31</t>
  </si>
  <si>
    <t>2023.7.1-2024.7.31</t>
  </si>
  <si>
    <t>2024.8.1-2025.7.31</t>
  </si>
  <si>
    <t>1.77元/天/平</t>
  </si>
  <si>
    <t>2025.8.1-2026.7.31</t>
  </si>
  <si>
    <t>1.86元/天/平</t>
  </si>
  <si>
    <t>2026.8.1-2027.7.31</t>
  </si>
  <si>
    <t>1.95元/天/平</t>
  </si>
  <si>
    <t>BTFM-TZ2022TZ001074</t>
  </si>
  <si>
    <t>TLHG20220311</t>
  </si>
  <si>
    <t>北京昊俣医疗科技有限公司</t>
  </si>
  <si>
    <t>2层1223</t>
  </si>
  <si>
    <t>2022.4.7</t>
  </si>
  <si>
    <t>2022.4.7-2024.4.6</t>
  </si>
  <si>
    <t>BTFM-TZ2022TZ001086</t>
  </si>
  <si>
    <t>TLHG20220411</t>
  </si>
  <si>
    <t>北京汇洁能建筑科技有限公司</t>
  </si>
  <si>
    <t>2层1217</t>
  </si>
  <si>
    <t>2022.4.10-2023.4.9</t>
  </si>
  <si>
    <t>TLHG20220503</t>
  </si>
  <si>
    <t>2层1203</t>
  </si>
  <si>
    <t>2022.5.6</t>
  </si>
  <si>
    <t>2022.8.25-2022.8.26</t>
  </si>
  <si>
    <t>2022.8.25-2023.8.26</t>
  </si>
  <si>
    <t>BTFM-TZ2022TZ-YY001026</t>
  </si>
  <si>
    <t>TLHG20220501</t>
  </si>
  <si>
    <t>北京德康信瑞商贸有限责任公司</t>
  </si>
  <si>
    <t>2层1227</t>
  </si>
  <si>
    <t>2022.6.3</t>
  </si>
  <si>
    <t>2022.6.3-2024.6.2</t>
  </si>
  <si>
    <t>4.2元/天/平</t>
  </si>
  <si>
    <t>BTFM-TZ2022TZ-YY001024</t>
  </si>
  <si>
    <t>TLHG20220502</t>
  </si>
  <si>
    <t>北京济世养生商贸有限责任公司</t>
  </si>
  <si>
    <t>2层1229</t>
  </si>
  <si>
    <t>BTFM-TZ2022TZ-YY001034</t>
  </si>
  <si>
    <t>TLHG20220506</t>
  </si>
  <si>
    <t>北京中海天成商贸有限公司</t>
  </si>
  <si>
    <t>2层1219</t>
  </si>
  <si>
    <t>2022.6.7</t>
  </si>
  <si>
    <t>2022.6.7-2023.6.6</t>
  </si>
  <si>
    <t>2023.6.7-2024.6.6</t>
  </si>
  <si>
    <t>BTFM-TZ2022TZ-YY001036</t>
  </si>
  <si>
    <t>TLHG20220508</t>
  </si>
  <si>
    <t>7层1721</t>
  </si>
  <si>
    <t>2022.5.25</t>
  </si>
  <si>
    <t>2022.5.25-2024.5.24</t>
  </si>
  <si>
    <t>2024.5.25-2025.5.24</t>
  </si>
  <si>
    <t>2025.5.25-2026.5.24</t>
  </si>
  <si>
    <t>2026.5.25-2027.5.24</t>
  </si>
  <si>
    <t>BTFM-TZ2022TZ-YY001039</t>
  </si>
  <si>
    <t>TLHG20220507</t>
  </si>
  <si>
    <t>北京深海特生物技术有限公司（丁晶）</t>
  </si>
  <si>
    <t>7层1722</t>
  </si>
  <si>
    <t>1.60元/天/平</t>
  </si>
  <si>
    <t>1.76元/天/平</t>
  </si>
  <si>
    <t>BTFM-TZ2022TZ-YY001052</t>
  </si>
  <si>
    <t>TLHG20220604</t>
  </si>
  <si>
    <t>北京德锦润丰技术有限公司</t>
  </si>
  <si>
    <t>7层1715</t>
  </si>
  <si>
    <t>2022.6.16</t>
  </si>
  <si>
    <t>2022.6.16-2022.7.15</t>
  </si>
  <si>
    <t>2022.6.16-2023.7.15</t>
  </si>
  <si>
    <t>2023.7.16-2024.7.15</t>
  </si>
  <si>
    <t>1.91元/天/平</t>
  </si>
  <si>
    <t>BTFM-TZ2022TZ-YY001051</t>
  </si>
  <si>
    <t>TLHG20220603</t>
  </si>
  <si>
    <t>北京奕芯数能科技有限公司</t>
  </si>
  <si>
    <t>1559</t>
  </si>
  <si>
    <t>2022.6.1</t>
  </si>
  <si>
    <t>2022.6.1-2022.6.10</t>
  </si>
  <si>
    <t>2022.6.1-2023.5.31</t>
  </si>
  <si>
    <t>3.82元/天/平</t>
  </si>
  <si>
    <t>BTFM-TZ2022TZ-YY001059</t>
  </si>
  <si>
    <t>TLHG20220608</t>
  </si>
  <si>
    <t>北京九社腾泽贸易有限公司</t>
  </si>
  <si>
    <t>2层1252</t>
  </si>
  <si>
    <t>2022.7.6</t>
  </si>
  <si>
    <t>2022.7.6-2024.7.5</t>
  </si>
  <si>
    <t>3.15元/天/平</t>
  </si>
  <si>
    <t>BTFM-TZ2022TZ-YY001060</t>
  </si>
  <si>
    <t>TLHG20220607</t>
  </si>
  <si>
    <t>北京恩碧沃生物科技有限公司</t>
  </si>
  <si>
    <t>2层1253</t>
  </si>
  <si>
    <t>BTFM-TZ2022TZ-YY001082</t>
  </si>
  <si>
    <t>TLHG20220701</t>
  </si>
  <si>
    <t>北京启承文化传媒有限公司</t>
  </si>
  <si>
    <t>4层1405</t>
  </si>
  <si>
    <t>2022.7.10</t>
  </si>
  <si>
    <t>2022.7.10-2024.7.9</t>
  </si>
  <si>
    <t>BTFM-TZ2022TZ-YY001064</t>
  </si>
  <si>
    <t>TLHG20220609</t>
  </si>
  <si>
    <t>北京高能空间科技有限公司</t>
  </si>
  <si>
    <t>2层1206</t>
  </si>
  <si>
    <t>2022.7.11</t>
  </si>
  <si>
    <t>2022.7.11-2023.7.10</t>
  </si>
  <si>
    <t>1.92元/天/平</t>
  </si>
  <si>
    <t>2023.7.11-2024.7.10</t>
  </si>
  <si>
    <t>1.97元/天/平</t>
  </si>
  <si>
    <t>BTFM-TZ2022TZ-YY001071</t>
  </si>
  <si>
    <t>TLHG20220610</t>
  </si>
  <si>
    <t>北京运吉强科技有限公司</t>
  </si>
  <si>
    <t>2层1207</t>
  </si>
  <si>
    <t>BTFM-TZ2022TZ-YY001081</t>
  </si>
  <si>
    <t>TLHG20220611</t>
  </si>
  <si>
    <t>严塑运动（北京）科技有限公司</t>
  </si>
  <si>
    <t>2层1205</t>
  </si>
  <si>
    <t>2022.6.30</t>
  </si>
  <si>
    <t>2022.6.30-2022.7.14</t>
  </si>
  <si>
    <t>2022.6.30-2024.7.14</t>
  </si>
  <si>
    <t>BTFM-TZ2022TZ-YY001106</t>
  </si>
  <si>
    <t>TLHG20220710</t>
  </si>
  <si>
    <t>爱诺威科技（北京）有限公司</t>
  </si>
  <si>
    <t>5层1531</t>
  </si>
  <si>
    <t>2022.7.22</t>
  </si>
  <si>
    <t>2022.10.17-2024.10.16</t>
  </si>
  <si>
    <t>BTFM-TZ2022TZ-YY001092</t>
  </si>
  <si>
    <t>TLHG20220705</t>
  </si>
  <si>
    <t>北京泓达盛源劳务派遣有限公司</t>
  </si>
  <si>
    <t>7层1704</t>
  </si>
  <si>
    <t>2022.7.17</t>
  </si>
  <si>
    <t>2022.7.18-2023.7.17</t>
  </si>
  <si>
    <t>BTFM-TZ2022TZ-YY001083</t>
  </si>
  <si>
    <t>TLHG20220702</t>
  </si>
  <si>
    <t>北京百纳威尔无线通信设备有限公司</t>
  </si>
  <si>
    <t>7层B区</t>
  </si>
  <si>
    <t>2022.7.31</t>
  </si>
  <si>
    <t>2022.8.1-2023.7.31</t>
  </si>
  <si>
    <t>BTFM-TZ2022TZ-YY001104</t>
  </si>
  <si>
    <t>TLHG20220704</t>
  </si>
  <si>
    <t>BTFM-TZ2022TZ-YY001120</t>
  </si>
  <si>
    <t>TLHG20220750</t>
  </si>
  <si>
    <t>5层1539</t>
  </si>
  <si>
    <t>2022.8.5</t>
  </si>
  <si>
    <t>2022.8.5-2024.8.4</t>
  </si>
  <si>
    <t>BTFM-TZ2022TZ-YY001121</t>
  </si>
  <si>
    <t>TLHG20220751</t>
  </si>
  <si>
    <t>北京华夏行科技有限公司</t>
  </si>
  <si>
    <t>4层1412</t>
  </si>
  <si>
    <t>2022.9.21</t>
  </si>
  <si>
    <t>2022.9.21-2024.9.20</t>
  </si>
  <si>
    <t>BTFM-TZ2022TZ-YY001128</t>
  </si>
  <si>
    <t>TLHG20220806</t>
  </si>
  <si>
    <t>沃尔普瑞过滤设备（北京）有限公司</t>
  </si>
  <si>
    <t>5层1508</t>
  </si>
  <si>
    <t>2022.10.25</t>
  </si>
  <si>
    <t>2022.10.26-2024.10.25</t>
  </si>
  <si>
    <t>2.03元/天/平</t>
  </si>
  <si>
    <t>BTFM-TZ2022TZ-YY001084</t>
  </si>
  <si>
    <t>TLHG20220703</t>
  </si>
  <si>
    <t>伊藤忠物流（中国）有限公司</t>
  </si>
  <si>
    <t>3层A区</t>
  </si>
  <si>
    <t>2022.7.8</t>
  </si>
  <si>
    <t>2022.8.15-2023.8.14</t>
  </si>
  <si>
    <t>1.7元/天/平</t>
  </si>
  <si>
    <t>2023.8.15-2024.8.14</t>
  </si>
  <si>
    <t>1.79元/天/平</t>
  </si>
  <si>
    <t>BTFM-TZ2022TZ-YY001099</t>
  </si>
  <si>
    <t>TLHG20220706</t>
  </si>
  <si>
    <t>北京吉顺阁文化传播有限公司</t>
  </si>
  <si>
    <t>2层1220</t>
  </si>
  <si>
    <t>2022.7.25</t>
  </si>
  <si>
    <t>2022.7.25-2024.7.24</t>
  </si>
  <si>
    <t>BTFM-TZ2022TZ-YY001194</t>
  </si>
  <si>
    <t>TLHG20220822</t>
  </si>
  <si>
    <t>北京卓越天和运营管理有限公司</t>
  </si>
  <si>
    <t>7层B区、705/706会议室、7A多功能厅</t>
  </si>
  <si>
    <t>2022.8.31</t>
  </si>
  <si>
    <t>2022.9.1-2023.12.31</t>
  </si>
  <si>
    <t>1.6元/天/平</t>
  </si>
  <si>
    <t>BTFM-TZ2022TZ-YY001196</t>
  </si>
  <si>
    <t>TLHG20220824</t>
  </si>
  <si>
    <t>北京尚华万耀科技有限公司</t>
  </si>
  <si>
    <t>2层1261</t>
  </si>
  <si>
    <t>2022.9.1</t>
  </si>
  <si>
    <t>BTFM-TZ2022TZ-YY001126</t>
  </si>
  <si>
    <t>TLHG20220805</t>
  </si>
  <si>
    <t>北京晶瓷医疗器械有限公司</t>
  </si>
  <si>
    <t>2层1238、1239</t>
  </si>
  <si>
    <t>2022.8.17</t>
  </si>
  <si>
    <t>2022.8.17-2024.8.16</t>
  </si>
  <si>
    <t>BTFM-TZ2022TZ-YY001191</t>
  </si>
  <si>
    <t>TLHG20220821</t>
  </si>
  <si>
    <t>3层1312</t>
  </si>
  <si>
    <t>2022.8.29</t>
  </si>
  <si>
    <t>2022.8.29-2023.8.28</t>
  </si>
  <si>
    <t>1.96元/天/平</t>
  </si>
  <si>
    <t>2023.8.29-2024.8.28</t>
  </si>
  <si>
    <t>2.06元/天/平</t>
  </si>
  <si>
    <t>BTFM-TZ2022TZ-YY001189</t>
  </si>
  <si>
    <t>TLHG20220818</t>
  </si>
  <si>
    <t>纵揽建设发展有限公司</t>
  </si>
  <si>
    <t>3层1305</t>
  </si>
  <si>
    <t>2022.9.22-2024.9.21</t>
  </si>
  <si>
    <t>BTFM-TZ2022TZ-YY001103</t>
  </si>
  <si>
    <t>TLHG20220709</t>
  </si>
  <si>
    <t>安普德（北京）科技有限公司</t>
  </si>
  <si>
    <t>5层1571</t>
  </si>
  <si>
    <t>2022.7.25-2022.8.24</t>
  </si>
  <si>
    <t>2022.7.25-2023.8.24</t>
  </si>
  <si>
    <t>2023.8.25-2024.8.24</t>
  </si>
  <si>
    <t>BTFM-TZ2022TZ-YY001214</t>
  </si>
  <si>
    <t>TLHG20220908</t>
  </si>
  <si>
    <t>北京翔楦盛誉汽车有限公司</t>
  </si>
  <si>
    <t>5层1505</t>
  </si>
  <si>
    <t>2022.9.16</t>
  </si>
  <si>
    <t>2022.9.15-2023.9.14</t>
  </si>
  <si>
    <t>BTFM-TZ2022TZ-YY001227</t>
  </si>
  <si>
    <t>TLHG20221001</t>
  </si>
  <si>
    <t>北京崇迅科技有限公司（刘超）</t>
  </si>
  <si>
    <t>2022.10.20</t>
  </si>
  <si>
    <t>2022.10.20-2023.10.19</t>
  </si>
  <si>
    <t>功能分区</t>
  </si>
  <si>
    <t>数量（间）</t>
  </si>
  <si>
    <t>楼层分布</t>
  </si>
  <si>
    <t>收费标准</t>
  </si>
  <si>
    <t>折扣率</t>
  </si>
  <si>
    <t>入住率</t>
  </si>
  <si>
    <t>年总收入</t>
  </si>
  <si>
    <t>成本费用率（%）</t>
  </si>
  <si>
    <t>客房</t>
  </si>
  <si>
    <t>高级标间</t>
  </si>
  <si>
    <t>2-6层</t>
  </si>
  <si>
    <t>高级大床房</t>
  </si>
  <si>
    <t>景观大床房</t>
  </si>
  <si>
    <t>豪华大床房</t>
  </si>
  <si>
    <t>漫心套房</t>
  </si>
  <si>
    <t>7层</t>
  </si>
  <si>
    <t>豪华家庭房</t>
  </si>
  <si>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</si>
  <si>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</si>
  <si>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</si>
  <si>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</si>
  <si>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</si>
  <si>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</si>
  <si>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</si>
  <si>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</si>
  <si>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</si>
  <si>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</si>
  <si>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</si>
  <si>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</si>
  <si>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</si>
  <si>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</si>
  <si>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</si>
  <si>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</si>
  <si>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</si>
  <si>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1号办公</t>
    <phoneticPr fontId="3" type="noConversion"/>
  </si>
  <si>
    <t>2号酒店</t>
    <phoneticPr fontId="3" type="noConversion"/>
  </si>
  <si>
    <t>3号机房</t>
    <phoneticPr fontId="3" type="noConversion"/>
  </si>
  <si>
    <t>酒店</t>
  </si>
  <si>
    <t>车库</t>
  </si>
  <si>
    <t>1#办公</t>
  </si>
  <si>
    <t>1#办公</t>
    <phoneticPr fontId="7" type="noConversion"/>
  </si>
  <si>
    <r>
      <t>2#</t>
    </r>
    <r>
      <rPr>
        <sz val="10"/>
        <color indexed="8"/>
        <rFont val="宋体"/>
        <family val="3"/>
        <charset val="134"/>
      </rPr>
      <t>酒店</t>
    </r>
    <phoneticPr fontId="7" type="noConversion"/>
  </si>
  <si>
    <t>最长日期</t>
    <phoneticPr fontId="140" type="noConversion"/>
  </si>
  <si>
    <t>增长率</t>
    <phoneticPr fontId="140" type="noConversion"/>
  </si>
  <si>
    <t>总平均租金</t>
    <phoneticPr fontId="140" type="noConversion"/>
  </si>
  <si>
    <t>租赁到2024年之后</t>
    <phoneticPr fontId="140" type="noConversion"/>
  </si>
  <si>
    <t>直线折旧</t>
    <phoneticPr fontId="3" type="noConversion"/>
  </si>
  <si>
    <t>观察成新</t>
    <phoneticPr fontId="3" type="noConversion"/>
  </si>
  <si>
    <t>综合</t>
    <phoneticPr fontId="3" type="noConversion"/>
  </si>
  <si>
    <t>2#酒店</t>
  </si>
  <si>
    <t>收益法-酒店</t>
    <phoneticPr fontId="16" type="noConversion"/>
  </si>
  <si>
    <t>收益法-酒店模型</t>
  </si>
  <si>
    <t>2021年</t>
    <phoneticPr fontId="140" type="noConversion"/>
  </si>
  <si>
    <t>2020年</t>
    <phoneticPr fontId="140" type="noConversion"/>
  </si>
  <si>
    <t>万元</t>
    <phoneticPr fontId="140" type="noConversion"/>
  </si>
  <si>
    <t>酒店年经营收入与成本情况</t>
    <phoneticPr fontId="140" type="noConversion"/>
  </si>
  <si>
    <t>酒店一共是84间房，咱们委托华住运营，运营费是8.5%，其他华住管理费用3%</t>
    <phoneticPr fontId="140" type="noConversion"/>
  </si>
  <si>
    <t>收益法（汇总）</t>
  </si>
  <si>
    <t>京（2020）通不动产权第0016690号</t>
    <phoneticPr fontId="140" type="noConversion"/>
  </si>
  <si>
    <t>地上租金</t>
    <phoneticPr fontId="3" type="noConversion"/>
  </si>
  <si>
    <t>综合租金</t>
    <phoneticPr fontId="3" type="noConversion"/>
  </si>
  <si>
    <t>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</si>
</sst>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DBNum1][$-804]m&quot;月&quot;d&quot;日&quot;;@"/>
    <numFmt numFmtId="198" formatCode="#,##0.00_ "/>
    <numFmt numFmtId="199" formatCode="_-* #,##0.00_-;\-* #,##0.00_-;_-* &quot;-&quot;_-;_-@_-"/>
    <numFmt numFmtId="201" formatCode="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b/>
      <sz val="9"/>
      <name val="Tahoma"/>
      <family val="2"/>
    </font>
    <font>
      <sz val="9"/>
      <name val="Tahoma"/>
      <family val="2"/>
    </font>
    <font>
      <b/>
      <sz val="9"/>
      <name val="宋体"/>
      <family val="3"/>
      <charset val="134"/>
    </font>
    <font>
      <b/>
      <sz val="10"/>
      <color rgb="FF000000"/>
      <name val="宋体"/>
      <family val="3"/>
      <charset val="134"/>
      <scheme val="minor"/>
    </font>
    <font>
      <sz val="10"/>
      <color rgb="FF000000"/>
      <name val="宋体"/>
      <family val="3"/>
      <charset val="134"/>
      <scheme val="minor"/>
    </font>
    <font>
      <sz val="11"/>
      <color rgb="FFFF0000"/>
      <name val="宋体"/>
      <family val="3"/>
      <charset val="134"/>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xf numFmtId="41" fontId="255" fillId="0" borderId="0" applyFont="0" applyFill="0" applyBorder="0" applyAlignment="0" applyProtection="0">
      <alignment vertical="center"/>
    </xf>
    <xf numFmtId="44" fontId="255" fillId="0" borderId="0" applyFont="0" applyFill="0" applyBorder="0" applyAlignment="0" applyProtection="0">
      <alignment vertical="center"/>
    </xf>
    <xf numFmtId="9" fontId="255" fillId="0" borderId="0" applyFont="0" applyFill="0" applyBorder="0" applyAlignment="0" applyProtection="0">
      <alignment vertical="center"/>
    </xf>
    <xf numFmtId="197" fontId="98" fillId="0" borderId="0">
      <alignment vertical="center"/>
    </xf>
    <xf numFmtId="197" fontId="98" fillId="0" borderId="0">
      <alignment vertical="center"/>
    </xf>
    <xf numFmtId="197" fontId="98" fillId="0" borderId="0">
      <alignment vertical="center"/>
    </xf>
  </cellStyleXfs>
  <cellXfs count="37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111" fillId="0" borderId="1" xfId="0" applyFont="1" applyBorder="1" applyAlignment="1">
      <alignment horizontal="left" vertical="center"/>
    </xf>
    <xf numFmtId="0" fontId="79" fillId="12" borderId="1" xfId="0" applyFont="1" applyFill="1" applyBorder="1" applyAlignment="1" applyProtection="1">
      <alignment horizontal="left" vertical="center"/>
      <protection locked="0"/>
    </xf>
    <xf numFmtId="0" fontId="49" fillId="12" borderId="1" xfId="0" applyFont="1" applyFill="1" applyBorder="1" applyAlignment="1" applyProtection="1">
      <alignment horizontal="left" vertical="center"/>
      <protection locked="0"/>
    </xf>
    <xf numFmtId="0" fontId="111" fillId="0" borderId="0" xfId="0" applyFont="1" applyAlignment="1">
      <alignment horizontal="left" vertical="center"/>
    </xf>
    <xf numFmtId="31" fontId="111" fillId="0" borderId="0" xfId="0" applyNumberFormat="1" applyFont="1" applyAlignment="1">
      <alignment horizontal="left" vertical="center"/>
    </xf>
    <xf numFmtId="180" fontId="49" fillId="0" borderId="1" xfId="0" applyNumberFormat="1" applyFont="1" applyBorder="1" applyAlignment="1" applyProtection="1">
      <alignment horizontal="center" vertical="center" wrapText="1"/>
      <protection locked="0"/>
    </xf>
    <xf numFmtId="0" fontId="98" fillId="0" borderId="1" xfId="0" applyFont="1" applyFill="1" applyBorder="1" applyAlignment="1">
      <alignment horizontal="center" vertical="center"/>
    </xf>
    <xf numFmtId="197" fontId="98" fillId="0" borderId="1" xfId="21" applyFont="1" applyFill="1" applyBorder="1" applyAlignment="1">
      <alignment horizontal="center" vertical="center"/>
    </xf>
    <xf numFmtId="197" fontId="98" fillId="0" borderId="1" xfId="21" applyFont="1" applyFill="1" applyBorder="1" applyAlignment="1">
      <alignment horizontal="left" vertical="center"/>
    </xf>
    <xf numFmtId="197" fontId="98" fillId="0" borderId="1" xfId="21" applyFont="1" applyFill="1" applyBorder="1" applyAlignment="1">
      <alignment vertical="center"/>
    </xf>
    <xf numFmtId="14" fontId="98" fillId="0" borderId="1" xfId="21"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1" applyFont="1" applyFill="1" applyBorder="1">
      <alignment vertical="center"/>
    </xf>
    <xf numFmtId="0" fontId="98" fillId="0" borderId="1" xfId="17" applyNumberFormat="1" applyFont="1" applyFill="1" applyBorder="1" applyAlignment="1">
      <alignment horizontal="center" vertical="center"/>
    </xf>
    <xf numFmtId="0" fontId="98" fillId="0" borderId="0" xfId="0" applyFont="1" applyFill="1" applyBorder="1" applyAlignment="1">
      <alignment horizontal="center" vertical="center"/>
    </xf>
    <xf numFmtId="0" fontId="98" fillId="0" borderId="1" xfId="0" applyFont="1" applyFill="1" applyBorder="1">
      <alignment vertical="center"/>
    </xf>
    <xf numFmtId="197" fontId="98" fillId="0" borderId="1" xfId="22" applyFont="1" applyFill="1" applyBorder="1" applyAlignment="1">
      <alignment vertical="center"/>
    </xf>
    <xf numFmtId="197" fontId="98" fillId="0" borderId="1" xfId="22" applyFont="1" applyFill="1" applyBorder="1" applyAlignment="1">
      <alignment horizontal="left" vertical="center"/>
    </xf>
    <xf numFmtId="14" fontId="98" fillId="0" borderId="13" xfId="22" applyNumberFormat="1" applyFont="1" applyFill="1" applyBorder="1" applyAlignment="1">
      <alignment vertical="center"/>
    </xf>
    <xf numFmtId="43" fontId="98" fillId="0" borderId="1" xfId="17" applyFont="1" applyFill="1" applyBorder="1" applyAlignment="1">
      <alignment horizontal="left" vertical="center"/>
    </xf>
    <xf numFmtId="197" fontId="98" fillId="0" borderId="1" xfId="22" applyFont="1" applyFill="1" applyBorder="1">
      <alignment vertical="center"/>
    </xf>
    <xf numFmtId="43" fontId="98" fillId="0" borderId="1" xfId="17" applyFont="1" applyFill="1" applyBorder="1" applyAlignment="1">
      <alignment vertical="center"/>
    </xf>
    <xf numFmtId="0" fontId="98" fillId="0" borderId="0" xfId="0" applyFont="1" applyFill="1" applyBorder="1">
      <alignment vertical="center"/>
    </xf>
    <xf numFmtId="0" fontId="98" fillId="5" borderId="1" xfId="0" applyFont="1" applyFill="1" applyBorder="1">
      <alignment vertical="center"/>
    </xf>
    <xf numFmtId="197" fontId="98" fillId="5" borderId="1" xfId="22" applyFont="1" applyFill="1" applyBorder="1" applyAlignment="1">
      <alignment vertical="center"/>
    </xf>
    <xf numFmtId="197" fontId="98" fillId="5" borderId="1" xfId="22" applyFont="1" applyFill="1" applyBorder="1" applyAlignment="1">
      <alignment horizontal="left" vertical="center"/>
    </xf>
    <xf numFmtId="14" fontId="98" fillId="5" borderId="13" xfId="22" applyNumberFormat="1" applyFont="1" applyFill="1" applyBorder="1" applyAlignment="1">
      <alignment vertical="center"/>
    </xf>
    <xf numFmtId="43" fontId="98" fillId="5" borderId="1" xfId="17" applyFont="1" applyFill="1" applyBorder="1" applyAlignment="1">
      <alignment horizontal="left" vertical="center"/>
    </xf>
    <xf numFmtId="197" fontId="98" fillId="5" borderId="1" xfId="22" applyFont="1" applyFill="1" applyBorder="1">
      <alignment vertical="center"/>
    </xf>
    <xf numFmtId="43" fontId="98" fillId="5" borderId="1" xfId="17" applyFont="1" applyFill="1" applyBorder="1" applyAlignment="1">
      <alignment vertical="center"/>
    </xf>
    <xf numFmtId="0" fontId="98" fillId="5" borderId="0" xfId="0" applyNumberFormat="1" applyFont="1" applyFill="1" applyBorder="1">
      <alignment vertical="center"/>
    </xf>
    <xf numFmtId="0" fontId="98" fillId="5" borderId="0" xfId="0" applyFont="1" applyFill="1" applyBorder="1">
      <alignment vertical="center"/>
    </xf>
    <xf numFmtId="197" fontId="98" fillId="0" borderId="13" xfId="22" applyFont="1" applyFill="1" applyBorder="1" applyAlignment="1">
      <alignment vertical="center"/>
    </xf>
    <xf numFmtId="14" fontId="98" fillId="0" borderId="13" xfId="22" applyNumberFormat="1" applyFont="1" applyFill="1" applyBorder="1" applyAlignment="1">
      <alignment horizontal="center" vertical="center"/>
    </xf>
    <xf numFmtId="43" fontId="98" fillId="0" borderId="1" xfId="17" applyFont="1" applyFill="1" applyBorder="1">
      <alignment vertical="center"/>
    </xf>
    <xf numFmtId="197" fontId="98" fillId="5" borderId="13" xfId="22" applyFont="1" applyFill="1" applyBorder="1" applyAlignment="1">
      <alignment vertical="center"/>
    </xf>
    <xf numFmtId="14" fontId="98" fillId="5" borderId="13" xfId="22" applyNumberFormat="1" applyFont="1" applyFill="1" applyBorder="1" applyAlignment="1">
      <alignment horizontal="center" vertical="center"/>
    </xf>
    <xf numFmtId="43" fontId="98" fillId="5" borderId="1" xfId="17" applyFont="1" applyFill="1" applyBorder="1">
      <alignment vertical="center"/>
    </xf>
    <xf numFmtId="197" fontId="98" fillId="0" borderId="1" xfId="22" applyFont="1" applyFill="1" applyBorder="1" applyAlignment="1">
      <alignment horizontal="center" vertical="center"/>
    </xf>
    <xf numFmtId="14" fontId="98" fillId="0" borderId="1" xfId="22" applyNumberFormat="1" applyFont="1" applyFill="1" applyBorder="1" applyAlignment="1">
      <alignment horizontal="center" vertical="center"/>
    </xf>
    <xf numFmtId="0" fontId="256" fillId="5" borderId="1" xfId="0" applyFont="1" applyFill="1" applyBorder="1">
      <alignment vertical="center"/>
    </xf>
    <xf numFmtId="197" fontId="98" fillId="5" borderId="1" xfId="22" applyFont="1" applyFill="1" applyBorder="1" applyAlignment="1">
      <alignment horizontal="center" vertical="center"/>
    </xf>
    <xf numFmtId="14" fontId="98" fillId="5" borderId="1" xfId="22" applyNumberFormat="1" applyFont="1" applyFill="1" applyBorder="1" applyAlignment="1">
      <alignment horizontal="center" vertical="center"/>
    </xf>
    <xf numFmtId="0" fontId="256" fillId="5" borderId="0" xfId="0" applyFont="1" applyFill="1" applyBorder="1">
      <alignment vertical="center"/>
    </xf>
    <xf numFmtId="0" fontId="98" fillId="5" borderId="1" xfId="0" applyFont="1" applyFill="1" applyBorder="1" applyAlignment="1">
      <alignment vertical="center"/>
    </xf>
    <xf numFmtId="0" fontId="98" fillId="5" borderId="1" xfId="0" applyFont="1" applyFill="1" applyBorder="1" applyAlignment="1">
      <alignment horizontal="left" vertical="center"/>
    </xf>
    <xf numFmtId="14" fontId="98" fillId="5" borderId="1" xfId="0" applyNumberFormat="1" applyFont="1" applyFill="1" applyBorder="1" applyAlignment="1">
      <alignment horizontal="center" vertical="center"/>
    </xf>
    <xf numFmtId="0" fontId="98" fillId="5" borderId="1" xfId="17" applyNumberFormat="1" applyFont="1" applyFill="1" applyBorder="1" applyAlignment="1">
      <alignment horizontal="center" vertical="center"/>
    </xf>
    <xf numFmtId="43" fontId="98" fillId="5" borderId="1" xfId="17" applyFont="1" applyFill="1" applyBorder="1" applyAlignment="1">
      <alignment horizontal="left" vertical="top"/>
    </xf>
    <xf numFmtId="43" fontId="256" fillId="5" borderId="1" xfId="17" applyFont="1" applyFill="1" applyBorder="1">
      <alignment vertical="center"/>
    </xf>
    <xf numFmtId="43" fontId="256" fillId="5" borderId="1" xfId="17" applyFont="1" applyFill="1" applyBorder="1" applyAlignment="1">
      <alignment horizontal="left" vertical="top"/>
    </xf>
    <xf numFmtId="0" fontId="256" fillId="5" borderId="1" xfId="0" applyFont="1" applyFill="1" applyBorder="1" applyAlignment="1">
      <alignment horizontal="left" vertical="center"/>
    </xf>
    <xf numFmtId="14" fontId="256" fillId="5" borderId="1" xfId="0" applyNumberFormat="1" applyFont="1" applyFill="1" applyBorder="1" applyAlignment="1">
      <alignment horizontal="center" vertical="center"/>
    </xf>
    <xf numFmtId="43" fontId="256" fillId="5" borderId="1" xfId="17" applyFont="1" applyFill="1" applyBorder="1" applyAlignment="1">
      <alignment horizontal="left" vertical="center"/>
    </xf>
    <xf numFmtId="0" fontId="256" fillId="5" borderId="1" xfId="17" applyNumberFormat="1" applyFont="1" applyFill="1" applyBorder="1" applyAlignment="1">
      <alignment horizontal="center" vertical="center"/>
    </xf>
    <xf numFmtId="0" fontId="98" fillId="0" borderId="1" xfId="0" applyFont="1" applyFill="1" applyBorder="1" applyAlignment="1">
      <alignment horizontal="left" vertical="center"/>
    </xf>
    <xf numFmtId="14" fontId="98" fillId="0" borderId="1" xfId="0" applyNumberFormat="1" applyFont="1" applyFill="1" applyBorder="1" applyAlignment="1">
      <alignment horizontal="center" vertical="center"/>
    </xf>
    <xf numFmtId="14" fontId="256" fillId="0" borderId="1" xfId="0" applyNumberFormat="1" applyFont="1" applyFill="1" applyBorder="1" applyAlignment="1">
      <alignment horizontal="center" vertical="center"/>
    </xf>
    <xf numFmtId="0" fontId="256" fillId="0" borderId="1" xfId="0" applyFont="1" applyFill="1" applyBorder="1" applyAlignment="1">
      <alignment horizontal="left" vertical="center"/>
    </xf>
    <xf numFmtId="43" fontId="98" fillId="5" borderId="1" xfId="17" applyFont="1" applyFill="1" applyBorder="1" applyAlignment="1">
      <alignment horizontal="center" vertical="center"/>
    </xf>
    <xf numFmtId="43" fontId="256" fillId="5" borderId="1" xfId="17" applyFont="1" applyFill="1" applyBorder="1" applyAlignment="1">
      <alignment horizontal="center" vertical="center"/>
    </xf>
    <xf numFmtId="197" fontId="256" fillId="5" borderId="1" xfId="22" applyFont="1" applyFill="1" applyBorder="1" applyAlignment="1">
      <alignment vertical="center"/>
    </xf>
    <xf numFmtId="0" fontId="98" fillId="0" borderId="1" xfId="0" applyFont="1" applyFill="1" applyBorder="1" applyAlignment="1">
      <alignment vertical="center"/>
    </xf>
    <xf numFmtId="0" fontId="98" fillId="0" borderId="13" xfId="0" applyFont="1" applyFill="1" applyBorder="1" applyAlignment="1">
      <alignment horizontal="left" vertical="center"/>
    </xf>
    <xf numFmtId="14" fontId="98" fillId="0" borderId="13" xfId="0" applyNumberFormat="1" applyFont="1" applyFill="1" applyBorder="1" applyAlignment="1">
      <alignment horizontal="center" vertical="center"/>
    </xf>
    <xf numFmtId="43" fontId="98" fillId="0" borderId="13" xfId="17" applyFont="1" applyFill="1" applyBorder="1" applyAlignment="1">
      <alignment horizontal="left" vertical="center"/>
    </xf>
    <xf numFmtId="43" fontId="98" fillId="0" borderId="13" xfId="17" applyFont="1" applyFill="1" applyBorder="1" applyAlignment="1">
      <alignment horizontal="center" vertical="center"/>
    </xf>
    <xf numFmtId="0" fontId="98" fillId="5" borderId="13" xfId="0" applyFont="1" applyFill="1" applyBorder="1" applyAlignment="1">
      <alignment horizontal="left" vertical="center"/>
    </xf>
    <xf numFmtId="43" fontId="98" fillId="5" borderId="15" xfId="17" applyFont="1" applyFill="1" applyBorder="1" applyAlignment="1">
      <alignment horizontal="center" vertical="center"/>
    </xf>
    <xf numFmtId="0" fontId="98" fillId="5" borderId="1" xfId="18" applyNumberFormat="1" applyFont="1" applyFill="1" applyBorder="1" applyAlignment="1">
      <alignment horizontal="center" vertical="center"/>
    </xf>
    <xf numFmtId="49" fontId="98" fillId="5" borderId="1" xfId="0" applyNumberFormat="1" applyFont="1" applyFill="1" applyBorder="1" applyAlignment="1">
      <alignment horizontal="left" vertical="center"/>
    </xf>
    <xf numFmtId="198" fontId="98" fillId="5" borderId="1" xfId="17" applyNumberFormat="1" applyFont="1" applyFill="1" applyBorder="1" applyAlignment="1">
      <alignment horizontal="center" vertical="center"/>
    </xf>
    <xf numFmtId="49" fontId="98" fillId="0" borderId="1" xfId="0" applyNumberFormat="1" applyFont="1" applyFill="1" applyBorder="1" applyAlignment="1">
      <alignment horizontal="left" vertical="center"/>
    </xf>
    <xf numFmtId="198" fontId="98" fillId="0" borderId="1" xfId="17" applyNumberFormat="1" applyFont="1" applyFill="1" applyBorder="1" applyAlignment="1">
      <alignment horizontal="center" vertical="center"/>
    </xf>
    <xf numFmtId="49" fontId="98" fillId="5" borderId="1" xfId="22" applyNumberFormat="1" applyFont="1" applyFill="1" applyBorder="1" applyAlignment="1">
      <alignment vertical="center"/>
    </xf>
    <xf numFmtId="0" fontId="98" fillId="5" borderId="0" xfId="0" applyFont="1" applyFill="1" applyBorder="1" applyAlignment="1">
      <alignment horizontal="left" vertical="center"/>
    </xf>
    <xf numFmtId="197" fontId="98" fillId="0" borderId="1" xfId="23" applyFont="1" applyFill="1" applyBorder="1" applyAlignment="1">
      <alignment vertical="center"/>
    </xf>
    <xf numFmtId="49" fontId="98" fillId="0" borderId="1" xfId="22" applyNumberFormat="1" applyFont="1" applyFill="1" applyBorder="1" applyAlignment="1">
      <alignment vertical="center"/>
    </xf>
    <xf numFmtId="0" fontId="98" fillId="0" borderId="0" xfId="0" applyFont="1" applyFill="1" applyBorder="1" applyAlignment="1">
      <alignment horizontal="left" vertical="center"/>
    </xf>
    <xf numFmtId="176" fontId="98" fillId="5" borderId="1" xfId="17" applyNumberFormat="1" applyFont="1" applyFill="1" applyBorder="1" applyAlignment="1">
      <alignment horizontal="center" vertical="center"/>
    </xf>
    <xf numFmtId="0" fontId="0" fillId="5" borderId="1" xfId="0" applyFill="1" applyBorder="1">
      <alignment vertical="center"/>
    </xf>
    <xf numFmtId="0" fontId="0" fillId="0" borderId="1" xfId="0" applyFill="1" applyBorder="1">
      <alignment vertical="center"/>
    </xf>
    <xf numFmtId="43" fontId="98" fillId="5" borderId="13" xfId="17" applyFont="1" applyFill="1" applyBorder="1" applyAlignment="1">
      <alignment horizontal="center" vertical="center"/>
    </xf>
    <xf numFmtId="0" fontId="98" fillId="5" borderId="1" xfId="0" applyNumberFormat="1" applyFont="1" applyFill="1" applyBorder="1">
      <alignment vertical="center"/>
    </xf>
    <xf numFmtId="0" fontId="98" fillId="0" borderId="1" xfId="0" applyNumberFormat="1" applyFont="1" applyFill="1" applyBorder="1">
      <alignment vertical="center"/>
    </xf>
    <xf numFmtId="14" fontId="98" fillId="5" borderId="0" xfId="0" applyNumberFormat="1" applyFont="1" applyFill="1" applyBorder="1" applyAlignment="1">
      <alignment horizontal="center" vertical="center"/>
    </xf>
    <xf numFmtId="43" fontId="98" fillId="5" borderId="0" xfId="17" applyFont="1" applyFill="1" applyBorder="1" applyAlignment="1">
      <alignment horizontal="left" vertical="center"/>
    </xf>
    <xf numFmtId="43" fontId="98" fillId="5" borderId="0" xfId="17" applyFont="1" applyFill="1" applyBorder="1">
      <alignment vertical="center"/>
    </xf>
    <xf numFmtId="186" fontId="98" fillId="5" borderId="0" xfId="0" applyNumberFormat="1" applyFont="1" applyFill="1" applyBorder="1">
      <alignment vertical="center"/>
    </xf>
    <xf numFmtId="0" fontId="98" fillId="0" borderId="0" xfId="0" applyFont="1" applyFill="1" applyBorder="1" applyAlignment="1">
      <alignment vertical="center"/>
    </xf>
    <xf numFmtId="14" fontId="98" fillId="0" borderId="0" xfId="0" applyNumberFormat="1" applyFont="1" applyFill="1" applyBorder="1" applyAlignment="1">
      <alignment horizontal="center" vertical="center"/>
    </xf>
    <xf numFmtId="14" fontId="98" fillId="0" borderId="0" xfId="0" applyNumberFormat="1" applyFont="1" applyFill="1" applyBorder="1" applyAlignment="1">
      <alignment horizontal="left" vertical="center"/>
    </xf>
    <xf numFmtId="43" fontId="98" fillId="0" borderId="0" xfId="17" applyFont="1" applyFill="1" applyBorder="1" applyAlignment="1">
      <alignment horizontal="left" vertical="center"/>
    </xf>
    <xf numFmtId="199" fontId="98" fillId="0" borderId="0" xfId="18" applyNumberFormat="1" applyFont="1" applyFill="1" applyBorder="1">
      <alignment vertical="center"/>
    </xf>
    <xf numFmtId="43" fontId="98" fillId="0" borderId="0" xfId="17" applyFont="1" applyFill="1" applyBorder="1" applyAlignment="1">
      <alignment horizontal="left" vertical="top"/>
    </xf>
    <xf numFmtId="0" fontId="98" fillId="0" borderId="0" xfId="18" applyNumberFormat="1" applyFont="1" applyFill="1" applyBorder="1">
      <alignment vertical="center"/>
    </xf>
    <xf numFmtId="0" fontId="260" fillId="0" borderId="1" xfId="0" applyFont="1" applyBorder="1" applyAlignment="1">
      <alignment horizontal="center" vertical="center"/>
    </xf>
    <xf numFmtId="0" fontId="117" fillId="0" borderId="24" xfId="0" applyFont="1" applyBorder="1" applyAlignment="1">
      <alignment horizontal="center" vertical="center"/>
    </xf>
    <xf numFmtId="49" fontId="260" fillId="0" borderId="1" xfId="0" applyNumberFormat="1" applyFont="1" applyBorder="1" applyAlignment="1">
      <alignment horizontal="center" vertical="center"/>
    </xf>
    <xf numFmtId="9" fontId="260" fillId="0" borderId="1" xfId="0" applyNumberFormat="1" applyFont="1" applyBorder="1" applyAlignment="1">
      <alignment horizontal="center" vertical="center"/>
    </xf>
    <xf numFmtId="10" fontId="260" fillId="0" borderId="1" xfId="0" applyNumberFormat="1" applyFont="1" applyBorder="1" applyAlignment="1">
      <alignment horizontal="center" vertical="center"/>
    </xf>
    <xf numFmtId="0" fontId="260" fillId="0" borderId="13" xfId="0" applyFont="1" applyBorder="1" applyAlignment="1">
      <alignment horizontal="center" vertical="center"/>
    </xf>
    <xf numFmtId="0" fontId="261" fillId="0" borderId="32" xfId="0" applyFont="1" applyBorder="1" applyAlignment="1">
      <alignment horizontal="center" vertical="center"/>
    </xf>
    <xf numFmtId="0" fontId="260" fillId="0" borderId="32" xfId="0" applyFont="1" applyBorder="1" applyAlignment="1">
      <alignment horizontal="center" vertical="center"/>
    </xf>
    <xf numFmtId="31" fontId="98" fillId="0" borderId="0" xfId="0" applyNumberFormat="1" applyFont="1" applyFill="1" applyBorder="1">
      <alignment vertical="center"/>
    </xf>
    <xf numFmtId="9" fontId="98" fillId="5" borderId="0" xfId="20" applyFont="1" applyFill="1" applyBorder="1">
      <alignment vertical="center"/>
    </xf>
    <xf numFmtId="0" fontId="262" fillId="5" borderId="1" xfId="0" applyFont="1" applyFill="1" applyBorder="1">
      <alignment vertical="center"/>
    </xf>
    <xf numFmtId="0" fontId="262" fillId="5" borderId="1" xfId="0" applyFont="1" applyFill="1" applyBorder="1" applyAlignment="1">
      <alignment horizontal="left" vertical="center"/>
    </xf>
    <xf numFmtId="14" fontId="262" fillId="5" borderId="1" xfId="0" applyNumberFormat="1" applyFont="1" applyFill="1" applyBorder="1" applyAlignment="1">
      <alignment horizontal="center" vertical="center"/>
    </xf>
    <xf numFmtId="43" fontId="262" fillId="5" borderId="1" xfId="17" applyFont="1" applyFill="1" applyBorder="1" applyAlignment="1">
      <alignment horizontal="left" vertical="center"/>
    </xf>
    <xf numFmtId="0" fontId="262" fillId="5" borderId="0" xfId="0" applyNumberFormat="1" applyFont="1" applyFill="1" applyBorder="1">
      <alignment vertical="center"/>
    </xf>
    <xf numFmtId="0" fontId="262" fillId="5" borderId="0" xfId="0" applyFont="1" applyFill="1" applyBorder="1">
      <alignment vertical="center"/>
    </xf>
    <xf numFmtId="43" fontId="262" fillId="5" borderId="1" xfId="17" applyFont="1" applyFill="1" applyBorder="1" applyAlignment="1">
      <alignment vertical="center"/>
    </xf>
    <xf numFmtId="43" fontId="262" fillId="5" borderId="1" xfId="17" applyFont="1" applyFill="1" applyBorder="1" applyAlignment="1">
      <alignment horizontal="center" vertical="center"/>
    </xf>
    <xf numFmtId="197" fontId="262" fillId="5" borderId="1" xfId="22" applyFont="1" applyFill="1" applyBorder="1" applyAlignment="1">
      <alignment vertical="center"/>
    </xf>
    <xf numFmtId="197" fontId="262" fillId="5" borderId="1" xfId="22" applyFont="1" applyFill="1" applyBorder="1" applyAlignment="1">
      <alignment horizontal="left" vertical="center"/>
    </xf>
    <xf numFmtId="49" fontId="262" fillId="5" borderId="1" xfId="0" applyNumberFormat="1" applyFont="1" applyFill="1" applyBorder="1" applyAlignment="1">
      <alignment horizontal="left" vertical="center"/>
    </xf>
    <xf numFmtId="198" fontId="262" fillId="5" borderId="1" xfId="17" applyNumberFormat="1" applyFont="1" applyFill="1" applyBorder="1" applyAlignment="1">
      <alignment horizontal="center" vertical="center"/>
    </xf>
    <xf numFmtId="197" fontId="262" fillId="5" borderId="1" xfId="23" applyFont="1" applyFill="1" applyBorder="1" applyAlignment="1">
      <alignment vertical="center"/>
    </xf>
    <xf numFmtId="49" fontId="262" fillId="5" borderId="1" xfId="23" applyNumberFormat="1" applyFont="1" applyFill="1" applyBorder="1" applyAlignment="1">
      <alignment vertical="center"/>
    </xf>
    <xf numFmtId="197" fontId="262" fillId="5" borderId="1" xfId="23" applyFont="1" applyFill="1" applyBorder="1" applyAlignment="1">
      <alignment horizontal="left" vertical="center"/>
    </xf>
    <xf numFmtId="0" fontId="262" fillId="5" borderId="1" xfId="17" applyNumberFormat="1" applyFont="1" applyFill="1" applyBorder="1" applyAlignment="1">
      <alignment horizontal="center" vertical="center"/>
    </xf>
    <xf numFmtId="198" fontId="262" fillId="5" borderId="1" xfId="17" applyNumberFormat="1" applyFont="1" applyFill="1" applyBorder="1">
      <alignment vertical="center"/>
    </xf>
    <xf numFmtId="49" fontId="262" fillId="5" borderId="1" xfId="22" applyNumberFormat="1" applyFont="1" applyFill="1" applyBorder="1" applyAlignment="1">
      <alignment vertical="center"/>
    </xf>
    <xf numFmtId="0" fontId="262" fillId="5" borderId="0" xfId="0" applyFont="1" applyFill="1" applyBorder="1" applyAlignment="1">
      <alignment horizontal="left" vertical="center"/>
    </xf>
    <xf numFmtId="176" fontId="262" fillId="5" borderId="1" xfId="17" applyNumberFormat="1" applyFont="1" applyFill="1" applyBorder="1" applyAlignment="1">
      <alignment horizontal="center" vertical="center"/>
    </xf>
    <xf numFmtId="14" fontId="262" fillId="5" borderId="1" xfId="0" applyNumberFormat="1" applyFont="1" applyFill="1" applyBorder="1" applyAlignment="1">
      <alignment horizontal="left" vertical="center"/>
    </xf>
    <xf numFmtId="43" fontId="262" fillId="5" borderId="1" xfId="17" applyFont="1" applyFill="1" applyBorder="1" applyAlignment="1">
      <alignment vertical="top"/>
    </xf>
    <xf numFmtId="0" fontId="262" fillId="5" borderId="1" xfId="0" applyNumberFormat="1" applyFont="1" applyFill="1" applyBorder="1">
      <alignment vertical="center"/>
    </xf>
    <xf numFmtId="0" fontId="262" fillId="5" borderId="1" xfId="0" applyFont="1" applyFill="1" applyBorder="1" applyAlignment="1">
      <alignment vertical="center"/>
    </xf>
    <xf numFmtId="0" fontId="262" fillId="5" borderId="5" xfId="0" applyFont="1" applyFill="1" applyBorder="1" applyAlignment="1">
      <alignment horizontal="left" vertical="center"/>
    </xf>
    <xf numFmtId="9" fontId="79" fillId="12" borderId="0" xfId="0" applyNumberFormat="1" applyFont="1" applyFill="1" applyAlignment="1" applyProtection="1">
      <alignment vertical="center"/>
      <protection locked="0"/>
    </xf>
    <xf numFmtId="0" fontId="260" fillId="0" borderId="0" xfId="0" applyFont="1" applyFill="1" applyBorder="1" applyAlignment="1">
      <alignment horizontal="left" vertical="center"/>
    </xf>
    <xf numFmtId="0" fontId="260" fillId="0" borderId="1" xfId="0" applyFont="1" applyBorder="1" applyAlignment="1" applyProtection="1">
      <alignment horizontal="center" vertical="center"/>
      <protection locked="0"/>
    </xf>
    <xf numFmtId="9"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1" fontId="56"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180" fontId="46" fillId="0" borderId="1" xfId="0" applyNumberFormat="1" applyFont="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17"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2" applyFont="1" applyFill="1" applyBorder="1" applyAlignment="1">
      <alignment horizontal="left" vertical="center"/>
    </xf>
    <xf numFmtId="197" fontId="98" fillId="0" borderId="1" xfId="22" applyFont="1" applyFill="1" applyBorder="1" applyAlignment="1">
      <alignment horizontal="center" vertical="center"/>
    </xf>
    <xf numFmtId="0" fontId="98" fillId="0" borderId="13" xfId="17" applyNumberFormat="1" applyFont="1" applyFill="1" applyBorder="1" applyAlignment="1">
      <alignment horizontal="center" vertical="center"/>
    </xf>
    <xf numFmtId="0" fontId="98" fillId="0" borderId="15" xfId="17" applyNumberFormat="1" applyFont="1" applyFill="1" applyBorder="1" applyAlignment="1">
      <alignment horizontal="center" vertical="center"/>
    </xf>
    <xf numFmtId="0" fontId="98" fillId="0" borderId="2" xfId="17" applyNumberFormat="1" applyFont="1" applyFill="1" applyBorder="1" applyAlignment="1">
      <alignment horizontal="center" vertical="center"/>
    </xf>
    <xf numFmtId="0" fontId="98" fillId="0" borderId="13" xfId="18" applyNumberFormat="1" applyFont="1" applyFill="1" applyBorder="1" applyAlignment="1">
      <alignment horizontal="center" vertical="center"/>
    </xf>
    <xf numFmtId="0" fontId="98" fillId="0" borderId="2" xfId="18" applyNumberFormat="1" applyFont="1" applyFill="1" applyBorder="1" applyAlignment="1">
      <alignment horizontal="center" vertical="center"/>
    </xf>
    <xf numFmtId="43" fontId="98" fillId="0" borderId="13" xfId="17" applyFont="1" applyFill="1" applyBorder="1" applyAlignment="1">
      <alignment horizontal="center" vertical="center"/>
    </xf>
    <xf numFmtId="43" fontId="98" fillId="0" borderId="2" xfId="17" applyFont="1" applyFill="1" applyBorder="1" applyAlignment="1">
      <alignment horizontal="center" vertical="center"/>
    </xf>
    <xf numFmtId="0" fontId="98" fillId="5" borderId="13" xfId="17" applyNumberFormat="1" applyFont="1" applyFill="1" applyBorder="1" applyAlignment="1">
      <alignment horizontal="center" vertical="center"/>
    </xf>
    <xf numFmtId="0" fontId="98" fillId="5" borderId="2" xfId="17" applyNumberFormat="1" applyFont="1" applyFill="1" applyBorder="1" applyAlignment="1">
      <alignment horizontal="center" vertical="center"/>
    </xf>
    <xf numFmtId="176" fontId="98" fillId="0" borderId="13" xfId="17" applyNumberFormat="1" applyFont="1" applyFill="1" applyBorder="1" applyAlignment="1">
      <alignment horizontal="center" vertical="center"/>
    </xf>
    <xf numFmtId="176" fontId="98" fillId="0" borderId="2" xfId="17" applyNumberFormat="1" applyFont="1" applyFill="1" applyBorder="1" applyAlignment="1">
      <alignment horizontal="center" vertical="center"/>
    </xf>
    <xf numFmtId="176" fontId="98" fillId="0" borderId="1" xfId="17" applyNumberFormat="1" applyFont="1" applyFill="1" applyBorder="1" applyAlignment="1">
      <alignment horizontal="center" vertical="center"/>
    </xf>
    <xf numFmtId="0" fontId="260" fillId="0" borderId="11" xfId="0" applyFont="1" applyBorder="1" applyAlignment="1">
      <alignment horizontal="center" vertical="center"/>
    </xf>
    <xf numFmtId="0" fontId="260" fillId="0" borderId="14" xfId="0" applyFont="1" applyBorder="1" applyAlignment="1">
      <alignment horizontal="center" vertical="center"/>
    </xf>
    <xf numFmtId="0" fontId="260" fillId="0" borderId="41" xfId="0" applyFont="1" applyBorder="1" applyAlignment="1">
      <alignment horizontal="center" vertical="center"/>
    </xf>
    <xf numFmtId="0" fontId="260" fillId="0" borderId="13" xfId="0" applyFont="1" applyBorder="1" applyAlignment="1">
      <alignment horizontal="center" vertical="center"/>
    </xf>
    <xf numFmtId="0" fontId="260" fillId="0" borderId="15" xfId="0" applyFont="1" applyBorder="1" applyAlignment="1">
      <alignment horizontal="center" vertical="center"/>
    </xf>
    <xf numFmtId="0" fontId="260" fillId="0" borderId="2" xfId="0" applyFont="1" applyBorder="1" applyAlignment="1">
      <alignment horizontal="center" vertical="center"/>
    </xf>
    <xf numFmtId="44" fontId="111" fillId="0" borderId="61" xfId="19" applyFont="1" applyBorder="1" applyAlignment="1">
      <alignment horizontal="center" vertical="center"/>
    </xf>
    <xf numFmtId="44" fontId="111" fillId="0" borderId="53" xfId="19" applyFont="1" applyBorder="1" applyAlignment="1">
      <alignment horizontal="center" vertical="center"/>
    </xf>
    <xf numFmtId="44" fontId="111" fillId="0" borderId="8" xfId="19" applyFont="1" applyBorder="1" applyAlignment="1">
      <alignment horizontal="center" vertical="center"/>
    </xf>
    <xf numFmtId="0" fontId="260" fillId="0" borderId="16" xfId="0" applyFont="1" applyBorder="1" applyAlignment="1">
      <alignment horizontal="center" vertical="center"/>
    </xf>
    <xf numFmtId="0" fontId="260" fillId="0" borderId="19" xfId="0" applyFont="1" applyBorder="1" applyAlignment="1">
      <alignment horizontal="center" vertical="center"/>
    </xf>
    <xf numFmtId="0" fontId="260" fillId="0" borderId="31" xfId="0" applyFont="1" applyBorder="1" applyAlignment="1">
      <alignment horizontal="center" vertical="center"/>
    </xf>
    <xf numFmtId="0" fontId="260" fillId="0" borderId="37" xfId="0" applyFont="1" applyBorder="1" applyAlignment="1">
      <alignment horizontal="center" vertical="center"/>
    </xf>
    <xf numFmtId="0" fontId="260" fillId="0" borderId="3" xfId="0" applyFont="1" applyBorder="1" applyAlignment="1">
      <alignment horizontal="center" vertical="center"/>
    </xf>
    <xf numFmtId="0" fontId="260" fillId="0" borderId="23" xfId="0" applyFont="1" applyBorder="1" applyAlignment="1">
      <alignment horizontal="center" vertical="center"/>
    </xf>
    <xf numFmtId="10" fontId="111" fillId="0" borderId="61" xfId="0" applyNumberFormat="1" applyFont="1" applyBorder="1" applyAlignment="1">
      <alignment horizontal="center" vertical="center"/>
    </xf>
    <xf numFmtId="0" fontId="111" fillId="0" borderId="53" xfId="0" applyFont="1" applyBorder="1" applyAlignment="1">
      <alignment horizontal="center" vertical="center"/>
    </xf>
    <xf numFmtId="0" fontId="111" fillId="0" borderId="8" xfId="0" applyFont="1" applyBorder="1" applyAlignment="1">
      <alignment horizontal="center" vertical="center"/>
    </xf>
    <xf numFmtId="0" fontId="111" fillId="0" borderId="61" xfId="0" applyFont="1" applyBorder="1" applyAlignment="1">
      <alignment horizontal="center" vertical="center"/>
    </xf>
    <xf numFmtId="0" fontId="260" fillId="0" borderId="12" xfId="0" applyFont="1" applyBorder="1" applyAlignment="1">
      <alignment horizontal="center" vertical="center"/>
    </xf>
    <xf numFmtId="0" fontId="260" fillId="0" borderId="74" xfId="0" applyFont="1" applyBorder="1" applyAlignment="1">
      <alignment horizontal="center" vertical="center"/>
    </xf>
    <xf numFmtId="0" fontId="111" fillId="0" borderId="76" xfId="0" applyFont="1" applyBorder="1" applyAlignment="1">
      <alignment horizontal="center" vertical="center"/>
    </xf>
    <xf numFmtId="201" fontId="263" fillId="0" borderId="0" xfId="0" applyNumberFormat="1" applyFont="1" applyAlignment="1">
      <alignment horizontal="left" vertical="center"/>
    </xf>
    <xf numFmtId="201" fontId="48" fillId="6" borderId="13" xfId="0" applyNumberFormat="1" applyFont="1" applyFill="1" applyBorder="1" applyAlignment="1" applyProtection="1">
      <alignment vertical="center"/>
    </xf>
  </cellXfs>
  <cellStyles count="24">
    <cellStyle name="百分比" xfId="20"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57" xfId="22"/>
    <cellStyle name="常规 58" xfId="21"/>
    <cellStyle name="常规 6" xfId="6"/>
    <cellStyle name="常规 6 2" xfId="9"/>
    <cellStyle name="常规 6 2 2" xfId="16"/>
    <cellStyle name="常规 6 2 3" xfId="13"/>
    <cellStyle name="常规 61" xfId="23"/>
    <cellStyle name="常规 7" xfId="7"/>
    <cellStyle name="常规 8" xfId="11"/>
    <cellStyle name="常规 9" xfId="12"/>
    <cellStyle name="货币" xfId="19" builtinId="4"/>
    <cellStyle name="千位分隔" xfId="17" builtinId="3"/>
    <cellStyle name="千位分隔[0]" xfId="18" builtinId="6"/>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686&#22025;&#21019;&#20108;&#36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24354.510000000002</v>
          </cell>
          <cell r="C14">
            <v>16596.246999999999</v>
          </cell>
          <cell r="D14">
            <v>2550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土地"/>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3184</v>
          </cell>
        </row>
      </sheetData>
      <sheetData sheetId="33">
        <row r="33">
          <cell r="E33">
            <v>5508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估价对象为北京市房地产，为所有。根据《国有土地使用证》[]，估价对象（分摊）出让国有建设用地使用权面积为22578.39平方米，建筑面积为33133.13平方米。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估价对象为北京市房地产,属开发建设的，该项目尚在开发建设中。根据《国有土地使用证》[]，估价对象（分摊）出让国有建设用地使用权面积为22578.39平方米，规划建筑面积为33133.13平方米。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2022年11月9日（评估专业人员实地查勘之日）</v>
      </c>
    </row>
    <row r="13" spans="1:2" s="1317" customFormat="1">
      <c r="A13" s="1315" t="s">
        <v>954</v>
      </c>
      <c r="B13" s="1316" t="str">
        <f>'预评函-1'!A18</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23522</v>
      </c>
    </row>
    <row r="21" spans="1:2" s="1317" customFormat="1">
      <c r="A21" s="1315" t="s">
        <v>962</v>
      </c>
      <c r="B21" s="1316">
        <f ca="1">'预评函-2'!D7</f>
        <v>7099</v>
      </c>
    </row>
    <row r="22" spans="1:2" s="1317" customFormat="1">
      <c r="A22" s="1315" t="s">
        <v>963</v>
      </c>
      <c r="B22" s="1316" t="str">
        <f ca="1">'预评函-2'!D6</f>
        <v>贰亿叁仟伍佰贰拾贰万元整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23522</v>
      </c>
    </row>
    <row r="31" spans="1:2" s="1317" customFormat="1">
      <c r="A31" s="1315" t="s">
        <v>1001</v>
      </c>
      <c r="B31" s="1316">
        <f ca="1">'预评函-2'!D15</f>
        <v>7099</v>
      </c>
    </row>
    <row r="32" spans="1:2" s="1317" customFormat="1">
      <c r="A32" s="1315" t="s">
        <v>968</v>
      </c>
      <c r="B32" s="1316" t="str">
        <f ca="1">'预评函-2'!D14</f>
        <v>贰亿叁仟伍佰贰拾贰万元整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33133.130000000005</v>
      </c>
    </row>
    <row r="44" spans="1:2" s="1317" customFormat="1">
      <c r="A44" s="1315" t="s">
        <v>1000</v>
      </c>
      <c r="B44" s="1316" t="str">
        <f>'预评函-3'!C2</f>
        <v>(分摊)土地面积</v>
      </c>
    </row>
    <row r="45" spans="1:2" s="1317" customFormat="1">
      <c r="A45" s="1315" t="s">
        <v>972</v>
      </c>
      <c r="B45" s="1316">
        <f>'预评函-3'!C4</f>
        <v>22578.39</v>
      </c>
    </row>
    <row r="46" spans="1:2" s="1317" customFormat="1">
      <c r="A46" s="1315" t="s">
        <v>998</v>
      </c>
      <c r="B46" s="1316" t="str">
        <f>'预评函-3'!D2</f>
        <v>出让国有建设用地使用权价值</v>
      </c>
    </row>
    <row r="47" spans="1:2" s="1317" customFormat="1">
      <c r="A47" s="1315" t="s">
        <v>973</v>
      </c>
      <c r="B47" s="1316">
        <f ca="1">'预评函-3'!D4</f>
        <v>8421</v>
      </c>
    </row>
    <row r="48" spans="1:2" s="1317" customFormat="1">
      <c r="A48" s="1315" t="s">
        <v>974</v>
      </c>
      <c r="B48" s="1316">
        <f ca="1">'预评函-3'!E4</f>
        <v>2541</v>
      </c>
    </row>
    <row r="49" spans="1:2" s="1317" customFormat="1">
      <c r="A49" s="1315" t="s">
        <v>975</v>
      </c>
      <c r="B49" s="1316" t="str">
        <f ca="1">'预评函-3'!D5</f>
        <v>捌仟肆佰贰拾壹万元整</v>
      </c>
    </row>
    <row r="50" spans="1:2" s="1317" customFormat="1">
      <c r="A50" s="1315" t="s">
        <v>999</v>
      </c>
      <c r="B50" s="1316" t="str">
        <f>'预评函-3'!F2</f>
        <v>在建建筑物价值</v>
      </c>
    </row>
    <row r="51" spans="1:2" s="1317" customFormat="1">
      <c r="A51" s="1315" t="s">
        <v>976</v>
      </c>
      <c r="B51" s="1316">
        <f ca="1">'预评函-3'!F4</f>
        <v>15101</v>
      </c>
    </row>
    <row r="52" spans="1:2" s="1317" customFormat="1">
      <c r="A52" s="1315" t="s">
        <v>977</v>
      </c>
      <c r="B52" s="1316">
        <f ca="1">'预评函-3'!G4</f>
        <v>4558</v>
      </c>
    </row>
    <row r="53" spans="1:2" s="1317" customFormat="1">
      <c r="A53" s="1315" t="s">
        <v>1005</v>
      </c>
      <c r="B53" s="1316" t="str">
        <f ca="1">'预评函-3'!F5</f>
        <v>壹亿伍仟壹佰零壹万元整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4" sqref="G3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4" t="s">
        <v>3891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42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8"/>
      <c r="B54" s="1689" t="s">
        <v>651</v>
      </c>
      <c r="C54" s="1686" t="s">
        <v>1008</v>
      </c>
    </row>
    <row r="55" spans="1:4">
      <c r="A55" s="3428"/>
      <c r="B55" s="1689" t="s">
        <v>652</v>
      </c>
      <c r="C55" s="1686" t="s">
        <v>1009</v>
      </c>
    </row>
    <row r="56" spans="1:4">
      <c r="A56" s="3428"/>
      <c r="B56" s="1689" t="s">
        <v>653</v>
      </c>
      <c r="C56" s="1686" t="s">
        <v>1013</v>
      </c>
    </row>
    <row r="57" spans="1:4">
      <c r="A57" s="342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0" sqref="I2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429" t="str">
        <f>IF(B10="北京市","北京市",C10)&amp;F10&amp;IF(结果表!G1="在建","出让国有建设用地使用权及在建建筑物",IF(结果表!G1="土地","出让国有建设用地使用权",))&amp;B9&amp;"预评估"</f>
        <v>北京市房地产抵押价值预评估</v>
      </c>
      <c r="C1" s="3430"/>
      <c r="D1" s="3430"/>
      <c r="E1" s="3430"/>
      <c r="F1" s="3430"/>
      <c r="G1" s="3430"/>
      <c r="H1" s="3430"/>
      <c r="I1" s="3431"/>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44874</v>
      </c>
      <c r="C3" s="2547" t="s">
        <v>2672</v>
      </c>
      <c r="D3" s="2546">
        <f>B3</f>
        <v>44874</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3168</v>
      </c>
      <c r="C8" s="2563"/>
      <c r="D8" s="3432" t="s">
        <v>2678</v>
      </c>
      <c r="E8" s="2564"/>
      <c r="F8" s="2565"/>
      <c r="G8" s="2839"/>
      <c r="H8" s="2839"/>
      <c r="I8" s="2839"/>
      <c r="J8" s="2614"/>
      <c r="K8" s="2789"/>
      <c r="L8" s="2788"/>
      <c r="M8" s="2788"/>
      <c r="N8" s="2614"/>
      <c r="O8" s="2625"/>
      <c r="P8" s="2614"/>
      <c r="Q8" s="2614"/>
      <c r="R8" s="2614"/>
    </row>
    <row r="9" spans="1:28" ht="13.5" thickBot="1">
      <c r="A9" s="2566" t="s">
        <v>2679</v>
      </c>
      <c r="B9" s="2567" t="s">
        <v>3169</v>
      </c>
      <c r="C9" s="2568"/>
      <c r="D9" s="3433"/>
      <c r="E9" s="2567"/>
      <c r="F9" s="2569"/>
      <c r="G9" s="2841"/>
      <c r="H9" s="2841"/>
      <c r="I9" s="2841"/>
      <c r="J9" s="2614"/>
      <c r="K9" s="2791"/>
      <c r="L9" s="2788"/>
      <c r="M9" s="2788"/>
      <c r="N9" s="2614"/>
      <c r="O9" s="2625"/>
      <c r="P9" s="2614"/>
      <c r="Q9" s="2614"/>
      <c r="R9" s="2614"/>
    </row>
    <row r="10" spans="1:28" ht="13.5" thickTop="1">
      <c r="A10" s="2570" t="s">
        <v>2680</v>
      </c>
      <c r="B10" s="2571" t="s">
        <v>3170</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3171</v>
      </c>
      <c r="C11" s="2576"/>
      <c r="D11" s="2577"/>
      <c r="E11" s="2543"/>
      <c r="F11" s="2543"/>
      <c r="G11" s="2543"/>
      <c r="H11" s="2543"/>
      <c r="I11" s="2543"/>
      <c r="J11" s="2614"/>
      <c r="K11" s="2791"/>
      <c r="L11" s="2788"/>
      <c r="M11" s="2788"/>
      <c r="N11" s="2614"/>
      <c r="O11" s="2625"/>
      <c r="P11" s="2614"/>
      <c r="Q11" s="2614"/>
      <c r="R11" s="2614"/>
    </row>
    <row r="12" spans="1:28">
      <c r="A12" s="2578" t="s">
        <v>2683</v>
      </c>
      <c r="B12" s="2575" t="s">
        <v>3172</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945">
        <v>57314</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34.08</v>
      </c>
      <c r="J15" s="2614"/>
      <c r="K15" s="2793"/>
      <c r="L15" s="2626"/>
      <c r="M15" s="2626"/>
      <c r="N15" s="2684"/>
      <c r="O15" s="2626"/>
      <c r="P15" s="2684"/>
      <c r="Q15" s="2614"/>
      <c r="R15" s="2614"/>
    </row>
    <row r="16" spans="1:28">
      <c r="A16" s="2573" t="s">
        <v>2694</v>
      </c>
      <c r="B16" s="3439"/>
      <c r="C16" s="3440"/>
      <c r="D16" s="3441"/>
      <c r="E16" s="2588" t="s">
        <v>2695</v>
      </c>
      <c r="F16" s="3442"/>
      <c r="G16" s="3443"/>
      <c r="H16" s="3443"/>
      <c r="I16" s="3444"/>
      <c r="J16" s="2614"/>
      <c r="K16" s="2793"/>
      <c r="L16" s="2626"/>
      <c r="M16" s="2626"/>
      <c r="N16" s="2684"/>
      <c r="O16" s="2626"/>
      <c r="P16" s="2684"/>
      <c r="Q16" s="2614"/>
      <c r="R16" s="2614"/>
    </row>
    <row r="17" spans="1:28">
      <c r="A17" s="318" t="s">
        <v>2696</v>
      </c>
      <c r="B17" s="307" t="s">
        <v>2697</v>
      </c>
      <c r="C17" s="11">
        <f>'数据-汇总表'!E3</f>
        <v>33133.130000000005</v>
      </c>
      <c r="D17" s="2495" t="s">
        <v>2698</v>
      </c>
      <c r="E17" s="3445" t="s">
        <v>2699</v>
      </c>
      <c r="F17" s="3446"/>
      <c r="G17" s="3446"/>
      <c r="H17" s="3446"/>
      <c r="I17" s="3447"/>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22578.39</v>
      </c>
      <c r="D18" s="1204" t="s">
        <v>2702</v>
      </c>
      <c r="E18" s="3448" t="s">
        <v>2703</v>
      </c>
      <c r="F18" s="3449"/>
      <c r="G18" s="3449"/>
      <c r="H18" s="3449"/>
      <c r="I18" s="3450"/>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435" t="s">
        <v>2707</v>
      </c>
      <c r="C20" s="3436"/>
      <c r="D20" s="3437" t="s">
        <v>2708</v>
      </c>
      <c r="E20" s="3438"/>
      <c r="F20" s="2823" t="s">
        <v>1501</v>
      </c>
      <c r="G20" s="2840"/>
      <c r="H20" s="2840"/>
      <c r="I20" s="2840"/>
      <c r="J20" s="2614"/>
      <c r="K20" s="3434"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4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4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52"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52"/>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52"/>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53"/>
      <c r="B30" s="307" t="s">
        <v>2719</v>
      </c>
      <c r="C30" s="3454"/>
      <c r="D30" s="3455"/>
      <c r="E30" s="2840"/>
      <c r="F30" s="2840"/>
      <c r="G30" s="2840"/>
      <c r="H30" s="2840"/>
      <c r="I30" s="2840"/>
      <c r="J30" s="2614"/>
      <c r="K30" s="2791"/>
      <c r="L30" s="2788"/>
      <c r="M30" s="2788"/>
      <c r="N30" s="2614"/>
      <c r="O30" s="2625"/>
      <c r="P30" s="2614"/>
      <c r="Q30" s="2614"/>
      <c r="R30" s="2614"/>
      <c r="S30" s="2614"/>
      <c r="T30" s="2614"/>
      <c r="U30" s="2614"/>
      <c r="V30" s="2614"/>
    </row>
    <row r="31" spans="1:28">
      <c r="A31" s="3456"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57"/>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57"/>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51" t="s">
        <v>2729</v>
      </c>
      <c r="T34" s="2603" t="str">
        <f>NUMBERSTRING(7-K34,1)&amp;"通"</f>
        <v>七通</v>
      </c>
      <c r="U34" s="2614"/>
      <c r="V34" s="2614"/>
    </row>
    <row r="35" spans="1:30">
      <c r="A35" s="2604"/>
      <c r="B35" s="3458" t="s">
        <v>2730</v>
      </c>
      <c r="C35" s="3458"/>
      <c r="D35" s="3458"/>
      <c r="E35" s="3458"/>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51"/>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2"/>
  <sheetViews>
    <sheetView workbookViewId="0">
      <selection activeCell="G36" sqref="G36"/>
    </sheetView>
  </sheetViews>
  <sheetFormatPr defaultColWidth="9" defaultRowHeight="12"/>
  <cols>
    <col min="1" max="1" width="31.625" style="3249" customWidth="1"/>
    <col min="2" max="6" width="9" style="3249"/>
    <col min="7" max="7" width="10" style="3249" customWidth="1"/>
    <col min="8" max="8" width="13.75" style="3249" bestFit="1" customWidth="1"/>
    <col min="9" max="16384" width="9" style="3249"/>
  </cols>
  <sheetData>
    <row r="1" spans="1:8">
      <c r="A1" s="3246" t="s">
        <v>3193</v>
      </c>
      <c r="B1" s="3247" t="s">
        <v>3207</v>
      </c>
      <c r="C1" s="3247" t="s">
        <v>3209</v>
      </c>
      <c r="D1" s="3247" t="s">
        <v>3210</v>
      </c>
      <c r="E1" s="3247" t="s">
        <v>3190</v>
      </c>
      <c r="F1" s="3247" t="s">
        <v>556</v>
      </c>
      <c r="G1" s="3249" t="s">
        <v>3902</v>
      </c>
      <c r="H1" s="3249" t="s">
        <v>3201</v>
      </c>
    </row>
    <row r="2" spans="1:8" ht="12.75">
      <c r="A2" s="3246" t="s">
        <v>3899</v>
      </c>
      <c r="B2" s="3248" t="s">
        <v>3194</v>
      </c>
      <c r="C2" s="3248">
        <v>26313.08</v>
      </c>
      <c r="D2" s="3248" t="s">
        <v>3195</v>
      </c>
      <c r="E2" s="3248">
        <f>ROUND(C2*E10/C10,2)</f>
        <v>22812.639999999999</v>
      </c>
      <c r="F2" s="3248">
        <f>C2-E2</f>
        <v>3500.4400000000023</v>
      </c>
      <c r="H2" s="3250">
        <v>57314</v>
      </c>
    </row>
    <row r="3" spans="1:8" ht="12.75">
      <c r="A3" s="3246" t="s">
        <v>3196</v>
      </c>
      <c r="B3" s="3248" t="s">
        <v>3197</v>
      </c>
      <c r="C3" s="3248">
        <f>E3+F3</f>
        <v>5814.57</v>
      </c>
      <c r="D3" s="3248" t="s">
        <v>3198</v>
      </c>
      <c r="E3" s="2598">
        <v>5814.57</v>
      </c>
      <c r="F3" s="3248"/>
      <c r="H3" s="3249" t="s">
        <v>3202</v>
      </c>
    </row>
    <row r="4" spans="1:8" ht="12.75">
      <c r="A4" s="3246" t="s">
        <v>3205</v>
      </c>
      <c r="B4" s="3248" t="s">
        <v>3199</v>
      </c>
      <c r="C4" s="3248">
        <v>1005.48</v>
      </c>
      <c r="D4" s="3248" t="s">
        <v>3200</v>
      </c>
      <c r="E4" s="3248">
        <f>ROUND(C4*E12/C12,2)</f>
        <v>866.09</v>
      </c>
      <c r="F4" s="3248">
        <f>C4-E4</f>
        <v>139.38999999999999</v>
      </c>
      <c r="H4" s="3249">
        <v>39174.637000000002</v>
      </c>
    </row>
    <row r="5" spans="1:8" ht="12.75">
      <c r="A5" s="3246" t="s">
        <v>3204</v>
      </c>
      <c r="B5" s="3247" t="s">
        <v>3208</v>
      </c>
      <c r="C5" s="3248">
        <f>SUM(C2:C4)</f>
        <v>33133.130000000005</v>
      </c>
      <c r="D5" s="3248"/>
      <c r="E5" s="3248">
        <f>SUM(E2:E4)</f>
        <v>29493.3</v>
      </c>
      <c r="F5" s="3248">
        <f>SUM(F2:F4)</f>
        <v>3639.8300000000022</v>
      </c>
      <c r="G5" s="3771">
        <f>ROUND(C5/C7*H4,3)</f>
        <v>22578.39</v>
      </c>
    </row>
    <row r="6" spans="1:8">
      <c r="A6" s="3246" t="s">
        <v>3206</v>
      </c>
      <c r="B6" s="3246" t="s">
        <v>3203</v>
      </c>
      <c r="C6" s="3246">
        <f>E6+F6</f>
        <v>24354.510000000002</v>
      </c>
      <c r="D6" s="3246" t="s">
        <v>3211</v>
      </c>
      <c r="E6" s="3246">
        <v>16688.86</v>
      </c>
      <c r="F6" s="3246">
        <v>7665.65</v>
      </c>
      <c r="G6" s="3771">
        <f>ROUND(C6/C7*H4,3)</f>
        <v>16596.246999999999</v>
      </c>
    </row>
    <row r="7" spans="1:8">
      <c r="B7" s="3246" t="s">
        <v>3213</v>
      </c>
      <c r="C7" s="3246">
        <f>C6+C5</f>
        <v>57487.640000000007</v>
      </c>
    </row>
    <row r="9" spans="1:8">
      <c r="A9" s="3249" t="s">
        <v>3212</v>
      </c>
      <c r="B9" s="3247" t="s">
        <v>3207</v>
      </c>
      <c r="C9" s="3247" t="s">
        <v>3209</v>
      </c>
      <c r="E9" s="3247" t="s">
        <v>3190</v>
      </c>
      <c r="F9" s="3247" t="s">
        <v>556</v>
      </c>
    </row>
    <row r="10" spans="1:8" ht="12.75">
      <c r="B10" s="3248" t="s">
        <v>3194</v>
      </c>
      <c r="C10" s="3246">
        <f>E10+F10</f>
        <v>27738</v>
      </c>
      <c r="E10" s="3246">
        <v>24048</v>
      </c>
      <c r="F10" s="3246">
        <v>3690</v>
      </c>
    </row>
    <row r="11" spans="1:8" ht="12.75">
      <c r="B11" s="3248" t="s">
        <v>3197</v>
      </c>
      <c r="C11" s="3246">
        <f t="shared" ref="C11" si="0">E11+F11</f>
        <v>5526</v>
      </c>
      <c r="E11" s="3246">
        <v>5526</v>
      </c>
      <c r="F11" s="3246"/>
    </row>
    <row r="12" spans="1:8" ht="12.75">
      <c r="B12" s="3248" t="s">
        <v>3199</v>
      </c>
      <c r="C12" s="3246">
        <f>E12+F12</f>
        <v>743</v>
      </c>
      <c r="E12" s="3246">
        <v>640</v>
      </c>
      <c r="F12" s="3246">
        <v>103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3.37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51">
        <v>39174.637000000002</v>
      </c>
      <c r="B3" s="13">
        <f>IF(C3="否",G5-AT5,G5)</f>
        <v>57487.640000000007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57487.640000000007</v>
      </c>
      <c r="H5" s="15">
        <f t="shared" ref="H5:AT5" si="0">SUM(H13:H656)</f>
        <v>56340.160000000003</v>
      </c>
      <c r="I5" s="15">
        <f t="shared" si="0"/>
        <v>39359.5</v>
      </c>
      <c r="J5" s="15">
        <f t="shared" si="0"/>
        <v>0</v>
      </c>
      <c r="K5" s="15">
        <f t="shared" si="0"/>
        <v>5814.57</v>
      </c>
      <c r="L5" s="15">
        <f t="shared" si="0"/>
        <v>0</v>
      </c>
      <c r="M5" s="15">
        <f t="shared" si="0"/>
        <v>11166.090000000002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1147.48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1008.09</v>
      </c>
      <c r="AM5" s="15">
        <f t="shared" si="0"/>
        <v>0</v>
      </c>
      <c r="AN5" s="15">
        <f t="shared" si="0"/>
        <v>139.38999999999999</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33133.130000000005</v>
      </c>
      <c r="BA5" s="17">
        <f t="shared" si="1"/>
        <v>32127.65</v>
      </c>
      <c r="BB5" s="17">
        <f t="shared" si="1"/>
        <v>22812.639999999999</v>
      </c>
      <c r="BC5" s="17">
        <f t="shared" si="1"/>
        <v>5814.57</v>
      </c>
      <c r="BD5" s="17">
        <f t="shared" si="1"/>
        <v>3500.4400000000023</v>
      </c>
      <c r="BE5" s="17">
        <f t="shared" si="1"/>
        <v>0</v>
      </c>
      <c r="BF5" s="17">
        <f t="shared" si="1"/>
        <v>0</v>
      </c>
      <c r="BG5" s="17">
        <f t="shared" si="1"/>
        <v>0</v>
      </c>
      <c r="BH5" s="17">
        <f t="shared" si="1"/>
        <v>0</v>
      </c>
      <c r="BI5" s="17">
        <f t="shared" si="1"/>
        <v>0</v>
      </c>
      <c r="BJ5" s="17">
        <f t="shared" si="1"/>
        <v>0</v>
      </c>
      <c r="BK5" s="17">
        <f t="shared" si="1"/>
        <v>0</v>
      </c>
      <c r="BL5" s="17">
        <f t="shared" si="1"/>
        <v>1005.48</v>
      </c>
      <c r="BM5" s="17">
        <f t="shared" si="1"/>
        <v>0</v>
      </c>
      <c r="BN5" s="17">
        <f t="shared" si="1"/>
        <v>0</v>
      </c>
      <c r="BO5" s="17">
        <f t="shared" si="1"/>
        <v>0</v>
      </c>
      <c r="BP5" s="17">
        <f t="shared" si="1"/>
        <v>0</v>
      </c>
      <c r="BQ5" s="17">
        <f t="shared" si="1"/>
        <v>866.09</v>
      </c>
      <c r="BR5" s="17">
        <f t="shared" si="1"/>
        <v>139.38999999999999</v>
      </c>
      <c r="BS5" s="17">
        <f t="shared" si="1"/>
        <v>0</v>
      </c>
      <c r="BT5" s="18">
        <f t="shared" si="1"/>
        <v>0</v>
      </c>
    </row>
    <row r="6" spans="1:72" s="1724" customFormat="1" ht="12.75">
      <c r="A6" s="14" t="s">
        <v>1517</v>
      </c>
      <c r="B6" s="1721"/>
      <c r="C6" s="1721"/>
      <c r="D6" s="1722"/>
      <c r="E6" s="15">
        <f>H6+AC6+AT6</f>
        <v>39174.649999999994</v>
      </c>
      <c r="F6" s="15" t="s">
        <v>1</v>
      </c>
      <c r="G6" s="15" t="s">
        <v>2</v>
      </c>
      <c r="H6" s="19">
        <f>SUMIF(I$12:AB$12,"总值",I6:AB6)</f>
        <v>38392.699999999997</v>
      </c>
      <c r="I6" s="15">
        <f t="shared" ref="I6:AB6" si="2">ROUND($A$3*I5/$B$3,2)</f>
        <v>26821.32</v>
      </c>
      <c r="J6" s="15">
        <f t="shared" si="2"/>
        <v>0</v>
      </c>
      <c r="K6" s="15">
        <f t="shared" si="2"/>
        <v>3962.31</v>
      </c>
      <c r="L6" s="15">
        <f t="shared" si="2"/>
        <v>0</v>
      </c>
      <c r="M6" s="15">
        <f t="shared" si="2"/>
        <v>7609.07</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781.95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686.96</v>
      </c>
      <c r="AM6" s="15">
        <f t="shared" si="3"/>
        <v>0</v>
      </c>
      <c r="AN6" s="15">
        <f t="shared" si="3"/>
        <v>94.99</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22578.39</v>
      </c>
      <c r="AZ6" s="15" t="s">
        <v>3</v>
      </c>
      <c r="BA6" s="15">
        <f>ROUND($AY$6*BA5/$AZ$5,2)</f>
        <v>21893.21</v>
      </c>
      <c r="BB6" s="15">
        <f>ROUND($AY$6*BB5/$AZ$5,2)</f>
        <v>15545.55</v>
      </c>
      <c r="BC6" s="15">
        <f t="shared" ref="BC6:BH6" si="4">ROUND($AY$6*BC5/$AZ$5,2)</f>
        <v>3962.31</v>
      </c>
      <c r="BD6" s="15">
        <f t="shared" si="4"/>
        <v>2385.36</v>
      </c>
      <c r="BE6" s="15">
        <f t="shared" si="4"/>
        <v>0</v>
      </c>
      <c r="BF6" s="15">
        <f t="shared" si="4"/>
        <v>0</v>
      </c>
      <c r="BG6" s="15">
        <f t="shared" si="4"/>
        <v>0</v>
      </c>
      <c r="BH6" s="15">
        <f t="shared" si="4"/>
        <v>0</v>
      </c>
      <c r="BI6" s="15">
        <f t="shared" ref="BI6:BT6" si="5">ROUND($AY$6*BI5/$AZ$5,2)</f>
        <v>0</v>
      </c>
      <c r="BJ6" s="15">
        <f t="shared" si="5"/>
        <v>0</v>
      </c>
      <c r="BK6" s="15">
        <f t="shared" si="5"/>
        <v>0</v>
      </c>
      <c r="BL6" s="15">
        <f t="shared" si="5"/>
        <v>685.18</v>
      </c>
      <c r="BM6" s="15">
        <f t="shared" si="5"/>
        <v>0</v>
      </c>
      <c r="BN6" s="15">
        <f t="shared" si="5"/>
        <v>0</v>
      </c>
      <c r="BO6" s="15">
        <f t="shared" si="5"/>
        <v>0</v>
      </c>
      <c r="BP6" s="15">
        <f t="shared" si="5"/>
        <v>0</v>
      </c>
      <c r="BQ6" s="15">
        <f t="shared" si="5"/>
        <v>590.19000000000005</v>
      </c>
      <c r="BR6" s="15">
        <f t="shared" si="5"/>
        <v>94.99</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3173</v>
      </c>
      <c r="J9" s="898"/>
      <c r="K9" s="1738" t="s">
        <v>3173</v>
      </c>
      <c r="L9" s="898"/>
      <c r="M9" s="1738" t="s">
        <v>3191</v>
      </c>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t="s">
        <v>6</v>
      </c>
      <c r="L10" s="898"/>
      <c r="M10" s="1744" t="s">
        <v>6</v>
      </c>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t="str">
        <f>K9</f>
        <v>地上</v>
      </c>
      <c r="BD10" s="28" t="str">
        <f>M9</f>
        <v>地下</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t="s">
        <v>3174</v>
      </c>
      <c r="J11" s="1750"/>
      <c r="K11" s="1749" t="s">
        <v>3878</v>
      </c>
      <c r="L11" s="1750"/>
      <c r="M11" s="1749" t="s">
        <v>3879</v>
      </c>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t="str">
        <f>K10</f>
        <v>工业</v>
      </c>
      <c r="BD11" s="1734" t="str">
        <f>M10</f>
        <v>工业</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t="str">
        <f>I11</f>
        <v>办公楼</v>
      </c>
      <c r="BC12" s="1759" t="str">
        <f>K11</f>
        <v>酒店</v>
      </c>
      <c r="BD12" s="1759" t="str">
        <f>M11</f>
        <v>车库</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3232" t="s">
        <v>3192</v>
      </c>
      <c r="C13" s="3232" t="s">
        <v>3875</v>
      </c>
      <c r="D13" s="1760" t="s">
        <v>3175</v>
      </c>
      <c r="E13" s="15">
        <f>IF($C$3="是",ROUND($A$3*G13/$B$3,2),ROUND($A$3*(G13-AT13)/$B$3,2))</f>
        <v>17930.900000000001</v>
      </c>
      <c r="F13" s="31"/>
      <c r="G13" s="32">
        <f>H13+AC13+AT13</f>
        <v>26313.08</v>
      </c>
      <c r="H13" s="19">
        <f>SUMIF(I$12:AB$12,"总值",I13:AB13)</f>
        <v>26313.08</v>
      </c>
      <c r="I13" s="1761">
        <f>面积表!E2</f>
        <v>22812.639999999999</v>
      </c>
      <c r="J13" s="1761"/>
      <c r="K13" s="1761"/>
      <c r="L13" s="1761"/>
      <c r="M13" s="1761">
        <f>面积表!F2</f>
        <v>3500.4400000000023</v>
      </c>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现房</v>
      </c>
      <c r="AX13" s="11" t="str">
        <f t="shared" si="6"/>
        <v>1号办公</v>
      </c>
      <c r="AY13" s="1483">
        <f>ROUND($AY$6*AZ13/$AZ$5,2)</f>
        <v>17930.900000000001</v>
      </c>
      <c r="AZ13" s="15">
        <f>BA13+BL13</f>
        <v>26313.08</v>
      </c>
      <c r="BA13" s="15">
        <f>SUM(BB13:BK13)</f>
        <v>26313.08</v>
      </c>
      <c r="BB13" s="15">
        <f>IF($D13="是",I13-J13,0)</f>
        <v>22812.639999999999</v>
      </c>
      <c r="BC13" s="15">
        <f>IF($D13="是",K13-L13,0)</f>
        <v>0</v>
      </c>
      <c r="BD13" s="15">
        <f>IF($D13="是",M13-N13,0)</f>
        <v>3500.4400000000023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3232" t="s">
        <v>3192</v>
      </c>
      <c r="C14" s="3232" t="s">
        <v>3876</v>
      </c>
      <c r="D14" s="1760" t="s">
        <v>3175</v>
      </c>
      <c r="E14" s="15">
        <f>IF($C$3="是",ROUND($A$3*G14/$B$3,2),ROUND($A$3*(G14-AT14)/$B$3,2))</f>
        <v>3962.31</v>
      </c>
      <c r="F14" s="31"/>
      <c r="G14" s="32">
        <f>H14+AC14+AT14</f>
        <v>5814.57</v>
      </c>
      <c r="H14" s="19">
        <f>SUMIF(I$12:AB$12,"总值",I14:AB14)</f>
        <v>5814.57</v>
      </c>
      <c r="I14" s="1761"/>
      <c r="J14" s="1761"/>
      <c r="K14" s="1761">
        <f>面积表!E3</f>
        <v>5814.57</v>
      </c>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现房</v>
      </c>
      <c r="AX14" s="11" t="str">
        <f t="shared" si="6"/>
        <v>2号酒店</v>
      </c>
      <c r="AY14" s="1483">
        <f>ROUND($AY$6*AZ14/$AZ$5,2)</f>
        <v>3962.31</v>
      </c>
      <c r="AZ14" s="15">
        <f>BA14+BL14</f>
        <v>5814.57</v>
      </c>
      <c r="BA14" s="15">
        <f>SUM(BB14:BK14)</f>
        <v>5814.57</v>
      </c>
      <c r="BB14" s="15">
        <f>IF($D14="是",I14-J14,0)</f>
        <v>0</v>
      </c>
      <c r="BC14" s="15">
        <f>IF($D14="是",K14-L14,0)</f>
        <v>5814.57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3232" t="s">
        <v>3192</v>
      </c>
      <c r="C15" s="3232" t="s">
        <v>3877</v>
      </c>
      <c r="D15" s="1760" t="s">
        <v>3175</v>
      </c>
      <c r="E15" s="15">
        <f>IF($C$3="是",ROUND($A$3*G15/$B$3,2),ROUND($A$3*(G15-AT15)/$B$3,2))</f>
        <v>685.18</v>
      </c>
      <c r="F15" s="31"/>
      <c r="G15" s="32">
        <f>H15+AC15+AT15</f>
        <v>1005.48</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1005.48</v>
      </c>
      <c r="AD15" s="1762"/>
      <c r="AE15" s="1762"/>
      <c r="AF15" s="1762"/>
      <c r="AG15" s="1762"/>
      <c r="AH15" s="1762"/>
      <c r="AI15" s="1762"/>
      <c r="AJ15" s="1762"/>
      <c r="AK15" s="1762"/>
      <c r="AL15" s="1762">
        <f>面积表!E4</f>
        <v>866.09</v>
      </c>
      <c r="AM15" s="1762"/>
      <c r="AN15" s="1762">
        <f>面积表!F4</f>
        <v>139.38999999999999</v>
      </c>
      <c r="AO15" s="1762"/>
      <c r="AP15" s="1762"/>
      <c r="AQ15" s="1762"/>
      <c r="AR15" s="1762"/>
      <c r="AS15" s="1762"/>
      <c r="AT15" s="1763"/>
      <c r="AU15" s="1764"/>
      <c r="AV15" s="11">
        <f t="shared" si="6"/>
        <v>0</v>
      </c>
      <c r="AW15" s="11" t="str">
        <f t="shared" si="6"/>
        <v>现房</v>
      </c>
      <c r="AX15" s="11" t="str">
        <f t="shared" si="6"/>
        <v>3号机房</v>
      </c>
      <c r="AY15" s="1483">
        <f>ROUND($AY$6*AZ15/$AZ$5,2)</f>
        <v>685.18</v>
      </c>
      <c r="AZ15" s="15">
        <f>BA15+BL15</f>
        <v>1005.48</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1005.48</v>
      </c>
      <c r="BM15" s="15">
        <f>IF($D15="是",AD15-AE15,0)</f>
        <v>0</v>
      </c>
      <c r="BN15" s="15">
        <f>IF($D15="是",AF15-AG15,0)</f>
        <v>0</v>
      </c>
      <c r="BO15" s="15">
        <f>IF($D15="是",AH15-AI15,0)</f>
        <v>0</v>
      </c>
      <c r="BP15" s="15">
        <f>IF($D15="是",AJ15-AK15,0)</f>
        <v>0</v>
      </c>
      <c r="BQ15" s="15">
        <f>IF($D15="是",AL15-AM15,0)</f>
        <v>866.09</v>
      </c>
      <c r="BR15" s="15">
        <f>IF($D15="是",AN15-AO15,0)</f>
        <v>139.38999999999999</v>
      </c>
      <c r="BS15" s="15">
        <f>IF($D15="是",AP15-AQ15,0)</f>
        <v>0</v>
      </c>
      <c r="BT15" s="21">
        <f>IF($D15="是",AR15-AS15,0)</f>
        <v>0</v>
      </c>
    </row>
    <row r="16" spans="1:72" s="1714" customFormat="1" ht="12.75">
      <c r="A16" s="1162"/>
      <c r="B16" s="1162"/>
      <c r="C16" s="3233" t="s">
        <v>2663</v>
      </c>
      <c r="D16" s="1760" t="s">
        <v>3183</v>
      </c>
      <c r="E16" s="15">
        <f>IF($C$3="是",ROUND($A$3*G16/$B$3,2),ROUND($A$3*(G16-AT16)/$B$3,2))</f>
        <v>16596.25</v>
      </c>
      <c r="F16" s="31"/>
      <c r="G16" s="32">
        <f>H16+AC16+AT16</f>
        <v>24354.510000000002</v>
      </c>
      <c r="H16" s="19">
        <f>SUMIF(I$12:AB$12,"总值",I16:AB16)</f>
        <v>24212.510000000002</v>
      </c>
      <c r="I16" s="1761">
        <f>2604.51*4+2540.45+3588.37</f>
        <v>16546.86</v>
      </c>
      <c r="J16" s="1761"/>
      <c r="K16" s="1761"/>
      <c r="L16" s="1761"/>
      <c r="M16" s="1761">
        <f>5725.21+1940.44</f>
        <v>7665.65</v>
      </c>
      <c r="N16" s="1761"/>
      <c r="O16" s="1761"/>
      <c r="P16" s="1761"/>
      <c r="Q16" s="1761"/>
      <c r="R16" s="1761"/>
      <c r="S16" s="1761"/>
      <c r="T16" s="1761"/>
      <c r="U16" s="1761"/>
      <c r="V16" s="1761"/>
      <c r="W16" s="1761"/>
      <c r="X16" s="1761"/>
      <c r="Y16" s="1761"/>
      <c r="Z16" s="1761"/>
      <c r="AA16" s="1761"/>
      <c r="AB16" s="1761"/>
      <c r="AC16" s="15">
        <f>SUMIF(AD$12:AS$12,"总值",AD16:AS16)</f>
        <v>142</v>
      </c>
      <c r="AD16" s="1762"/>
      <c r="AE16" s="1762"/>
      <c r="AF16" s="1762"/>
      <c r="AG16" s="1762"/>
      <c r="AH16" s="1762"/>
      <c r="AI16" s="1762"/>
      <c r="AJ16" s="1762"/>
      <c r="AK16" s="1762"/>
      <c r="AL16" s="1762">
        <v>142</v>
      </c>
      <c r="AM16" s="1762"/>
      <c r="AN16" s="1762"/>
      <c r="AO16" s="1762"/>
      <c r="AP16" s="1762"/>
      <c r="AQ16" s="1762"/>
      <c r="AR16" s="1762"/>
      <c r="AS16" s="1762"/>
      <c r="AT16" s="1763"/>
      <c r="AU16" s="1764"/>
      <c r="AV16" s="11">
        <f t="shared" si="6"/>
        <v>0</v>
      </c>
      <c r="AW16" s="11">
        <f t="shared" si="6"/>
        <v>0</v>
      </c>
      <c r="AX16" s="11" t="str">
        <f t="shared" si="6"/>
        <v>土地</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3384"/>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3385"/>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70" t="s">
        <v>1576</v>
      </c>
      <c r="B2" s="3470"/>
      <c r="C2" s="3470"/>
      <c r="D2" s="884" t="s">
        <v>1552</v>
      </c>
      <c r="E2" s="1774" t="s">
        <v>1553</v>
      </c>
      <c r="F2" s="2835"/>
      <c r="G2" s="2826"/>
      <c r="H2" s="2827"/>
      <c r="I2" s="2498" t="s">
        <v>1577</v>
      </c>
      <c r="J2" s="2835"/>
      <c r="K2" s="2835"/>
      <c r="L2" s="2835"/>
      <c r="M2" s="2835"/>
      <c r="N2" s="2837"/>
      <c r="O2" s="2835"/>
      <c r="P2" s="2835"/>
    </row>
    <row r="3" spans="1:16" ht="15.75" thickBot="1">
      <c r="A3" s="3471" t="s">
        <v>1550</v>
      </c>
      <c r="B3" s="3471"/>
      <c r="C3" s="3471"/>
      <c r="D3" s="3772">
        <f>'数据-基础表'!AY6</f>
        <v>22578.39</v>
      </c>
      <c r="E3" s="45">
        <f>'数据-基础表'!AZ5</f>
        <v>33133.130000000005</v>
      </c>
      <c r="F3" s="2835"/>
      <c r="G3" s="1259"/>
      <c r="H3" s="1137" t="s">
        <v>1551</v>
      </c>
      <c r="I3" s="944">
        <f>ROUND('数据-基础表'!B3/'数据-基础表'!A3,2)</f>
        <v>1.47</v>
      </c>
      <c r="J3" s="2835"/>
      <c r="K3" s="2835"/>
      <c r="L3" s="2835"/>
      <c r="M3" s="2835"/>
      <c r="N3" s="2837"/>
      <c r="O3" s="2835"/>
      <c r="P3" s="2835"/>
    </row>
    <row r="4" spans="1:16" ht="15">
      <c r="A4" s="3472"/>
      <c r="B4" s="3473"/>
      <c r="C4" s="3474"/>
      <c r="D4" s="1776" t="s">
        <v>1552</v>
      </c>
      <c r="E4" s="1777" t="s">
        <v>1553</v>
      </c>
      <c r="F4" s="2835"/>
      <c r="G4" s="2828" t="s">
        <v>1578</v>
      </c>
      <c r="H4" s="1137" t="s">
        <v>1558</v>
      </c>
      <c r="I4" s="944">
        <f>ROUND(SUMIF('数据-基础表'!I9:AS9,"地上",'数据-基础表'!I5:AS5)/'数据-基础表'!A3,2)</f>
        <v>1.18</v>
      </c>
      <c r="J4" s="2835"/>
      <c r="K4" s="2835"/>
      <c r="L4" s="2835"/>
      <c r="M4" s="2835"/>
      <c r="N4" s="2837"/>
      <c r="O4" s="2835"/>
      <c r="P4" s="2835"/>
    </row>
    <row r="5" spans="1:16">
      <c r="A5" s="46" t="s">
        <v>1554</v>
      </c>
      <c r="B5" s="3475" t="s">
        <v>1555</v>
      </c>
      <c r="C5" s="3475"/>
      <c r="D5" s="47">
        <f>ROUND($D$3*E5/$E$3,2)</f>
        <v>0</v>
      </c>
      <c r="E5" s="48">
        <f>SUMIF('数据-基础表'!$11:$11,"住宅",'数据-基础表'!$5:$5)</f>
        <v>0</v>
      </c>
      <c r="F5" s="2835"/>
      <c r="G5" s="1259"/>
      <c r="H5" s="1137" t="s">
        <v>1551</v>
      </c>
      <c r="I5" s="944">
        <f>ROUND(E31/D31,2)</f>
        <v>1.47</v>
      </c>
      <c r="J5" s="2835"/>
      <c r="K5" s="2835"/>
      <c r="L5" s="2835"/>
      <c r="M5" s="2835"/>
      <c r="N5" s="2835"/>
      <c r="O5" s="2835"/>
      <c r="P5" s="2835"/>
    </row>
    <row r="6" spans="1:16" ht="15" thickBot="1">
      <c r="A6" s="1779"/>
      <c r="B6" s="3475" t="s">
        <v>1556</v>
      </c>
      <c r="C6" s="3475"/>
      <c r="D6" s="47">
        <f>ROUND($D$3*E6/$E$3,2)</f>
        <v>22578.39</v>
      </c>
      <c r="E6" s="48">
        <f>E3-E5</f>
        <v>33133.130000000005</v>
      </c>
      <c r="F6" s="2835"/>
      <c r="G6" s="2829" t="s">
        <v>1557</v>
      </c>
      <c r="H6" s="1260" t="s">
        <v>1558</v>
      </c>
      <c r="I6" s="2830">
        <f>ROUND(F31/D31,2)</f>
        <v>1.31</v>
      </c>
      <c r="J6" s="2835"/>
      <c r="K6" s="2835"/>
      <c r="L6" s="2835"/>
      <c r="M6" s="2835"/>
      <c r="N6" s="2835"/>
      <c r="O6" s="2835"/>
      <c r="P6" s="2835"/>
    </row>
    <row r="7" spans="1:16" ht="15.75" thickBot="1">
      <c r="A7" s="3467"/>
      <c r="B7" s="3468"/>
      <c r="C7" s="3469"/>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19507.86</v>
      </c>
      <c r="E8" s="50">
        <f>SUMIF('数据-基础表'!BB10:BK10,"地上",'数据-基础表'!BB5:BK5)</f>
        <v>28627.21</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19507.86</v>
      </c>
      <c r="E16" s="52">
        <f>SUM(E8:E15)</f>
        <v>28627.21</v>
      </c>
      <c r="F16" s="2835"/>
      <c r="G16" s="2836"/>
      <c r="H16" s="1783" t="s">
        <v>1580</v>
      </c>
      <c r="I16" s="1784"/>
      <c r="J16" s="1253"/>
      <c r="K16" s="3464" t="s">
        <v>1580</v>
      </c>
      <c r="L16" s="3465"/>
      <c r="M16" s="3465"/>
      <c r="N16" s="3465"/>
      <c r="O16" s="3465"/>
      <c r="P16" s="3466"/>
    </row>
    <row r="17" spans="1:19" ht="15">
      <c r="A17" s="1785" t="s">
        <v>1581</v>
      </c>
      <c r="B17" s="1786" t="s">
        <v>1582</v>
      </c>
      <c r="C17" s="1787" t="s">
        <v>1583</v>
      </c>
      <c r="D17" s="1788" t="s">
        <v>1571</v>
      </c>
      <c r="E17" s="1789" t="s">
        <v>1572</v>
      </c>
      <c r="F17" s="1790"/>
      <c r="G17" s="1791"/>
      <c r="H17" s="1792" t="s">
        <v>1584</v>
      </c>
      <c r="I17" s="1793" t="s">
        <v>1569</v>
      </c>
      <c r="J17" s="1253"/>
      <c r="K17" s="3461" t="s">
        <v>1585</v>
      </c>
      <c r="L17" s="3462"/>
      <c r="M17" s="3463"/>
      <c r="N17" s="3461" t="s">
        <v>1586</v>
      </c>
      <c r="O17" s="3462"/>
      <c r="P17" s="3463"/>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0" t="s">
        <v>3881</v>
      </c>
      <c r="D19" s="47">
        <f>ROUND($D$3*E19/$E$3,2)</f>
        <v>17930.900000000001</v>
      </c>
      <c r="E19" s="55">
        <f t="shared" ref="E19:E26" si="1">SUM(F19:G19)</f>
        <v>26313.08</v>
      </c>
      <c r="F19" s="2975">
        <f>'数据-基础表'!I13</f>
        <v>22812.639999999999</v>
      </c>
      <c r="G19" s="2976">
        <f>'数据-基础表'!M13</f>
        <v>3500.4400000000023</v>
      </c>
      <c r="H19" s="678">
        <f>ROUND($D$3*I19/$E$3,2)</f>
        <v>561.16999999999996</v>
      </c>
      <c r="I19" s="50">
        <f t="shared" ref="I19:I26" si="2">IF($I$17="自定义",P19,M19)</f>
        <v>823.5</v>
      </c>
      <c r="J19" s="1253"/>
      <c r="K19" s="1252">
        <f t="shared" ref="K19:K26" si="3">ROUND(E$28*E19/E$27,2)</f>
        <v>823.5</v>
      </c>
      <c r="L19" s="1137">
        <f t="shared" ref="L19:L26" si="4">ROUND(IF(COUNTIF(C19,"*住宅*")&gt;0,E$29*E19/E$32,0),2)</f>
        <v>0</v>
      </c>
      <c r="M19" s="1264">
        <f>K19+L19</f>
        <v>823.5</v>
      </c>
      <c r="N19" s="1804"/>
      <c r="O19" s="1805"/>
      <c r="P19" s="1264">
        <f>N19+O19</f>
        <v>0</v>
      </c>
      <c r="R19" s="1137">
        <f t="shared" ref="R19:S26" si="5">D19+H19</f>
        <v>18492.07</v>
      </c>
      <c r="S19" s="1138">
        <f t="shared" si="5"/>
        <v>27136.58</v>
      </c>
    </row>
    <row r="20" spans="1:19">
      <c r="A20" s="1806"/>
      <c r="B20" s="49" t="s">
        <v>1598</v>
      </c>
      <c r="C20" s="1803" t="s">
        <v>3882</v>
      </c>
      <c r="D20" s="47">
        <f t="shared" ref="D20:D26" si="6">ROUND($D$3*E20/$E$3,2)</f>
        <v>3962.31</v>
      </c>
      <c r="E20" s="55">
        <f t="shared" si="1"/>
        <v>5814.57</v>
      </c>
      <c r="F20" s="2975">
        <f>'数据-基础表'!K14</f>
        <v>5814.57</v>
      </c>
      <c r="G20" s="2976"/>
      <c r="H20" s="678">
        <f t="shared" ref="H20:H26" si="7">ROUND($D$3*I20/$E$3,2)</f>
        <v>124.01</v>
      </c>
      <c r="I20" s="50">
        <f t="shared" si="2"/>
        <v>181.98</v>
      </c>
      <c r="J20" s="1253"/>
      <c r="K20" s="1252">
        <f t="shared" si="3"/>
        <v>181.98</v>
      </c>
      <c r="L20" s="1137">
        <f t="shared" si="4"/>
        <v>0</v>
      </c>
      <c r="M20" s="1264">
        <f t="shared" ref="M20:M26" si="8">K20+L20</f>
        <v>181.98</v>
      </c>
      <c r="N20" s="1804"/>
      <c r="O20" s="1805"/>
      <c r="P20" s="1264">
        <f t="shared" ref="P20:P26" si="9">N20+O20</f>
        <v>0</v>
      </c>
      <c r="R20" s="1137">
        <f t="shared" si="5"/>
        <v>4086.32</v>
      </c>
      <c r="S20" s="1138">
        <f t="shared" si="5"/>
        <v>5996.5499999999993</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21893.210000000003</v>
      </c>
      <c r="E27" s="1255">
        <f>IF(SUM(E19:E26)='数据-基础表'!BA5,SUM(E19:E26),IF(F27="地上面积有误","面积有误","地下面积有误"))</f>
        <v>32127.65</v>
      </c>
      <c r="F27" s="1254">
        <f>IF(SUM(F19:F26)=E8,SUM(F19:F26),"地上面积有误")</f>
        <v>28627.21</v>
      </c>
      <c r="G27" s="1256">
        <f>SUM(G19:G26)</f>
        <v>3500.4400000000023</v>
      </c>
      <c r="H27" s="1257">
        <f>SUM(H19:H26)</f>
        <v>685.18</v>
      </c>
      <c r="I27" s="1258">
        <f>SUM(I19:I26)</f>
        <v>1005.48</v>
      </c>
      <c r="J27" s="1253"/>
      <c r="K27" s="1261">
        <f>SUM(K19:K26)</f>
        <v>1005.48</v>
      </c>
      <c r="L27" s="1262">
        <f>SUM(L19:L26)</f>
        <v>0</v>
      </c>
      <c r="M27" s="1265">
        <f>SUM(M19:M26)</f>
        <v>1005.48</v>
      </c>
      <c r="N27" s="1261">
        <f t="shared" ref="N27:O27" si="10">SUM(N19:N26)</f>
        <v>0</v>
      </c>
      <c r="O27" s="1262">
        <f t="shared" si="10"/>
        <v>0</v>
      </c>
      <c r="P27" s="1263">
        <f>SUM(P19:P26)</f>
        <v>0</v>
      </c>
      <c r="R27" s="1139">
        <f>IF(SUM(R19:R26)=$D$3,SUM(R19:R26),SUM(R19:R26)&amp;"误差"&amp;ROUND(SUM(R19:R26)-$D$3,2))</f>
        <v>22578.39</v>
      </c>
      <c r="S27" s="1137">
        <f>IF(SUM(S19:S26)=$E$3,SUM(S19:S26),SUM(S19:S26)&amp;"误差"&amp;ROUND(SUM(S19:S26)-E3,2))</f>
        <v>33133.130000000005</v>
      </c>
    </row>
    <row r="28" spans="1:19">
      <c r="A28" s="1806"/>
      <c r="B28" s="49" t="s">
        <v>1600</v>
      </c>
      <c r="C28" s="1149" t="s">
        <v>1601</v>
      </c>
      <c r="D28" s="47">
        <f>ROUND($D$3*E28/$E$3,2)</f>
        <v>685.18</v>
      </c>
      <c r="E28" s="55">
        <f>SUM(F28:G28)</f>
        <v>1005.48</v>
      </c>
      <c r="F28" s="59">
        <f>'数据-基础表'!BQ5+'数据-基础表'!BS5</f>
        <v>866.09</v>
      </c>
      <c r="G28" s="60">
        <f>'数据-基础表'!BR5+'数据-基础表'!BT5</f>
        <v>139.38999999999999</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685.18</v>
      </c>
      <c r="E30" s="1254">
        <f>SUM(E28:E29)</f>
        <v>1005.48</v>
      </c>
      <c r="F30" s="1254">
        <f>SUM(F28:F29)</f>
        <v>866.09</v>
      </c>
      <c r="G30" s="1256">
        <f>SUM(G28:G29)</f>
        <v>139.38999999999999</v>
      </c>
      <c r="H30" s="2835"/>
      <c r="I30" s="2835"/>
      <c r="J30" s="2835"/>
      <c r="K30" s="2835"/>
      <c r="L30" s="2835"/>
      <c r="M30" s="2835"/>
      <c r="N30" s="2835"/>
      <c r="O30" s="2835"/>
      <c r="P30" s="2835"/>
    </row>
    <row r="31" spans="1:19" ht="15.75" thickBot="1">
      <c r="A31" s="1812"/>
      <c r="B31" s="1813"/>
      <c r="C31" s="924" t="s">
        <v>1603</v>
      </c>
      <c r="D31" s="684">
        <f>D27+D30</f>
        <v>22578.390000000003</v>
      </c>
      <c r="E31" s="684">
        <f>E27+E30</f>
        <v>33133.130000000005</v>
      </c>
      <c r="F31" s="685">
        <f>F27+F30</f>
        <v>29493.3</v>
      </c>
      <c r="G31" s="686">
        <f>G27+G30</f>
        <v>3639.8300000000022</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P6" activePane="bottomRight" state="frozen"/>
      <selection activeCell="C50" sqref="C50"/>
      <selection pane="topRight" activeCell="C50" sqref="C50"/>
      <selection pane="bottomLeft" activeCell="C50" sqref="C50"/>
      <selection pane="bottomRight" activeCell="S6" sqref="S6:S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44874</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3177</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1#办公</v>
      </c>
      <c r="B6" s="1849" t="str">
        <f>IF(A6=0,"","经营性")</f>
        <v>经营性</v>
      </c>
      <c r="C6" s="1850" t="s">
        <v>6</v>
      </c>
      <c r="D6" s="947">
        <f>SUMIF(项目基本情况!D$12:I$12,C6,项目基本情况!D$14:I$14)</f>
        <v>50</v>
      </c>
      <c r="E6" s="946">
        <f>IF(B6="","",SUMIF(项目基本情况!D$12:I$12,C6,项目基本情况!D$13:I$13))</f>
        <v>57314</v>
      </c>
      <c r="F6" s="67">
        <f>SUMIF(项目基本情况!D$12:I$12,C6,项目基本情况!D$15:I$15)</f>
        <v>34.08</v>
      </c>
      <c r="G6" s="68">
        <f>IF(ISERROR(ROUND(POWER(1+H6,D6-F6)*(POWER(1+H6,F6)-1)/(POWER(1+H6,D6)-1),3)),0,ROUND(POWER(1+H6,D6-F6)*(POWER(1+H6,F6)-1)/(POWER(1+H6,D6)-1),3))</f>
        <v>0.88800000000000001</v>
      </c>
      <c r="H6" s="740">
        <v>0.05</v>
      </c>
      <c r="I6" s="740">
        <v>5.5E-2</v>
      </c>
      <c r="J6" s="69">
        <v>7.0000000000000007E-2</v>
      </c>
      <c r="K6" s="1141">
        <f>SUMIF('数据-汇总表'!C$19:C$33,A6,'数据-汇总表'!E$19:E$33)</f>
        <v>26313.08</v>
      </c>
      <c r="L6" s="741">
        <v>3200</v>
      </c>
      <c r="M6" s="70">
        <f t="shared" ref="M6:M14" si="0">ROUND(K6*L6/10000,0)</f>
        <v>8420</v>
      </c>
      <c r="N6" s="739">
        <f>N19</f>
        <v>0.88</v>
      </c>
      <c r="O6" s="70" t="str">
        <f>IF($N$5="成新度","——",ROUND(M6*N6,0))</f>
        <v>——</v>
      </c>
      <c r="P6" s="71" t="str">
        <f>IF($N$5="成新度","——",M6-O6)</f>
        <v>——</v>
      </c>
      <c r="Q6" s="742">
        <v>0.1</v>
      </c>
      <c r="R6" s="72">
        <f ca="1">SUMIF('数据-汇总表'!C$19:C$33,A6,'数据-汇总表'!R$19:R$27)</f>
        <v>18492.07</v>
      </c>
      <c r="S6" s="53">
        <f>IF('数据-汇总表'!$I$17="按面积比例",SUMIF('数据-汇总表'!C$19:C$33,A6,'数据-汇总表'!K$19:K$33),SUMIF('数据-汇总表'!C$19:C$33,A6,'数据-汇总表'!N$19:N$33))</f>
        <v>823.5</v>
      </c>
      <c r="T6" s="1286">
        <f>ROUND($L$14*S6/10000,0)</f>
        <v>206</v>
      </c>
      <c r="U6" s="73">
        <v>1.8</v>
      </c>
      <c r="V6" s="74">
        <v>0</v>
      </c>
      <c r="W6" s="74">
        <v>0.1</v>
      </c>
      <c r="X6" s="1151"/>
      <c r="Y6" s="75">
        <f>N6</f>
        <v>0.88</v>
      </c>
      <c r="Z6" s="76"/>
      <c r="AA6" s="69"/>
      <c r="AB6" s="69"/>
      <c r="AC6" s="1151"/>
      <c r="AD6" s="77"/>
      <c r="AE6" s="1152">
        <f ca="1">IF(AN6="",0,SUMIF(INDIRECT("'"&amp;AN6&amp;"'"&amp;"!E:E"),$AE$5,INDIRECT("'"&amp;AN6&amp;"'"&amp;"!F:F")))</f>
        <v>34.08</v>
      </c>
      <c r="AF6" s="1482"/>
      <c r="AG6" s="142">
        <f>IF(AF6="",0,AE6-AF6)</f>
        <v>0</v>
      </c>
      <c r="AH6" s="78"/>
      <c r="AI6" s="80">
        <v>365</v>
      </c>
      <c r="AJ6" s="81"/>
      <c r="AK6" s="82">
        <v>0.01</v>
      </c>
      <c r="AL6" s="83">
        <v>1.5E-3</v>
      </c>
      <c r="AM6" s="84">
        <v>0.01</v>
      </c>
      <c r="AN6" s="1851" t="s">
        <v>3178</v>
      </c>
      <c r="AO6" s="54">
        <f ca="1">SUMIF(INDIRECT("'"&amp;AN6&amp;"'"&amp;"!A:A"),"总价",INDIRECT("'"&amp;AN6&amp;"'"&amp;"!B:B"))</f>
        <v>17446</v>
      </c>
      <c r="AP6" s="1852">
        <f>IF(C6="住宅",K6*L6,0)</f>
        <v>0</v>
      </c>
      <c r="AQ6" s="54">
        <f>ROUND($L$14*$N$14*S6/10000,0)</f>
        <v>181</v>
      </c>
      <c r="AR6" s="54">
        <f>ROUND($L$14*(1-$N$14)*S6/10000,0)</f>
        <v>25</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2#酒店</v>
      </c>
      <c r="B7" s="1849" t="str">
        <f t="shared" ref="B7:B13" si="1">IF(A7=0,"","经营性")</f>
        <v>经营性</v>
      </c>
      <c r="C7" s="1850" t="s">
        <v>6</v>
      </c>
      <c r="D7" s="947">
        <f>SUMIF(项目基本情况!D$12:I$12,C7,项目基本情况!D$14:I$14)</f>
        <v>50</v>
      </c>
      <c r="E7" s="946">
        <f>IF(B7="","",SUMIF(项目基本情况!D$12:I$12,C7,项目基本情况!D$13:I$13))</f>
        <v>57314</v>
      </c>
      <c r="F7" s="67">
        <f>SUMIF(项目基本情况!D$12:I$12,C7,项目基本情况!D$15:I$15)</f>
        <v>34.08</v>
      </c>
      <c r="G7" s="68">
        <f t="shared" ref="G7:G11" si="2">IF(ISERROR(ROUND(POWER(1+H7,D7-F7)*(POWER(1+H7,F7)-1)/(POWER(1+H7,D7)-1),3)),0,ROUND(POWER(1+H7,D7-F7)*(POWER(1+H7,F7)-1)/(POWER(1+H7,D7)-1),3))</f>
        <v>0.88800000000000001</v>
      </c>
      <c r="H7" s="740">
        <v>0.05</v>
      </c>
      <c r="I7" s="740">
        <v>0.06</v>
      </c>
      <c r="J7" s="69">
        <f>J6</f>
        <v>7.0000000000000007E-2</v>
      </c>
      <c r="K7" s="1141">
        <f>SUMIF('数据-汇总表'!C$19:C$33,A7,'数据-汇总表'!E$19:E$33)</f>
        <v>5814.57</v>
      </c>
      <c r="L7" s="741">
        <v>6000</v>
      </c>
      <c r="M7" s="70">
        <f t="shared" si="0"/>
        <v>3489</v>
      </c>
      <c r="N7" s="739">
        <f>N6</f>
        <v>0.88</v>
      </c>
      <c r="O7" s="70" t="str">
        <f t="shared" ref="O7:O14" si="3">IF($N$5="成新度","——",ROUND(M7*N7,0))</f>
        <v>——</v>
      </c>
      <c r="P7" s="71" t="str">
        <f t="shared" ref="P7:P14" si="4">IF($N$5="成新度","——",M7-O7)</f>
        <v>——</v>
      </c>
      <c r="Q7" s="742">
        <f>Q6</f>
        <v>0.1</v>
      </c>
      <c r="R7" s="72">
        <f ca="1">SUMIF('数据-汇总表'!C$19:C$33,A7,'数据-汇总表'!R$19:R$27)</f>
        <v>4086.32</v>
      </c>
      <c r="S7" s="53">
        <f>IF('数据-汇总表'!$I$17="按面积比例",SUMIF('数据-汇总表'!C$19:C$33,A7,'数据-汇总表'!K$19:K$33),SUMIF('数据-汇总表'!C$19:C$33,A7,'数据-汇总表'!N$19:N$33))</f>
        <v>181.98</v>
      </c>
      <c r="T7" s="1286">
        <f t="shared" ref="T7:T13" si="5">ROUND($L$14*S7/10000,0)</f>
        <v>45</v>
      </c>
      <c r="U7" s="73"/>
      <c r="V7" s="74"/>
      <c r="W7" s="74"/>
      <c r="X7" s="1151"/>
      <c r="Y7" s="75">
        <f>Y6</f>
        <v>0.88</v>
      </c>
      <c r="Z7" s="76"/>
      <c r="AA7" s="69"/>
      <c r="AB7" s="69"/>
      <c r="AC7" s="1151"/>
      <c r="AD7" s="77"/>
      <c r="AE7" s="1152">
        <f t="shared" ref="AE7:AE13" ca="1" si="6">IF(AN7="",0,SUMIF(INDIRECT("'"&amp;AN7&amp;"'"&amp;"!E:E"),$AE$5,INDIRECT("'"&amp;AN7&amp;"'"&amp;"!F:F")))</f>
        <v>0</v>
      </c>
      <c r="AF7" s="1482"/>
      <c r="AG7" s="142">
        <f t="shared" ref="AG7:AG13" si="7">IF(AF7="",0,AE7-AF7)</f>
        <v>0</v>
      </c>
      <c r="AH7" s="78"/>
      <c r="AI7" s="80">
        <v>365</v>
      </c>
      <c r="AJ7" s="81"/>
      <c r="AK7" s="82">
        <v>0.01</v>
      </c>
      <c r="AL7" s="83">
        <v>1.5E-3</v>
      </c>
      <c r="AM7" s="84">
        <v>0.01</v>
      </c>
      <c r="AN7" s="1851" t="s">
        <v>3892</v>
      </c>
      <c r="AO7" s="54">
        <f t="shared" ref="AO7:AO13" ca="1" si="8">SUMIF(INDIRECT("'"&amp;AN7&amp;"'"&amp;"!A:A"),"总价",INDIRECT("'"&amp;AN7&amp;"'"&amp;"!B:B"))</f>
        <v>6508</v>
      </c>
      <c r="AP7" s="1852">
        <f t="shared" ref="AP7:AP13" si="9">IF(C7="住宅",K7*L7,0)</f>
        <v>0</v>
      </c>
      <c r="AQ7" s="54">
        <f t="shared" ref="AQ7:AQ13" si="10">ROUND($L$14*$N$14*S7/10000,0)</f>
        <v>40</v>
      </c>
      <c r="AR7" s="54">
        <f t="shared" ref="AR7:AR13" si="11">ROUND($L$14*(1-$N$14)*S7/10000,0)</f>
        <v>5</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1005.48</v>
      </c>
      <c r="L14" s="86">
        <v>2500</v>
      </c>
      <c r="M14" s="70">
        <f t="shared" si="0"/>
        <v>251</v>
      </c>
      <c r="N14" s="87">
        <f>N6</f>
        <v>0.88</v>
      </c>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0.88800000000000001</v>
      </c>
      <c r="H16" s="94">
        <f>ROUND(SUMPRODUCT(H6:H13,K6:K13)/SUMPRODUCT((H6:H13&gt;0)*(K6:K13)),3)</f>
        <v>0.05</v>
      </c>
      <c r="I16" s="95"/>
      <c r="J16" s="95"/>
      <c r="K16" s="96">
        <f>SUM(K6:K15)</f>
        <v>33133.130000000005</v>
      </c>
      <c r="L16" s="97">
        <f>ROUND(M16*10000/SUM(K6:K14),0)</f>
        <v>3670</v>
      </c>
      <c r="M16" s="97">
        <f>SUM(M6:M14)</f>
        <v>12160</v>
      </c>
      <c r="N16" s="98">
        <f>ROUND(SUMPRODUCT(M6:M14,N6:N14)/M16,3)</f>
        <v>0.88</v>
      </c>
      <c r="O16" s="97">
        <f>SUM(O6:O14)</f>
        <v>0</v>
      </c>
      <c r="P16" s="97">
        <f>SUM(P6:P14)</f>
        <v>0</v>
      </c>
      <c r="Q16" s="99">
        <f>ROUND(SUMPRODUCT(Q6:Q13,K6:K13)/SUMPRODUCT((Q6:Q13&gt;0)*(K6:K13)),2)</f>
        <v>0.1</v>
      </c>
      <c r="R16" s="1145">
        <f ca="1">SUM(R6:R13)</f>
        <v>22578.39</v>
      </c>
      <c r="S16" s="100">
        <f>SUM(S6:S13)</f>
        <v>1005.48</v>
      </c>
      <c r="T16" s="101">
        <f>IF(SUMIF(T6:T13,"&lt;9E307")=M14,SUMIF(T6:T13,"&lt;9E307"),"有误，请检查")</f>
        <v>251</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1" t="s">
        <v>3887</v>
      </c>
      <c r="N17" s="739">
        <f>ROUND(1-(2022-2010)/60,2)</f>
        <v>0.8</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3231" t="s">
        <v>3888</v>
      </c>
      <c r="N18" s="3377">
        <v>0.95</v>
      </c>
      <c r="O18" s="3231"/>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v>0</v>
      </c>
      <c r="C19" s="2979" t="s">
        <v>2806</v>
      </c>
      <c r="D19" s="2854"/>
      <c r="E19" s="2851"/>
      <c r="F19" s="2851"/>
      <c r="G19" s="2851"/>
      <c r="H19" s="2851"/>
      <c r="I19" s="2851"/>
      <c r="J19" s="2851"/>
      <c r="K19" s="2850"/>
      <c r="L19" s="2850"/>
      <c r="M19" s="3231" t="s">
        <v>3889</v>
      </c>
      <c r="N19" s="2849">
        <f>ROUND((N17+N18)/2,2)</f>
        <v>0.88</v>
      </c>
      <c r="O19" s="2849"/>
      <c r="P19" s="2849"/>
      <c r="Q19" s="2849"/>
      <c r="R19" s="2849"/>
      <c r="S19" s="2849"/>
      <c r="T19" s="3231" t="s">
        <v>3900</v>
      </c>
      <c r="U19" s="2849">
        <v>2</v>
      </c>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2</v>
      </c>
      <c r="C20" s="2980" t="s">
        <v>2804</v>
      </c>
      <c r="D20" s="2854"/>
      <c r="E20" s="2851"/>
      <c r="F20" s="2851"/>
      <c r="G20" s="2851"/>
      <c r="H20" s="2851"/>
      <c r="I20" s="2851"/>
      <c r="J20" s="2851"/>
      <c r="K20" s="2850"/>
      <c r="L20" s="2850"/>
      <c r="M20" s="2849"/>
      <c r="N20" s="1817"/>
      <c r="O20" s="2849"/>
      <c r="P20" s="2849"/>
      <c r="Q20" s="2849"/>
      <c r="R20" s="2849"/>
      <c r="S20" s="2849"/>
      <c r="T20" s="3231" t="s">
        <v>3901</v>
      </c>
      <c r="U20" s="2849">
        <f>ROUND(U19*'数据-汇总表'!F19/'数据-汇总表'!E19,1)</f>
        <v>1.7</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2</v>
      </c>
      <c r="C23" s="2851"/>
      <c r="D23" s="2854"/>
      <c r="E23" s="2851"/>
      <c r="F23" s="2851"/>
      <c r="G23" s="2851"/>
      <c r="H23" s="2851"/>
      <c r="I23" s="2851"/>
      <c r="J23" s="2851"/>
      <c r="K23" s="2850"/>
      <c r="L23" s="2850"/>
      <c r="M23" s="3231"/>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663</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3176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76" t="s">
        <v>2787</v>
      </c>
      <c r="B1" s="3477"/>
      <c r="C1" s="3477"/>
      <c r="D1" s="3477"/>
      <c r="E1" s="3477"/>
      <c r="F1" s="3477"/>
      <c r="G1" s="347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5" sqref="G3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57487.640000000007</v>
      </c>
      <c r="C1" s="2864"/>
      <c r="D1" s="2864"/>
      <c r="E1" s="2864"/>
      <c r="F1" s="2864"/>
      <c r="G1" s="2865"/>
      <c r="H1" s="2866"/>
      <c r="I1" s="2866"/>
      <c r="J1" s="2866"/>
      <c r="K1" s="2866"/>
    </row>
    <row r="2" spans="1:11" ht="16.5">
      <c r="A2" s="2687" t="s">
        <v>1078</v>
      </c>
      <c r="B2" s="2687">
        <f>SUM(C14:C23)</f>
        <v>39174.637000000002</v>
      </c>
      <c r="C2" s="2864"/>
      <c r="D2" s="2864"/>
      <c r="E2" s="2864"/>
      <c r="F2" s="2864"/>
      <c r="G2" s="2865"/>
      <c r="H2" s="2866"/>
      <c r="I2" s="2866"/>
      <c r="J2" s="2866"/>
      <c r="K2" s="2866"/>
    </row>
    <row r="3" spans="1:11" ht="16.5">
      <c r="A3" s="2687" t="s">
        <v>1087</v>
      </c>
      <c r="B3" s="2689">
        <f>项目基本情况!D3</f>
        <v>44874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26072</v>
      </c>
      <c r="C5" s="2687">
        <f ca="1">ROUND(B5*10000/$B$1,0)</f>
        <v>4535</v>
      </c>
      <c r="D5" s="2687">
        <f ca="1">ROUND(B5*10000/$B$2,0)</f>
        <v>6655</v>
      </c>
      <c r="E5" s="2864"/>
      <c r="F5" s="2865"/>
      <c r="G5" s="2865"/>
      <c r="H5" s="2866"/>
      <c r="I5" s="2866"/>
      <c r="J5" s="2866"/>
      <c r="K5" s="2866"/>
    </row>
    <row r="6" spans="1:11" ht="16.5">
      <c r="A6" s="2687" t="s">
        <v>1081</v>
      </c>
      <c r="B6" s="2687">
        <f ca="1">SUM(G14:G23)</f>
        <v>26072</v>
      </c>
      <c r="C6" s="2687">
        <f ca="1">ROUND(B6*10000/$B$1,0)</f>
        <v>4535</v>
      </c>
      <c r="D6" s="2687">
        <f ca="1">ROUND(B6*10000/$B$2,0)</f>
        <v>6655</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33133.130000000005</v>
      </c>
      <c r="C14" s="2693">
        <f>结果表!C118</f>
        <v>22578.39</v>
      </c>
      <c r="D14" s="2693">
        <f ca="1">结果表!H118</f>
        <v>23522</v>
      </c>
      <c r="E14" s="2693">
        <f ca="1">ROUND(D14*10000/B14,0)</f>
        <v>7099</v>
      </c>
      <c r="F14" s="2693">
        <f ca="1">ROUND(D14*10000/C14,0)</f>
        <v>10418</v>
      </c>
      <c r="G14" s="2693">
        <f ca="1">结果表!D122</f>
        <v>23522</v>
      </c>
      <c r="H14" s="2693" t="str">
        <f>结果表!D124</f>
        <v>——</v>
      </c>
      <c r="I14" s="2693" t="str">
        <f>结果表!D126</f>
        <v>——</v>
      </c>
      <c r="J14" s="2865"/>
      <c r="K14" s="2866"/>
    </row>
    <row r="15" spans="1:11" ht="16.5">
      <c r="A15" s="2692" t="s">
        <v>1074</v>
      </c>
      <c r="B15" s="2694">
        <f>[2]系统读取表!$B$14</f>
        <v>24354.510000000002</v>
      </c>
      <c r="C15" s="2694">
        <f>[2]系统读取表!$C$14</f>
        <v>16596.246999999999</v>
      </c>
      <c r="D15" s="2694">
        <f ca="1">[2]系统读取表!$D$14</f>
        <v>2550</v>
      </c>
      <c r="E15" s="2693">
        <f t="shared" ref="E15:E23" ca="1" si="0">ROUND(D15*10000/B15,0)</f>
        <v>1047</v>
      </c>
      <c r="F15" s="2693">
        <f t="shared" ref="F15:F23" ca="1" si="1">ROUND(D15*10000/C15,0)</f>
        <v>1536</v>
      </c>
      <c r="G15" s="1451">
        <f ca="1">D15</f>
        <v>2550</v>
      </c>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B118" sqref="B118"/>
    </sheetView>
  </sheetViews>
  <sheetFormatPr defaultColWidth="12.625" defaultRowHeight="21.75" customHeight="1"/>
  <cols>
    <col min="1" max="2" width="12.625" style="1889"/>
    <col min="3" max="3" width="14.125" style="1889" customWidth="1"/>
    <col min="4"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48" t="str">
        <f>项目基本情况!S2</f>
        <v>北京市房地产</v>
      </c>
      <c r="B2" s="3549"/>
      <c r="C2" s="3549"/>
      <c r="D2" s="3549"/>
      <c r="E2" s="3549"/>
      <c r="F2" s="3549"/>
      <c r="G2" s="3549"/>
      <c r="H2" s="3549"/>
      <c r="I2" s="3550"/>
    </row>
    <row r="3" spans="1:12" ht="12.75">
      <c r="A3" s="3552" t="s">
        <v>1709</v>
      </c>
      <c r="B3" s="3553"/>
      <c r="C3" s="3553"/>
      <c r="D3" s="3553"/>
      <c r="E3" s="3553"/>
      <c r="F3" s="3553"/>
      <c r="G3" s="3553"/>
      <c r="H3" s="3553"/>
      <c r="I3" s="3553"/>
    </row>
    <row r="4" spans="1:12" ht="14.25">
      <c r="A4" s="1890" t="s">
        <v>1710</v>
      </c>
      <c r="B4" s="1891" t="s">
        <v>1711</v>
      </c>
      <c r="C4" s="1892" t="s">
        <v>3187</v>
      </c>
      <c r="D4" s="1892" t="s">
        <v>3898</v>
      </c>
      <c r="E4" s="3557" t="s">
        <v>1712</v>
      </c>
      <c r="F4" s="3558"/>
      <c r="G4" s="3558"/>
      <c r="H4" s="3558"/>
      <c r="I4" s="355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93" t="s">
        <v>1713</v>
      </c>
      <c r="B5" s="3551">
        <v>25</v>
      </c>
      <c r="C5" s="3554"/>
      <c r="D5" s="3542"/>
      <c r="E5" s="135" t="s">
        <v>1714</v>
      </c>
      <c r="F5" s="1893"/>
      <c r="G5" s="1893"/>
      <c r="H5" s="1893"/>
      <c r="I5" s="1507"/>
    </row>
    <row r="6" spans="1:12" ht="12.75">
      <c r="A6" s="3493"/>
      <c r="B6" s="3551"/>
      <c r="C6" s="3556"/>
      <c r="D6" s="3542"/>
      <c r="E6" s="135" t="s">
        <v>1715</v>
      </c>
      <c r="F6" s="1893"/>
      <c r="G6" s="1893"/>
      <c r="H6" s="1893"/>
      <c r="I6" s="1507"/>
    </row>
    <row r="7" spans="1:12" ht="12.75">
      <c r="A7" s="3493"/>
      <c r="B7" s="3551"/>
      <c r="C7" s="3555"/>
      <c r="D7" s="3542"/>
      <c r="E7" s="135" t="s">
        <v>1716</v>
      </c>
      <c r="F7" s="1893"/>
      <c r="G7" s="1893"/>
      <c r="H7" s="1893"/>
      <c r="I7" s="1507"/>
    </row>
    <row r="8" spans="1:12" ht="12.75">
      <c r="A8" s="3493" t="s">
        <v>1717</v>
      </c>
      <c r="B8" s="3551">
        <v>15</v>
      </c>
      <c r="C8" s="3554"/>
      <c r="D8" s="3542"/>
      <c r="E8" s="135" t="s">
        <v>1718</v>
      </c>
      <c r="F8" s="1893"/>
      <c r="G8" s="1893"/>
      <c r="H8" s="1893"/>
      <c r="I8" s="1507"/>
    </row>
    <row r="9" spans="1:12" ht="12.75">
      <c r="A9" s="3493"/>
      <c r="B9" s="3551"/>
      <c r="C9" s="3555"/>
      <c r="D9" s="3542"/>
      <c r="E9" s="135" t="s">
        <v>1719</v>
      </c>
      <c r="F9" s="1893"/>
      <c r="G9" s="1893"/>
      <c r="H9" s="1893"/>
      <c r="I9" s="1507"/>
    </row>
    <row r="10" spans="1:12" ht="12.75">
      <c r="A10" s="3493" t="s">
        <v>1720</v>
      </c>
      <c r="B10" s="3551">
        <v>15</v>
      </c>
      <c r="C10" s="3554"/>
      <c r="D10" s="3542"/>
      <c r="E10" s="135" t="s">
        <v>1721</v>
      </c>
      <c r="F10" s="1893"/>
      <c r="G10" s="1893"/>
      <c r="H10" s="1893"/>
      <c r="I10" s="1507"/>
    </row>
    <row r="11" spans="1:12" ht="12.75">
      <c r="A11" s="3493"/>
      <c r="B11" s="3551"/>
      <c r="C11" s="3555"/>
      <c r="D11" s="3542"/>
      <c r="E11" s="135" t="s">
        <v>1722</v>
      </c>
      <c r="F11" s="1893"/>
      <c r="G11" s="1893"/>
      <c r="H11" s="1893"/>
      <c r="I11" s="1507"/>
    </row>
    <row r="12" spans="1:12" ht="12.75">
      <c r="A12" s="3493" t="s">
        <v>1723</v>
      </c>
      <c r="B12" s="3551">
        <v>15</v>
      </c>
      <c r="C12" s="3554"/>
      <c r="D12" s="3542"/>
      <c r="E12" s="135" t="s">
        <v>1724</v>
      </c>
      <c r="F12" s="1893"/>
      <c r="G12" s="1893"/>
      <c r="H12" s="1893"/>
      <c r="I12" s="1507"/>
    </row>
    <row r="13" spans="1:12" ht="12.75">
      <c r="A13" s="3493"/>
      <c r="B13" s="3551"/>
      <c r="C13" s="3555"/>
      <c r="D13" s="3542"/>
      <c r="E13" s="135" t="s">
        <v>1725</v>
      </c>
      <c r="F13" s="1893"/>
      <c r="G13" s="1893"/>
      <c r="H13" s="1893"/>
      <c r="I13" s="1507"/>
    </row>
    <row r="14" spans="1:12" ht="12.75">
      <c r="A14" s="3493" t="s">
        <v>1726</v>
      </c>
      <c r="B14" s="3551">
        <v>30</v>
      </c>
      <c r="C14" s="3554">
        <v>5</v>
      </c>
      <c r="D14" s="3542">
        <v>5</v>
      </c>
      <c r="E14" s="135" t="s">
        <v>1727</v>
      </c>
      <c r="F14" s="1893"/>
      <c r="G14" s="1893"/>
      <c r="H14" s="1893"/>
      <c r="I14" s="1507"/>
    </row>
    <row r="15" spans="1:12" ht="12.75">
      <c r="A15" s="3493"/>
      <c r="B15" s="3551"/>
      <c r="C15" s="3556"/>
      <c r="D15" s="3542"/>
      <c r="E15" s="135" t="s">
        <v>1728</v>
      </c>
      <c r="F15" s="1893"/>
      <c r="G15" s="1893"/>
      <c r="H15" s="1893"/>
      <c r="I15" s="1507"/>
    </row>
    <row r="16" spans="1:12" ht="12.75">
      <c r="A16" s="3493"/>
      <c r="B16" s="3551"/>
      <c r="C16" s="3555"/>
      <c r="D16" s="3542"/>
      <c r="E16" s="135" t="s">
        <v>1729</v>
      </c>
      <c r="F16" s="1893"/>
      <c r="G16" s="1893"/>
      <c r="H16" s="1893"/>
      <c r="I16" s="1507"/>
    </row>
    <row r="17" spans="1:36" ht="15">
      <c r="A17" s="1894" t="s">
        <v>1730</v>
      </c>
      <c r="B17" s="59"/>
      <c r="C17" s="136">
        <f>SUM(C5:C16)</f>
        <v>5</v>
      </c>
      <c r="D17" s="136">
        <f>SUM(D5:D16)</f>
        <v>5</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573" t="s">
        <v>2632</v>
      </c>
      <c r="F18" s="3574"/>
      <c r="G18" s="3574"/>
      <c r="H18" s="3574"/>
      <c r="I18" s="3574"/>
      <c r="K18" s="307" t="s">
        <v>1734</v>
      </c>
      <c r="L18" s="307">
        <f>IF(C1="",'数据-汇总表'!E3,SUMIF(项目类型,C1,'数据-汇总表'!E17:E26)+SUMIF(项目类型,C1,'数据-汇总表'!I17:I26))</f>
        <v>33133.130000000005</v>
      </c>
      <c r="M18" s="307">
        <f>IF(C1="",'数据-汇总表'!E3,SUMIF(项目类型,C1,'数据-汇总表'!E17:E26))</f>
        <v>33133.130000000005</v>
      </c>
    </row>
    <row r="19" spans="1:36" ht="15">
      <c r="A19" s="1897" t="s">
        <v>1735</v>
      </c>
      <c r="B19" s="1898" t="s">
        <v>1736</v>
      </c>
      <c r="C19" s="138">
        <f ca="1">SUMIF(INDIRECT("'"&amp;C4&amp;"'"&amp;"!A:A"),结果表!B19,INDIRECT("'"&amp;C4&amp;"'"&amp;"!B:B"))</f>
        <v>23090</v>
      </c>
      <c r="D19" s="139">
        <f ca="1">SUMIF(INDIRECT("'"&amp;D4&amp;"'"&amp;"!A:A"),结果表!B19,INDIRECT("'"&amp;D4&amp;"'"&amp;"!B:B"))</f>
        <v>23954</v>
      </c>
      <c r="E19" s="1897" t="s">
        <v>1737</v>
      </c>
      <c r="F19" s="1898" t="s">
        <v>1736</v>
      </c>
      <c r="G19" s="140">
        <f ca="1">ROUND(C19*$C$18+D19*$D$18,0)</f>
        <v>23522</v>
      </c>
      <c r="H19" s="1899" t="s">
        <v>1738</v>
      </c>
      <c r="I19" s="133"/>
      <c r="K19" s="307" t="s">
        <v>1739</v>
      </c>
      <c r="L19" s="307">
        <f>IF(C1="",'数据-汇总表'!D3,SUMIF(项目类型,C1,'数据-汇总表'!D17:D26)+SUMIF(项目类型,C1,'数据-汇总表'!H17:H27))</f>
        <v>22578.39</v>
      </c>
      <c r="M19" s="307">
        <f>IF(C1="",'数据-汇总表'!D3,SUMIF(项目类型,C1,'数据-汇总表'!D17:D26))</f>
        <v>22578.39</v>
      </c>
    </row>
    <row r="20" spans="1:36" ht="15">
      <c r="A20" s="1900"/>
      <c r="B20" s="1137" t="s">
        <v>1740</v>
      </c>
      <c r="C20" s="141">
        <f ca="1">SUMIF(INDIRECT("'"&amp;C4&amp;"'"&amp;"!A:A"),结果表!B20,INDIRECT("'"&amp;C4&amp;"'"&amp;"!B:B"))</f>
        <v>6969</v>
      </c>
      <c r="D20" s="142">
        <f ca="1">SUMIF(INDIRECT("'"&amp;D4&amp;"'"&amp;"!A:A"),结果表!B20,INDIRECT("'"&amp;D4&amp;"'"&amp;"!B:B"))</f>
        <v>7230</v>
      </c>
      <c r="E20" s="1900"/>
      <c r="F20" s="1137" t="s">
        <v>1740</v>
      </c>
      <c r="G20" s="143">
        <f ca="1">ROUND(C20*$C$18+D20*$D$18,0)</f>
        <v>7100</v>
      </c>
      <c r="H20" s="897" t="s">
        <v>1741</v>
      </c>
      <c r="I20" s="133"/>
    </row>
    <row r="21" spans="1:36" ht="15" customHeight="1" thickBot="1">
      <c r="A21" s="917"/>
      <c r="B21" s="1901" t="s">
        <v>1742</v>
      </c>
      <c r="C21" s="727">
        <f ca="1">ROUND(C19*10000/L19,0)</f>
        <v>10227</v>
      </c>
      <c r="D21" s="728">
        <f ca="1">ROUND(D19*10000/L19,0)</f>
        <v>10609</v>
      </c>
      <c r="E21" s="917"/>
      <c r="F21" s="1901" t="s">
        <v>1742</v>
      </c>
      <c r="G21" s="144">
        <f ca="1">ROUND(G19*10000/L19,0)</f>
        <v>10418</v>
      </c>
      <c r="H21" s="1902" t="s">
        <v>1741</v>
      </c>
      <c r="I21" s="133"/>
    </row>
    <row r="22" spans="1:36" ht="15" thickBot="1">
      <c r="A22" s="1824" t="s">
        <v>1743</v>
      </c>
      <c r="B22" s="1903"/>
      <c r="C22" s="1904"/>
      <c r="D22" s="729">
        <f ca="1">IF(C19&lt;D19,D19/C19-1,C19/D19-1)</f>
        <v>3.7418796015591171E-2</v>
      </c>
      <c r="E22" s="133"/>
      <c r="F22" s="133"/>
      <c r="G22" s="133"/>
      <c r="H22" s="133"/>
      <c r="I22" s="133"/>
    </row>
    <row r="23" spans="1:36" ht="13.5" thickBot="1">
      <c r="A23" s="1883"/>
      <c r="B23" s="1883"/>
      <c r="C23" s="1883"/>
      <c r="D23" s="1883"/>
      <c r="E23" s="133"/>
      <c r="F23" s="133"/>
      <c r="G23" s="133"/>
      <c r="H23" s="133"/>
      <c r="I23" s="133"/>
    </row>
    <row r="24" spans="1:36" ht="14.25">
      <c r="A24" s="3566" t="s">
        <v>1744</v>
      </c>
      <c r="B24" s="1898" t="s">
        <v>1736</v>
      </c>
      <c r="C24" s="140">
        <f>IF(B30=0,0,D30)</f>
        <v>0</v>
      </c>
      <c r="D24" s="1905"/>
      <c r="E24" s="133"/>
      <c r="F24" s="133"/>
      <c r="G24" s="133"/>
      <c r="H24" s="133"/>
      <c r="I24" s="133"/>
    </row>
    <row r="25" spans="1:36" ht="14.25">
      <c r="A25" s="3567"/>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t="e">
        <f ca="1">G19/'数据-取费表'!O22</f>
        <v>#DIV/0!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23522</v>
      </c>
      <c r="D32" s="1911" t="s">
        <v>3188</v>
      </c>
      <c r="E32" s="133"/>
      <c r="F32" s="133"/>
      <c r="G32" s="133"/>
      <c r="H32" s="133"/>
      <c r="I32" s="133"/>
    </row>
    <row r="33" spans="1:15" ht="15">
      <c r="A33" s="874" t="s">
        <v>1751</v>
      </c>
      <c r="B33" s="1912"/>
      <c r="C33" s="1913" t="s">
        <v>3189</v>
      </c>
      <c r="D33" s="1914" t="s">
        <v>3187</v>
      </c>
      <c r="E33" s="1915" t="s">
        <v>1752</v>
      </c>
      <c r="F33" s="1916" t="str">
        <f>IF(D32="楼面单价","取值（单价）","取值（总价）")</f>
        <v>取值（总价）</v>
      </c>
      <c r="G33" s="133"/>
      <c r="H33" s="133"/>
      <c r="I33" s="133"/>
    </row>
    <row r="34" spans="1:15" ht="15">
      <c r="A34" s="1917"/>
      <c r="B34" s="1918" t="s">
        <v>1753</v>
      </c>
      <c r="C34" s="152">
        <f ca="1">IF(C33="自定义",F34,C32-C35)</f>
        <v>8421</v>
      </c>
      <c r="D34" s="950">
        <f ca="1">IF(C33="自定义",ROUND(C34/C32,3),IF(C33="收益比率",SUMIF(INDIRECT("'"&amp;D33&amp;"'"&amp;"!b:b"),"土地收益比率",INDIRECT("'"&amp;D33&amp;"'"&amp;"!c:c")),SUMIF(INDIRECT("'"&amp;D33&amp;"'"&amp;"!b:b"),"土地成本比率",INDIRECT("'"&amp;D33&amp;"'"&amp;"!c:c"))))</f>
        <v>0.35799999999999998</v>
      </c>
      <c r="E34" s="1919" t="s">
        <v>1754</v>
      </c>
      <c r="F34" s="1450"/>
      <c r="G34" s="133"/>
      <c r="H34" s="133"/>
      <c r="I34" s="133"/>
    </row>
    <row r="35" spans="1:15" ht="15.75" thickBot="1">
      <c r="A35" s="1920"/>
      <c r="B35" s="1921" t="s">
        <v>1755</v>
      </c>
      <c r="C35" s="1284">
        <f ca="1">IF(C33="自定义",F35,ROUND(C32*D35,0))</f>
        <v>15101</v>
      </c>
      <c r="D35" s="1285">
        <f ca="1">IF(C33="自定义",ROUND(C35/C32,3),IF(C33="收益比率",SUMIF(INDIRECT("'"&amp;D33&amp;"'"&amp;"!b:b"),"建筑物收益比率",INDIRECT("'"&amp;D33&amp;"'"&amp;"!c:c")),SUMIF(INDIRECT("'"&amp;D33&amp;"'"&amp;"!b:b"),"建筑物成本比率",INDIRECT("'"&amp;D33&amp;"'"&amp;"!c:c"))))</f>
        <v>0.64200000000000002</v>
      </c>
      <c r="E35" s="1922" t="s">
        <v>1756</v>
      </c>
      <c r="F35" s="158"/>
      <c r="G35" s="133"/>
      <c r="H35" s="133"/>
      <c r="I35" s="133"/>
    </row>
    <row r="36" spans="1:15" ht="15.75" thickBot="1">
      <c r="A36" s="3543" t="s">
        <v>1757</v>
      </c>
      <c r="B36" s="1923" t="s">
        <v>1758</v>
      </c>
      <c r="C36" s="149"/>
      <c r="D36" s="1924"/>
      <c r="E36" s="1925"/>
      <c r="F36" s="1926"/>
      <c r="G36" s="133"/>
      <c r="H36" s="133"/>
      <c r="I36" s="133"/>
    </row>
    <row r="37" spans="1:15" ht="15.75" thickBot="1">
      <c r="A37" s="3544"/>
      <c r="B37" s="1810" t="s">
        <v>1759</v>
      </c>
      <c r="C37" s="151"/>
      <c r="D37" s="1253"/>
      <c r="E37" s="1253"/>
      <c r="F37" s="1926"/>
      <c r="G37" s="133"/>
      <c r="H37" s="133"/>
      <c r="I37" s="133"/>
    </row>
    <row r="38" spans="1:15" ht="15.75" thickBot="1">
      <c r="A38" s="3545"/>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563" t="s">
        <v>1771</v>
      </c>
      <c r="B45" s="3564"/>
      <c r="C45" s="3565"/>
      <c r="D45" s="159">
        <f ca="1">ROUND(H101*F45,0)</f>
        <v>23522</v>
      </c>
      <c r="E45" s="160" t="s">
        <v>1772</v>
      </c>
      <c r="F45" s="161">
        <v>1</v>
      </c>
      <c r="G45" s="162" t="s">
        <v>1773</v>
      </c>
      <c r="H45" s="133"/>
      <c r="I45" s="133"/>
      <c r="J45" s="3480" t="s">
        <v>1774</v>
      </c>
      <c r="K45" s="3480"/>
      <c r="L45" s="3480"/>
      <c r="M45" s="3480"/>
      <c r="N45" s="3480"/>
      <c r="O45" s="3480"/>
    </row>
    <row r="46" spans="1:15" ht="14.25" customHeight="1">
      <c r="A46" s="3560" t="s">
        <v>1775</v>
      </c>
      <c r="B46" s="3561"/>
      <c r="C46" s="3561"/>
      <c r="D46" s="3561"/>
      <c r="E46" s="3561"/>
      <c r="F46" s="3561"/>
      <c r="G46" s="3562"/>
      <c r="H46" s="1942"/>
      <c r="I46" s="163"/>
      <c r="J46" s="2698">
        <v>1</v>
      </c>
      <c r="K46" s="3481" t="s">
        <v>1776</v>
      </c>
      <c r="L46" s="3481"/>
      <c r="M46" s="3482"/>
      <c r="N46" s="3482"/>
      <c r="O46" s="3482"/>
    </row>
    <row r="47" spans="1:15" ht="12" customHeight="1">
      <c r="A47" s="164" t="s">
        <v>1777</v>
      </c>
      <c r="B47" s="165"/>
      <c r="C47" s="166"/>
      <c r="D47" s="1199" t="s">
        <v>1778</v>
      </c>
      <c r="E47" s="307" t="s">
        <v>1779</v>
      </c>
      <c r="F47" s="167" t="s">
        <v>1780</v>
      </c>
      <c r="G47" s="2721" t="s">
        <v>1781</v>
      </c>
      <c r="H47" s="2722"/>
      <c r="I47" s="163"/>
      <c r="J47" s="2698">
        <v>2</v>
      </c>
      <c r="K47" s="3481" t="s">
        <v>1782</v>
      </c>
      <c r="L47" s="3481"/>
      <c r="M47" s="3483">
        <f>'数据-取费表'!B2</f>
        <v>44874</v>
      </c>
      <c r="N47" s="3483"/>
      <c r="O47" s="3483"/>
    </row>
    <row r="48" spans="1:15" ht="25.5">
      <c r="A48" s="3546" t="s">
        <v>1783</v>
      </c>
      <c r="B48" s="3547"/>
      <c r="C48" s="3547"/>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81" t="s">
        <v>1785</v>
      </c>
      <c r="L48" s="3481"/>
      <c r="M48" s="3484">
        <f ca="1">H101</f>
        <v>23522</v>
      </c>
      <c r="N48" s="3484"/>
      <c r="O48" s="3484"/>
    </row>
    <row r="49" spans="1:35" ht="25.5" customHeight="1">
      <c r="A49" s="2506" t="s">
        <v>1786</v>
      </c>
      <c r="B49" s="3529" t="s">
        <v>1787</v>
      </c>
      <c r="C49" s="3529"/>
      <c r="D49" s="1725">
        <v>0</v>
      </c>
      <c r="E49" s="329" t="s">
        <v>1788</v>
      </c>
      <c r="F49" s="2599" t="s">
        <v>34</v>
      </c>
      <c r="G49" s="3512"/>
      <c r="H49" s="2478" t="s">
        <v>2635</v>
      </c>
      <c r="I49" s="2479"/>
      <c r="J49" s="2698">
        <v>4</v>
      </c>
      <c r="K49" s="3481" t="str">
        <f>IF(项目基本情况!E8="房地产抵押价值","房地产抵押价值","抵押担保权已注销时的房地产抵押价值")</f>
        <v>抵押担保权已注销时的房地产抵押价值</v>
      </c>
      <c r="L49" s="3481"/>
      <c r="M49" s="3484" t="str">
        <f>IF(项目基本情况!E8="房地产抵押价值",H107,H109)</f>
        <v>——</v>
      </c>
      <c r="N49" s="3484"/>
      <c r="O49" s="3484"/>
    </row>
    <row r="50" spans="1:35" ht="25.5" customHeight="1">
      <c r="A50" s="2726"/>
      <c r="B50" s="3529" t="s">
        <v>1789</v>
      </c>
      <c r="C50" s="3529"/>
      <c r="D50" s="2727"/>
      <c r="E50" s="337"/>
      <c r="F50" s="2599"/>
      <c r="G50" s="3513"/>
      <c r="H50" s="2480" t="s">
        <v>2636</v>
      </c>
      <c r="I50" s="2479"/>
      <c r="J50" s="3480" t="s">
        <v>1790</v>
      </c>
      <c r="K50" s="3480"/>
      <c r="L50" s="3480"/>
      <c r="M50" s="3480"/>
      <c r="N50" s="3480"/>
      <c r="O50" s="3480"/>
    </row>
    <row r="51" spans="1:35" ht="20.45" customHeight="1">
      <c r="A51" s="2728"/>
      <c r="B51" s="3529" t="s">
        <v>1791</v>
      </c>
      <c r="C51" s="3529"/>
      <c r="D51" s="1199"/>
      <c r="E51" s="332"/>
      <c r="F51" s="2599"/>
      <c r="G51" s="3514"/>
      <c r="H51" s="2480" t="s">
        <v>2637</v>
      </c>
      <c r="I51" s="2479"/>
      <c r="J51" s="2699" t="s">
        <v>1792</v>
      </c>
      <c r="K51" s="3481" t="s">
        <v>1793</v>
      </c>
      <c r="L51" s="3481"/>
      <c r="M51" s="2699" t="s">
        <v>1794</v>
      </c>
      <c r="N51" s="2699" t="s">
        <v>1795</v>
      </c>
      <c r="O51" s="2699" t="s">
        <v>1796</v>
      </c>
    </row>
    <row r="52" spans="1:35" ht="24" customHeight="1">
      <c r="A52" s="2508" t="s">
        <v>1797</v>
      </c>
      <c r="B52" s="3529" t="s">
        <v>1798</v>
      </c>
      <c r="C52" s="3529"/>
      <c r="D52" s="1199">
        <f ca="1">ROUND(D45*'数据-取费表'!B41/(1+'数据-取费表'!C42),0)</f>
        <v>1232</v>
      </c>
      <c r="E52" s="2507" t="s">
        <v>1799</v>
      </c>
      <c r="F52" s="2729">
        <f>'数据-取费表'!B41</f>
        <v>5.5000000000000007E-2</v>
      </c>
      <c r="G52" s="2730"/>
      <c r="H52" s="2719"/>
      <c r="I52" s="1943"/>
      <c r="J52" s="2698">
        <v>1</v>
      </c>
      <c r="K52" s="3506" t="s">
        <v>1800</v>
      </c>
      <c r="L52" s="3506"/>
      <c r="M52" s="2700" t="b">
        <f>D48</f>
        <v>0</v>
      </c>
      <c r="N52" s="2698" t="str">
        <f>E48</f>
        <v>销售额×税（费）率</v>
      </c>
      <c r="O52" s="2701">
        <f>F48</f>
        <v>5.5000000000000007E-2</v>
      </c>
    </row>
    <row r="53" spans="1:35" ht="12" customHeight="1">
      <c r="A53" s="2508" t="s">
        <v>1801</v>
      </c>
      <c r="B53" s="3530" t="s">
        <v>2792</v>
      </c>
      <c r="C53" s="3531"/>
      <c r="D53" s="1199">
        <f ca="1">ROUND(D45*'数据-取费表'!B41/(1+'数据-取费表'!C42),0)</f>
        <v>1232</v>
      </c>
      <c r="E53" s="2507" t="s">
        <v>1799</v>
      </c>
      <c r="F53" s="2729">
        <f>'数据-取费表'!B41</f>
        <v>5.5000000000000007E-2</v>
      </c>
      <c r="G53" s="2730"/>
      <c r="H53" s="2719"/>
      <c r="I53" s="1943"/>
      <c r="J53" s="2698">
        <v>2</v>
      </c>
      <c r="K53" s="3506" t="s">
        <v>1802</v>
      </c>
      <c r="L53" s="3506"/>
      <c r="M53" s="2700">
        <f t="shared" ref="M53:O54" ca="1" si="0">D55</f>
        <v>12</v>
      </c>
      <c r="N53" s="2698" t="str">
        <f t="shared" si="0"/>
        <v>销售额×税（费）率</v>
      </c>
      <c r="O53" s="2701" t="str">
        <f t="shared" si="0"/>
        <v>免征</v>
      </c>
    </row>
    <row r="54" spans="1:35" ht="12" customHeight="1">
      <c r="A54" s="2508" t="s">
        <v>1803</v>
      </c>
      <c r="B54" s="3530" t="s">
        <v>2793</v>
      </c>
      <c r="C54" s="3531"/>
      <c r="D54" s="1199">
        <f ca="1">C68</f>
        <v>1232</v>
      </c>
      <c r="E54" s="332" t="s">
        <v>1804</v>
      </c>
      <c r="F54" s="2729">
        <f>'数据-取费表'!B41</f>
        <v>5.5000000000000007E-2</v>
      </c>
      <c r="G54" s="2730"/>
      <c r="H54" s="2731"/>
      <c r="I54" s="1943"/>
      <c r="J54" s="2698">
        <v>3</v>
      </c>
      <c r="K54" s="3506" t="s">
        <v>1805</v>
      </c>
      <c r="L54" s="3506"/>
      <c r="M54" s="2700">
        <f t="shared" ca="1" si="0"/>
        <v>13335</v>
      </c>
      <c r="N54" s="2698" t="str">
        <f t="shared" si="0"/>
        <v>增值额×税（费）率</v>
      </c>
      <c r="O54" s="2702" t="str">
        <f t="shared" si="0"/>
        <v>免征</v>
      </c>
    </row>
    <row r="55" spans="1:35" ht="24" customHeight="1">
      <c r="A55" s="3569" t="s">
        <v>1806</v>
      </c>
      <c r="B55" s="3547"/>
      <c r="C55" s="3547"/>
      <c r="D55" s="2497">
        <f ca="1">IF(H55="个人住宅",0,ROUND(D45*I55,0))</f>
        <v>12</v>
      </c>
      <c r="E55" s="2507" t="s">
        <v>1807</v>
      </c>
      <c r="F55" s="2729" t="str">
        <f>IF(H55="正常",I55,"免征")</f>
        <v>免征</v>
      </c>
      <c r="G55" s="2730"/>
      <c r="H55" s="2725"/>
      <c r="I55" s="169">
        <f>'数据-取费表'!B49</f>
        <v>5.0000000000000001E-4</v>
      </c>
      <c r="J55" s="2698">
        <f>IF(H59="非个人房产","",4)</f>
        <v>4</v>
      </c>
      <c r="K55" s="3506" t="str">
        <f>IF(H59="非个人房产","——","个人所得税")</f>
        <v>个人所得税</v>
      </c>
      <c r="L55" s="3506"/>
      <c r="M55" s="2703">
        <f ca="1">D59</f>
        <v>224</v>
      </c>
      <c r="N55" s="2178" t="str">
        <f>E59</f>
        <v>差额计税</v>
      </c>
      <c r="O55" s="2704">
        <f>F59</f>
        <v>0.01</v>
      </c>
    </row>
    <row r="56" spans="1:35" ht="24.75">
      <c r="A56" s="3569" t="s">
        <v>1808</v>
      </c>
      <c r="B56" s="3547"/>
      <c r="C56" s="3547"/>
      <c r="D56" s="2497">
        <f ca="1">IF(H56="个人住宅",D57,D58)</f>
        <v>13335</v>
      </c>
      <c r="E56" s="2507" t="s">
        <v>1809</v>
      </c>
      <c r="F56" s="2729" t="str">
        <f>IF(H56="正常",F58,"免征")</f>
        <v>免征</v>
      </c>
      <c r="G56" s="2732" t="s">
        <v>1810</v>
      </c>
      <c r="H56" s="2733"/>
      <c r="I56" s="1944"/>
      <c r="J56" s="2698" t="str">
        <f>IF(项目基本情况!K6="上海银行",IF(J55="",4,J55+1),"")</f>
        <v/>
      </c>
      <c r="K56" s="3487" t="str">
        <f>IF(项目基本情况!K6="上海银行","其他处置费用","")</f>
        <v/>
      </c>
      <c r="L56" s="3488"/>
      <c r="M56" s="2700" t="str">
        <f>IF(项目基本情况!K6="上海银行",M69,"")</f>
        <v/>
      </c>
      <c r="N56" s="3487" t="str">
        <f>IF(项目基本情况!K6="上海银行","包含处置中涉及的律师、诉讼、拍卖、评估等费用","")</f>
        <v/>
      </c>
      <c r="O56" s="3490"/>
    </row>
    <row r="57" spans="1:35" ht="12.75">
      <c r="A57" s="2508" t="s">
        <v>1786</v>
      </c>
      <c r="B57" s="3530" t="s">
        <v>1811</v>
      </c>
      <c r="C57" s="3531"/>
      <c r="D57" s="1725">
        <v>0</v>
      </c>
      <c r="E57" s="329" t="s">
        <v>1788</v>
      </c>
      <c r="F57" s="307"/>
      <c r="G57" s="2730"/>
      <c r="H57" s="2734"/>
      <c r="I57" s="1944"/>
      <c r="J57" s="3506">
        <f>IF(AND(J55="",J56=""),4,IF(项目基本情况!K6="上海银行",结果表!J56+1,结果表!J55+1))</f>
        <v>5</v>
      </c>
      <c r="K57" s="3506" t="s">
        <v>1812</v>
      </c>
      <c r="L57" s="2705" t="s">
        <v>1813</v>
      </c>
      <c r="M57" s="2706"/>
      <c r="N57" s="2707">
        <f ca="1">SUMIF(M52:M56,"&lt;9e307")</f>
        <v>13571</v>
      </c>
      <c r="O57" s="2708"/>
      <c r="P57" s="2868" t="e">
        <f ca="1">N57/M49</f>
        <v>#VALUE!</v>
      </c>
    </row>
    <row r="58" spans="1:35" ht="24.75">
      <c r="A58" s="2508" t="s">
        <v>1797</v>
      </c>
      <c r="B58" s="3530" t="s">
        <v>1814</v>
      </c>
      <c r="C58" s="3529"/>
      <c r="D58" s="2497">
        <f ca="1">IF(H58="转让取得",C81,C97)</f>
        <v>13335</v>
      </c>
      <c r="E58" s="2507" t="s">
        <v>1809</v>
      </c>
      <c r="F58" s="307" t="s">
        <v>34</v>
      </c>
      <c r="G58" s="2730"/>
      <c r="H58" s="2733"/>
      <c r="I58" s="1944"/>
      <c r="J58" s="3506"/>
      <c r="K58" s="3506"/>
      <c r="L58" s="2705" t="s">
        <v>1815</v>
      </c>
      <c r="M58" s="2709"/>
      <c r="N58" s="2710" t="str">
        <f ca="1">NUMBERSTRING(INT(N57*10000),2)&amp;"元整"</f>
        <v>壹亿叁仟伍佰柒拾壹万元整</v>
      </c>
      <c r="O58" s="2711"/>
    </row>
    <row r="59" spans="1:35" ht="24.75" thickBot="1">
      <c r="A59" s="3510" t="s">
        <v>1816</v>
      </c>
      <c r="B59" s="3511"/>
      <c r="C59" s="3511"/>
      <c r="D59" s="2735">
        <f ca="1">IF(H59="非个人房产","——",IF(H59="个人住宅（满五唯一有凭证）",0,IF(H59="个人其他（无凭证）",ROUND(D45*F59,0),ROUND(C67*F59,0))))</f>
        <v>224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508">
        <f>J57+1</f>
        <v>6</v>
      </c>
      <c r="K59" s="3506" t="s">
        <v>1817</v>
      </c>
      <c r="L59" s="2698" t="s">
        <v>1813</v>
      </c>
      <c r="M59" s="2712"/>
      <c r="N59" s="2713" t="e">
        <f ca="1">M49-N57</f>
        <v>#VALUE!</v>
      </c>
      <c r="O59" s="2714"/>
    </row>
    <row r="60" spans="1:35" ht="12" customHeight="1">
      <c r="A60" s="1945"/>
      <c r="B60" s="1883"/>
      <c r="C60" s="1883"/>
      <c r="D60" s="1883"/>
      <c r="E60" s="1713"/>
      <c r="F60" s="1944"/>
      <c r="G60" s="1944"/>
      <c r="H60" s="1946"/>
      <c r="I60" s="133"/>
      <c r="J60" s="3509"/>
      <c r="K60" s="3506"/>
      <c r="L60" s="2705" t="s">
        <v>1815</v>
      </c>
      <c r="M60" s="2709"/>
      <c r="N60" s="2710" t="e">
        <f ca="1">NUMBERSTRING(INT(N59*10000),2)&amp;"元整"</f>
        <v>#VALUE!</v>
      </c>
      <c r="O60" s="2711"/>
    </row>
    <row r="61" spans="1:35" ht="13.5" thickBot="1">
      <c r="A61" s="3568" t="s">
        <v>1818</v>
      </c>
      <c r="B61" s="3568"/>
      <c r="C61" s="3568"/>
      <c r="D61" s="3568"/>
      <c r="E61" s="3568"/>
      <c r="F61" s="1944"/>
      <c r="G61" s="1944"/>
      <c r="H61" s="1946"/>
      <c r="I61" s="133"/>
      <c r="J61" s="2698">
        <f>J59+1</f>
        <v>7</v>
      </c>
      <c r="K61" s="3506" t="s">
        <v>1819</v>
      </c>
      <c r="L61" s="3506"/>
      <c r="M61" s="2715"/>
      <c r="N61" s="2716" t="e">
        <f ca="1">ROUND(N59*10000/'数据-汇总表'!E3,0)</f>
        <v>#VALUE!</v>
      </c>
      <c r="O61" s="2717"/>
    </row>
    <row r="62" spans="1:35" ht="12.75">
      <c r="A62" s="3525" t="s">
        <v>1820</v>
      </c>
      <c r="B62" s="3526"/>
      <c r="C62" s="2159"/>
      <c r="D62" s="2159" t="s">
        <v>1821</v>
      </c>
      <c r="E62" s="170" t="s">
        <v>1822</v>
      </c>
      <c r="F62" s="1944"/>
      <c r="G62" s="1944"/>
      <c r="H62" s="1946"/>
      <c r="I62" s="133"/>
    </row>
    <row r="63" spans="1:35" ht="12.75">
      <c r="A63" s="177" t="s">
        <v>594</v>
      </c>
      <c r="B63" s="171" t="s">
        <v>1823</v>
      </c>
      <c r="C63" s="2739">
        <f ca="1">ROUND((C64+C65)/(1+'数据-取费表'!C42),0)</f>
        <v>22402</v>
      </c>
      <c r="D63" s="171"/>
      <c r="E63" s="172"/>
      <c r="F63" s="1944"/>
      <c r="G63" s="1944"/>
      <c r="H63" s="1946"/>
      <c r="I63" s="133"/>
      <c r="J63" s="3489"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f ca="1">D45</f>
        <v>23522</v>
      </c>
      <c r="D64" s="174" t="s">
        <v>32</v>
      </c>
      <c r="E64" s="176"/>
      <c r="F64" s="1944"/>
      <c r="G64" s="1944"/>
      <c r="H64" s="1946"/>
      <c r="I64" s="133"/>
      <c r="J64" s="3489"/>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489"/>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489"/>
      <c r="K66" s="1452" t="s">
        <v>1832</v>
      </c>
      <c r="L66" s="1452" t="e">
        <f>M49*0.5%</f>
        <v>#VALUE!</v>
      </c>
      <c r="M66" s="307" t="e">
        <f>IF(L66&gt;0.5,0.5,ROUND(L66,0))</f>
        <v>#VALUE!</v>
      </c>
      <c r="N66" s="2719" t="s">
        <v>1833</v>
      </c>
      <c r="Z66" s="1888"/>
      <c r="AI66" s="1889"/>
    </row>
    <row r="67" spans="1:35" ht="14.25" customHeight="1">
      <c r="A67" s="177" t="s">
        <v>592</v>
      </c>
      <c r="B67" s="178" t="s">
        <v>1834</v>
      </c>
      <c r="C67" s="2743">
        <f ca="1">C63-C66</f>
        <v>22402</v>
      </c>
      <c r="D67" s="174" t="s">
        <v>32</v>
      </c>
      <c r="E67" s="176"/>
      <c r="F67" s="1944"/>
      <c r="G67" s="1944"/>
      <c r="H67" s="1946"/>
      <c r="I67" s="133"/>
      <c r="J67" s="3489"/>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f ca="1">IF(C67&lt;=0,0,ROUND(C67*D68,0))</f>
        <v>1232</v>
      </c>
      <c r="D68" s="2745">
        <f>'数据-取费表'!B41</f>
        <v>5.5000000000000007E-2</v>
      </c>
      <c r="E68" s="183"/>
      <c r="F68" s="1944"/>
      <c r="G68" s="1944"/>
      <c r="H68" s="1946"/>
      <c r="I68" s="133"/>
      <c r="J68" s="3489"/>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489"/>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533" t="s">
        <v>1839</v>
      </c>
      <c r="B70" s="3534"/>
      <c r="C70" s="3534"/>
      <c r="D70" s="3534"/>
      <c r="E70" s="3534"/>
      <c r="F70" s="3534"/>
      <c r="G70" s="3534"/>
      <c r="H70" s="353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525" t="s">
        <v>1820</v>
      </c>
      <c r="B71" s="3526"/>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22402</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112</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530" t="s">
        <v>1847</v>
      </c>
      <c r="F76" s="3529"/>
      <c r="G76" s="3529"/>
      <c r="H76" s="353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112</v>
      </c>
      <c r="D78" s="2752">
        <f>'数据-取费表'!B43</f>
        <v>5.000000000000001E-3</v>
      </c>
      <c r="E78" s="3522" t="s">
        <v>1851</v>
      </c>
      <c r="F78" s="3523"/>
      <c r="G78" s="3523"/>
      <c r="H78" s="352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22290</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199.01785714285714</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13335</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533" t="s">
        <v>1855</v>
      </c>
      <c r="B83" s="3534"/>
      <c r="C83" s="3534"/>
      <c r="D83" s="3534"/>
      <c r="E83" s="3534"/>
      <c r="F83" s="3534"/>
      <c r="G83" s="3534"/>
      <c r="H83" s="353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525" t="s">
        <v>1820</v>
      </c>
      <c r="B84" s="3526"/>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22402</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112</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91" t="s">
        <v>2630</v>
      </c>
      <c r="H90" s="3492"/>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522" t="s">
        <v>1864</v>
      </c>
      <c r="F91" s="3523"/>
      <c r="G91" s="352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522" t="s">
        <v>1867</v>
      </c>
      <c r="F92" s="3523"/>
      <c r="G92" s="3523"/>
      <c r="H92" s="3524"/>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112</v>
      </c>
      <c r="D93" s="2752">
        <f>'数据-取费表'!B43</f>
        <v>5.000000000000001E-3</v>
      </c>
      <c r="E93" s="3522" t="s">
        <v>1851</v>
      </c>
      <c r="F93" s="3523"/>
      <c r="G93" s="3523"/>
      <c r="H93" s="352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70" t="s">
        <v>1871</v>
      </c>
      <c r="F94" s="3571"/>
      <c r="G94" s="3571"/>
      <c r="H94" s="357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22290</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199.01785714285714</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13335</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72" t="s">
        <v>1873</v>
      </c>
      <c r="B100" s="3473"/>
      <c r="C100" s="3473"/>
      <c r="D100" s="3507"/>
      <c r="E100" s="3473" t="s">
        <v>1874</v>
      </c>
      <c r="F100" s="3473"/>
      <c r="G100" s="3473"/>
      <c r="H100" s="3507"/>
      <c r="I100" s="133"/>
    </row>
    <row r="101" spans="1:35" ht="18.75" customHeight="1">
      <c r="A101" s="3515" t="s">
        <v>1875</v>
      </c>
      <c r="B101" s="3516"/>
      <c r="C101" s="2760" t="str">
        <f>C4</f>
        <v>成本法</v>
      </c>
      <c r="D101" s="2761" t="str">
        <f>D4</f>
        <v>收益法（汇总）</v>
      </c>
      <c r="E101" s="3485" t="s">
        <v>1876</v>
      </c>
      <c r="F101" s="3486"/>
      <c r="G101" s="1963" t="s">
        <v>1877</v>
      </c>
      <c r="H101" s="2770">
        <f ca="1">H118</f>
        <v>23522</v>
      </c>
      <c r="I101" s="133"/>
    </row>
    <row r="102" spans="1:35" ht="18.75" customHeight="1">
      <c r="A102" s="3517" t="s">
        <v>1878</v>
      </c>
      <c r="B102" s="2759" t="s">
        <v>1877</v>
      </c>
      <c r="C102" s="2760">
        <f ca="1">C19</f>
        <v>23090</v>
      </c>
      <c r="D102" s="2761">
        <f ca="1">D19</f>
        <v>23954</v>
      </c>
      <c r="E102" s="3485"/>
      <c r="F102" s="3486"/>
      <c r="G102" s="1963" t="s">
        <v>1879</v>
      </c>
      <c r="H102" s="2730">
        <f ca="1">I118</f>
        <v>7099</v>
      </c>
      <c r="I102" s="133"/>
    </row>
    <row r="103" spans="1:35" ht="42.75" customHeight="1">
      <c r="A103" s="3517"/>
      <c r="B103" s="2759" t="s">
        <v>1879</v>
      </c>
      <c r="C103" s="2762">
        <f ca="1">C20</f>
        <v>6969</v>
      </c>
      <c r="D103" s="2763">
        <f ca="1">D20</f>
        <v>7230</v>
      </c>
      <c r="E103" s="3478" t="s">
        <v>1880</v>
      </c>
      <c r="F103" s="3479"/>
      <c r="G103" s="1964" t="s">
        <v>1881</v>
      </c>
      <c r="H103" s="2770">
        <f>IF(D36="正常操作",H104+H105+H106,H105+H106)</f>
        <v>0</v>
      </c>
      <c r="I103" s="133"/>
    </row>
    <row r="104" spans="1:35" ht="18.75" customHeight="1">
      <c r="A104" s="3517" t="s">
        <v>1882</v>
      </c>
      <c r="B104" s="2764" t="s">
        <v>1877</v>
      </c>
      <c r="C104" s="2765">
        <f ca="1">H118</f>
        <v>23522</v>
      </c>
      <c r="D104" s="2766"/>
      <c r="E104" s="1810" t="s">
        <v>1883</v>
      </c>
      <c r="F104" s="1801"/>
      <c r="G104" s="1964" t="s">
        <v>1881</v>
      </c>
      <c r="H104" s="2771">
        <f>IF(D36="同一抵押权人同一抵押物续贷",C36&amp;"（续贷，未扣减，详见特别提示）",C36)</f>
        <v>0</v>
      </c>
      <c r="I104" s="133"/>
    </row>
    <row r="105" spans="1:35" ht="18.75" customHeight="1" thickBot="1">
      <c r="A105" s="3527"/>
      <c r="B105" s="2767" t="s">
        <v>1879</v>
      </c>
      <c r="C105" s="2768">
        <f ca="1">I118</f>
        <v>7099</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518" t="str">
        <f>IF(项目基本情况!E8="已注销","——","3.房地产抵押价值")</f>
        <v>3.房地产抵押价值</v>
      </c>
      <c r="F107" s="3486"/>
      <c r="G107" s="1963" t="s">
        <v>1877</v>
      </c>
      <c r="H107" s="2770">
        <f ca="1">IF(E107="——","——",H101-H103)</f>
        <v>23522</v>
      </c>
      <c r="I107" s="133"/>
    </row>
    <row r="108" spans="1:35" ht="18.75" customHeight="1">
      <c r="A108" s="133"/>
      <c r="B108" s="133"/>
      <c r="C108" s="133"/>
      <c r="D108" s="133"/>
      <c r="E108" s="3518"/>
      <c r="F108" s="3486"/>
      <c r="G108" s="1963" t="s">
        <v>1879</v>
      </c>
      <c r="H108" s="2730">
        <f ca="1">ROUND(H107*10000/'数据-汇总表'!E3,0)</f>
        <v>7099</v>
      </c>
      <c r="I108" s="133"/>
    </row>
    <row r="109" spans="1:35" ht="18.75" customHeight="1">
      <c r="A109" s="133"/>
      <c r="B109" s="133"/>
      <c r="C109" s="133"/>
      <c r="D109" s="133"/>
      <c r="E109" s="3518" t="str">
        <f>IF(项目基本情况!E8="已注销及未注销","4.抵押担保权已注销时的房地产抵押价值",IF(项目基本情况!E8="已注销","3.抵押担保权已注销时的房地产抵押价值","——"))</f>
        <v>——</v>
      </c>
      <c r="F109" s="3486"/>
      <c r="G109" s="1963" t="s">
        <v>1877</v>
      </c>
      <c r="H109" s="2773" t="str">
        <f>IF(E109="——","——",H101-H105-H106)</f>
        <v>——</v>
      </c>
      <c r="I109" s="133"/>
    </row>
    <row r="110" spans="1:35" ht="18.75" customHeight="1">
      <c r="A110" s="133"/>
      <c r="B110" s="133"/>
      <c r="C110" s="133"/>
      <c r="D110" s="133"/>
      <c r="E110" s="3518"/>
      <c r="F110" s="3486"/>
      <c r="G110" s="1963" t="s">
        <v>1879</v>
      </c>
      <c r="H110" s="2730" t="str">
        <f>IF(H109="——","——",ROUND(H109*10000/'数据-汇总表'!E3,0))</f>
        <v>——</v>
      </c>
      <c r="I110" s="133"/>
    </row>
    <row r="111" spans="1:35" ht="18.75" customHeight="1">
      <c r="A111" s="133"/>
      <c r="B111" s="133"/>
      <c r="C111" s="133"/>
      <c r="D111" s="133"/>
      <c r="E111" s="3519" t="str">
        <f>IF(项目基本情况!E9="抵押净值",IF(OR(项目基本情况!E8="已注销",项目基本情况!E8="房地产抵押价值"),"4.抵押净值","5.抵押净值"),"——")</f>
        <v>——</v>
      </c>
      <c r="F111" s="3505"/>
      <c r="G111" s="1963" t="s">
        <v>1877</v>
      </c>
      <c r="H111" s="2770" t="str">
        <f>IF(E111="——","——",N59)</f>
        <v>——</v>
      </c>
      <c r="I111" s="133"/>
    </row>
    <row r="112" spans="1:35" ht="18.75" customHeight="1" thickBot="1">
      <c r="A112" s="133"/>
      <c r="B112" s="133"/>
      <c r="C112" s="133"/>
      <c r="D112" s="133"/>
      <c r="E112" s="3520"/>
      <c r="F112" s="3521"/>
      <c r="G112" s="1966" t="s">
        <v>1879</v>
      </c>
      <c r="H112" s="2774" t="str">
        <f>IF(E111="——","——",N61)</f>
        <v>——</v>
      </c>
      <c r="I112" s="133"/>
    </row>
    <row r="113" spans="1:27" ht="18.75" customHeight="1">
      <c r="A113" s="133"/>
      <c r="B113" s="133"/>
      <c r="C113" s="133"/>
      <c r="D113" s="133"/>
      <c r="E113" s="3528" t="s">
        <v>1885</v>
      </c>
      <c r="F113" s="3528"/>
      <c r="G113" s="3528"/>
      <c r="H113" s="3528"/>
      <c r="I113" s="133"/>
    </row>
    <row r="114" spans="1:27" ht="3.75" customHeight="1">
      <c r="A114" s="1883"/>
      <c r="B114" s="1883"/>
      <c r="C114" s="1883"/>
      <c r="D114" s="1883"/>
      <c r="E114" s="1945"/>
      <c r="F114" s="1945"/>
      <c r="G114" s="1945"/>
      <c r="H114" s="1945"/>
      <c r="I114" s="1883"/>
    </row>
    <row r="115" spans="1:27" ht="18.75" customHeight="1">
      <c r="A115" s="3539" t="s">
        <v>1887</v>
      </c>
      <c r="B115" s="3540"/>
      <c r="C115" s="3540"/>
      <c r="D115" s="3540"/>
      <c r="E115" s="3540"/>
      <c r="F115" s="3540"/>
      <c r="G115" s="3540"/>
      <c r="H115" s="3540"/>
      <c r="I115" s="3541"/>
    </row>
    <row r="116" spans="1:27" ht="27" customHeight="1">
      <c r="A116" s="3493" t="s">
        <v>1888</v>
      </c>
      <c r="B116" s="3497" t="s">
        <v>1889</v>
      </c>
      <c r="C116" s="3497" t="s">
        <v>1890</v>
      </c>
      <c r="D116" s="3503" t="s">
        <v>1891</v>
      </c>
      <c r="E116" s="3504"/>
      <c r="F116" s="3535" t="s">
        <v>1892</v>
      </c>
      <c r="G116" s="3535"/>
      <c r="H116" s="3493" t="s">
        <v>1893</v>
      </c>
      <c r="I116" s="3493"/>
    </row>
    <row r="117" spans="1:27" ht="18.75" customHeight="1">
      <c r="A117" s="3493"/>
      <c r="B117" s="3498"/>
      <c r="C117" s="3498"/>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33133.130000000005</v>
      </c>
      <c r="C118" s="2502">
        <f>M19</f>
        <v>22578.39</v>
      </c>
      <c r="D118" s="2502">
        <f ca="1">ROUND(IF(D32="总价",C34,E118*B118/10000),0)</f>
        <v>8421</v>
      </c>
      <c r="E118" s="2502">
        <f ca="1">ROUND(IF(C33="自定义",IF(D32="楼面单价",C34,D118*10000/B118),I118-G118),0)</f>
        <v>2541</v>
      </c>
      <c r="F118" s="2502">
        <f ca="1">ROUND(IF(D32="总价",C35,G118*B118/10000),0)</f>
        <v>15101</v>
      </c>
      <c r="G118" s="2502">
        <f ca="1">ROUND(IF(D32="楼面单价",C35,F118*10000/B118),0)</f>
        <v>4558</v>
      </c>
      <c r="H118" s="2502">
        <f ca="1">ROUND(IF(D32="总价",C32,I118*B118/10000),0)</f>
        <v>23522</v>
      </c>
      <c r="I118" s="2502">
        <f ca="1">ROUND(IF(D32="楼面单价",C32,H118*10000/B118),0)</f>
        <v>7099</v>
      </c>
    </row>
    <row r="119" spans="1:27" ht="18.75" customHeight="1">
      <c r="A119" s="3493" t="s">
        <v>1897</v>
      </c>
      <c r="B119" s="3493"/>
      <c r="C119" s="3493"/>
      <c r="D119" s="3499" t="str">
        <f ca="1">NUMBERSTRING(INT(D118*10000),2)&amp;"元整"</f>
        <v>捌仟肆佰贰拾壹万元整</v>
      </c>
      <c r="E119" s="3500"/>
      <c r="F119" s="3499" t="str">
        <f ca="1">NUMBERSTRING(INT(F118*10000),2)&amp;"元整"</f>
        <v>壹亿伍仟壹佰零壹万元整</v>
      </c>
      <c r="G119" s="3500"/>
      <c r="H119" s="3499" t="str">
        <f ca="1">NUMBERSTRING(INT(H118*10000),2)&amp;"元整"</f>
        <v>贰亿叁仟伍佰贰拾贰万元整</v>
      </c>
      <c r="I119" s="3500"/>
    </row>
    <row r="120" spans="1:27" ht="18.75" customHeight="1">
      <c r="A120" s="3494" t="str">
        <f>IF(项目基本情况!B9="房地产市场价值","",MID(E103,3,LEN(E103)-2))</f>
        <v>估价师知悉的法定优先受偿款</v>
      </c>
      <c r="B120" s="3495"/>
      <c r="C120" s="3496"/>
      <c r="D120" s="3494">
        <f>H103</f>
        <v>0</v>
      </c>
      <c r="E120" s="3495"/>
      <c r="F120" s="3495"/>
      <c r="G120" s="3495"/>
      <c r="H120" s="3495"/>
      <c r="I120" s="349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536" t="s">
        <v>1897</v>
      </c>
      <c r="B121" s="3537"/>
      <c r="C121" s="3538"/>
      <c r="D121" s="3499" t="str">
        <f>IF(D120=0,"零元整",NUMBERSTRING(INT(D120*10000),2)&amp;"元整")</f>
        <v>零元整</v>
      </c>
      <c r="E121" s="3501"/>
      <c r="F121" s="3501"/>
      <c r="G121" s="3501"/>
      <c r="H121" s="3501"/>
      <c r="I121" s="3500"/>
      <c r="AA121" s="733"/>
    </row>
    <row r="122" spans="1:27" ht="18.75" customHeight="1">
      <c r="A122" s="3505" t="str">
        <f>IF(项目基本情况!B9="房地产市场价值","",MID(E107,3,LEN(E107)-2))</f>
        <v>房地产抵押价值</v>
      </c>
      <c r="B122" s="3505"/>
      <c r="C122" s="3505"/>
      <c r="D122" s="3494">
        <f ca="1">H107</f>
        <v>23522</v>
      </c>
      <c r="E122" s="3495"/>
      <c r="F122" s="3495"/>
      <c r="G122" s="3495"/>
      <c r="H122" s="3495"/>
      <c r="I122" s="3496"/>
      <c r="AA122" s="733"/>
    </row>
    <row r="123" spans="1:27" ht="18.75" customHeight="1">
      <c r="A123" s="3493" t="s">
        <v>1897</v>
      </c>
      <c r="B123" s="3493"/>
      <c r="C123" s="3493"/>
      <c r="D123" s="3499" t="str">
        <f ca="1">NUMBERSTRING(INT(D122*10000),2)&amp;"元整"</f>
        <v>贰亿叁仟伍佰贰拾贰万元整</v>
      </c>
      <c r="E123" s="3501"/>
      <c r="F123" s="3501"/>
      <c r="G123" s="3501"/>
      <c r="H123" s="3501"/>
      <c r="I123" s="3500"/>
      <c r="AA123" s="733"/>
    </row>
    <row r="124" spans="1:27" ht="18.75" customHeight="1">
      <c r="A124" s="3505" t="str">
        <f>IF(项目基本情况!B9="房地产市场价值","",MID(E109,3,LEN(E109)-2))</f>
        <v/>
      </c>
      <c r="B124" s="3505"/>
      <c r="C124" s="3505"/>
      <c r="D124" s="3494" t="str">
        <f>H109</f>
        <v>——</v>
      </c>
      <c r="E124" s="3495"/>
      <c r="F124" s="3495"/>
      <c r="G124" s="3495"/>
      <c r="H124" s="3495"/>
      <c r="I124" s="3496"/>
      <c r="AA124" s="733"/>
    </row>
    <row r="125" spans="1:27" ht="18.75" customHeight="1">
      <c r="A125" s="3493" t="s">
        <v>1897</v>
      </c>
      <c r="B125" s="3493"/>
      <c r="C125" s="3493"/>
      <c r="D125" s="3499" t="e">
        <f>NUMBERSTRING(INT(D124*10000),2)&amp;"元整"</f>
        <v>#VALUE!</v>
      </c>
      <c r="E125" s="3501"/>
      <c r="F125" s="3501"/>
      <c r="G125" s="3501"/>
      <c r="H125" s="3501"/>
      <c r="I125" s="3500"/>
      <c r="AA125" s="733"/>
    </row>
    <row r="126" spans="1:27" ht="18.75" customHeight="1">
      <c r="A126" s="3505" t="str">
        <f>IF(项目基本情况!B9="房地产市场价值","",MID(E111,3,LEN(E111)-2))</f>
        <v/>
      </c>
      <c r="B126" s="3505"/>
      <c r="C126" s="3505"/>
      <c r="D126" s="3494" t="str">
        <f>H111</f>
        <v>——</v>
      </c>
      <c r="E126" s="3495"/>
      <c r="F126" s="3495"/>
      <c r="G126" s="3495"/>
      <c r="H126" s="3495"/>
      <c r="I126" s="3496"/>
      <c r="AA126" s="733"/>
    </row>
    <row r="127" spans="1:27" ht="18.75" customHeight="1">
      <c r="A127" s="3493" t="s">
        <v>1897</v>
      </c>
      <c r="B127" s="3493"/>
      <c r="C127" s="3493"/>
      <c r="D127" s="3499" t="e">
        <f>NUMBERSTRING(INT(D126*10000),2)&amp;"元整"</f>
        <v>#VALUE!</v>
      </c>
      <c r="E127" s="3501"/>
      <c r="F127" s="3501"/>
      <c r="G127" s="3501"/>
      <c r="H127" s="3501"/>
      <c r="I127" s="3500"/>
      <c r="AA127" s="733"/>
    </row>
    <row r="128" spans="1:27" ht="21.75" customHeight="1">
      <c r="A128" s="3502" t="s">
        <v>1898</v>
      </c>
      <c r="B128" s="3502"/>
      <c r="C128" s="3502"/>
      <c r="D128" s="3502"/>
      <c r="E128" s="3502"/>
      <c r="F128" s="3502"/>
      <c r="G128" s="3502"/>
      <c r="H128" s="3502"/>
      <c r="I128" s="3502"/>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86" t="str">
        <f>项目基本情况!B1</f>
        <v>北京市房地产抵押价值预评估</v>
      </c>
      <c r="C37" s="3386"/>
      <c r="D37" s="3386"/>
      <c r="E37" s="3386"/>
      <c r="F37" s="3386"/>
      <c r="G37" s="3386"/>
      <c r="H37" s="3386"/>
      <c r="I37" s="3386"/>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2" sqref="G3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8</v>
      </c>
    </row>
    <row r="2" spans="1:9" s="205" customFormat="1" ht="18" customHeight="1">
      <c r="A2" s="206" t="s">
        <v>1907</v>
      </c>
      <c r="B2" s="207">
        <f ca="1">IF(D2="——",C52,C52-E2)</f>
        <v>23090</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6969</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6339</v>
      </c>
      <c r="D5" s="216" t="s">
        <v>1914</v>
      </c>
      <c r="E5" s="217" t="s">
        <v>1915</v>
      </c>
      <c r="F5" s="217" t="s">
        <v>1916</v>
      </c>
      <c r="G5" s="218"/>
    </row>
    <row r="6" spans="1:9" s="219" customFormat="1" ht="13.5" customHeight="1">
      <c r="A6" s="866" t="s">
        <v>1917</v>
      </c>
      <c r="B6" s="220" t="s">
        <v>1918</v>
      </c>
      <c r="C6" s="221">
        <f>'[3]基准地价修正-现房'!$E$33</f>
        <v>5508</v>
      </c>
      <c r="D6" s="222"/>
      <c r="E6" s="223"/>
      <c r="F6" s="223"/>
      <c r="G6" s="224"/>
    </row>
    <row r="7" spans="1:9" s="219" customFormat="1" ht="13.5" customHeight="1">
      <c r="A7" s="866" t="s">
        <v>1919</v>
      </c>
      <c r="B7" s="220" t="s">
        <v>1920</v>
      </c>
      <c r="C7" s="225">
        <f>ROUND(C6*F7,0)</f>
        <v>168</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663</v>
      </c>
      <c r="D8" s="227"/>
      <c r="E8" s="225"/>
      <c r="F8" s="226"/>
      <c r="G8" s="1992" t="s">
        <v>3184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3185</v>
      </c>
      <c r="H9" s="1251"/>
      <c r="I9" s="1994" t="s">
        <v>1924</v>
      </c>
    </row>
    <row r="10" spans="1:9" s="219" customFormat="1" ht="13.5" customHeight="1">
      <c r="A10" s="867" t="s">
        <v>620</v>
      </c>
      <c r="B10" s="229" t="s">
        <v>1925</v>
      </c>
      <c r="C10" s="230">
        <f ca="1">ROUND(D10*E10/10000,0)</f>
        <v>663</v>
      </c>
      <c r="D10" s="934">
        <f ca="1">IF(B1="",'数据-汇总表'!E6,IF(INDIRECT("'数据-取费表'!c"&amp;$G$1)="住宅",INDIRECT("'数据-取费表'!s"&amp;$G$1),INDIRECT("'数据-取费表'!k"&amp;$G$1)+INDIRECT("'数据-取费表'!s"&amp;$G$1)))</f>
        <v>33133.130000000005</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33133.130000000005</v>
      </c>
      <c r="E19" s="216">
        <f>'数据-取费表'!B31</f>
        <v>200</v>
      </c>
      <c r="F19" s="236"/>
      <c r="G19" s="1992" t="s">
        <v>3186</v>
      </c>
    </row>
    <row r="20" spans="1:7" s="219" customFormat="1" ht="13.5" customHeight="1">
      <c r="A20" s="260" t="s">
        <v>1938</v>
      </c>
      <c r="B20" s="215" t="s">
        <v>1939</v>
      </c>
      <c r="C20" s="237">
        <f ca="1">ROUND((C5+C19)*F20,0)</f>
        <v>127</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542</v>
      </c>
      <c r="D22" s="240">
        <f ca="1">C26</f>
        <v>8.0000000000000004E-4</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537</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5</v>
      </c>
      <c r="D25" s="243"/>
      <c r="E25" s="246"/>
      <c r="F25" s="244"/>
      <c r="G25" s="247" t="s">
        <v>1955</v>
      </c>
    </row>
    <row r="26" spans="1:7" s="219" customFormat="1">
      <c r="A26" s="868" t="s">
        <v>614</v>
      </c>
      <c r="B26" s="220" t="s">
        <v>1956</v>
      </c>
      <c r="C26" s="243">
        <f ca="1">ROUND(IF('数据-取费表'!B22&lt;=1,F21*F22*'数据-取费表'!B23/2,F21*(POWER((1+F22),'数据-取费表'!B23/2)-1)),4)</f>
        <v>8.0000000000000004E-4</v>
      </c>
      <c r="D26" s="243"/>
      <c r="E26" s="246"/>
      <c r="F26" s="244"/>
      <c r="G26" s="248"/>
    </row>
    <row r="27" spans="1:7" s="219" customFormat="1" ht="24.75">
      <c r="A27" s="260" t="s">
        <v>1957</v>
      </c>
      <c r="B27" s="249" t="s">
        <v>1958</v>
      </c>
      <c r="C27" s="250">
        <f ca="1">C28</f>
        <v>647</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ROUND((C5+C19+C20)*F27*'数据-取费表'!B21/'数据-取费表'!B20,0)</f>
        <v>647</v>
      </c>
      <c r="D28" s="240"/>
      <c r="E28" s="241"/>
      <c r="F28" s="251"/>
      <c r="G28" s="252"/>
    </row>
    <row r="29" spans="1:7" s="219" customFormat="1" ht="13.5" customHeight="1">
      <c r="A29" s="868" t="s">
        <v>611</v>
      </c>
      <c r="B29" s="253" t="s">
        <v>1962</v>
      </c>
      <c r="C29" s="243">
        <f ca="1">ROUND(C21*F27*'数据-取费表'!B21/'数据-取费表'!B20,4)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8277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13370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12160</v>
      </c>
      <c r="D34" s="222"/>
      <c r="E34" s="225"/>
      <c r="F34" s="262">
        <f ca="1">IF('数据-取费表'!B24=0,1,IF(B1="",'数据-取费表'!N16,INDIRECT("'数据-取费表'!n"&amp;$G$1)))</f>
        <v>1</v>
      </c>
      <c r="G34" s="224" t="s">
        <v>1971</v>
      </c>
    </row>
    <row r="35" spans="1:7" ht="13.5" customHeight="1">
      <c r="A35" s="868" t="s">
        <v>615</v>
      </c>
      <c r="B35" s="220" t="s">
        <v>1972</v>
      </c>
      <c r="C35" s="225">
        <f ca="1">ROUND(C34*F35,0)</f>
        <v>365</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663</v>
      </c>
      <c r="D37" s="222">
        <f ca="1">D19</f>
        <v>33133.130000000005</v>
      </c>
      <c r="E37" s="254">
        <f>'数据-取费表'!B35</f>
        <v>200</v>
      </c>
      <c r="F37" s="264"/>
      <c r="G37" s="266" t="s">
        <v>1977</v>
      </c>
    </row>
    <row r="38" spans="1:7" ht="13.5" customHeight="1">
      <c r="A38" s="868" t="s">
        <v>618</v>
      </c>
      <c r="B38" s="220" t="s">
        <v>1978</v>
      </c>
      <c r="C38" s="225">
        <f ca="1">ROUND(C34*F38,0)</f>
        <v>182</v>
      </c>
      <c r="D38" s="225"/>
      <c r="E38" s="225"/>
      <c r="F38" s="264">
        <f>'数据-取费表'!B36</f>
        <v>1.4999999999999999E-2</v>
      </c>
      <c r="G38" s="224" t="s">
        <v>1973</v>
      </c>
    </row>
    <row r="39" spans="1:7" s="219" customFormat="1" ht="13.5" customHeight="1">
      <c r="A39" s="260" t="s">
        <v>1979</v>
      </c>
      <c r="B39" s="215" t="s">
        <v>1980</v>
      </c>
      <c r="C39" s="237">
        <f ca="1">ROUND(C33*F20,0)</f>
        <v>267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566</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555</v>
      </c>
      <c r="D42" s="243"/>
      <c r="E42" s="243"/>
      <c r="F42" s="244"/>
      <c r="G42" s="3575" t="s">
        <v>1989</v>
      </c>
    </row>
    <row r="43" spans="1:7" ht="13.5" customHeight="1">
      <c r="A43" s="868" t="s">
        <v>611</v>
      </c>
      <c r="B43" s="220" t="s">
        <v>1990</v>
      </c>
      <c r="C43" s="243">
        <f ca="1">ROUND(IF('数据-取费表'!B22&lt;=1,C39*F22*'数据-取费表'!B21/2,C39*(POWER((1+F22),'数据-取费表'!B21/2)-1)),0)</f>
        <v>11</v>
      </c>
      <c r="D43" s="243"/>
      <c r="E43" s="243"/>
      <c r="F43" s="244"/>
      <c r="G43" s="3576"/>
    </row>
    <row r="44" spans="1:7" ht="13.5" customHeight="1">
      <c r="A44" s="868" t="s">
        <v>612</v>
      </c>
      <c r="B44" s="220" t="s">
        <v>1991</v>
      </c>
      <c r="C44" s="243">
        <f ca="1">ROUND(IF('数据-取费表'!B22&lt;=1,C40*F22*'数据-取费表'!B21/2,C40*(POWER((1+F22),'数据-取费表'!B21/2)-1)),4)</f>
        <v>8.0000000000000004E-4</v>
      </c>
      <c r="D44" s="243"/>
      <c r="E44" s="243"/>
      <c r="F44" s="244"/>
      <c r="G44" s="3577"/>
    </row>
    <row r="45" spans="1:7" s="219" customFormat="1" ht="13.5" customHeight="1">
      <c r="A45" s="260" t="s">
        <v>1992</v>
      </c>
      <c r="B45" s="249" t="s">
        <v>1958</v>
      </c>
      <c r="C45" s="250">
        <f ca="1">C46</f>
        <v>1364</v>
      </c>
      <c r="D45" s="240">
        <f ca="1">C47</f>
        <v>2E-3</v>
      </c>
      <c r="E45" s="241" t="s">
        <v>1984</v>
      </c>
      <c r="F45" s="2487">
        <f ca="1">F27</f>
        <v>0.1</v>
      </c>
      <c r="G45" s="252" t="s">
        <v>1993</v>
      </c>
    </row>
    <row r="46" spans="1:7" s="219" customFormat="1" ht="13.5" customHeight="1">
      <c r="A46" s="868" t="s">
        <v>610</v>
      </c>
      <c r="B46" s="253" t="s">
        <v>1994</v>
      </c>
      <c r="C46" s="254">
        <f ca="1">ROUND((C33+C39)*F27,0)</f>
        <v>1364</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16833</v>
      </c>
      <c r="D49" s="237"/>
      <c r="E49" s="237"/>
      <c r="F49" s="269"/>
      <c r="G49" s="239" t="s">
        <v>1999</v>
      </c>
    </row>
    <row r="50" spans="1:7" s="263" customFormat="1" ht="24">
      <c r="A50" s="260" t="s">
        <v>2000</v>
      </c>
      <c r="B50" s="215" t="s">
        <v>2001</v>
      </c>
      <c r="C50" s="237"/>
      <c r="D50" s="237"/>
      <c r="E50" s="237"/>
      <c r="F50" s="269">
        <f>IF('数据-取费表'!B24=0,'数据-取费表'!N16,1)</f>
        <v>0.88</v>
      </c>
      <c r="G50" s="252" t="s">
        <v>2002</v>
      </c>
    </row>
    <row r="51" spans="1:7" ht="16.5" customHeight="1">
      <c r="A51" s="260" t="s">
        <v>2003</v>
      </c>
      <c r="B51" s="215" t="s">
        <v>2004</v>
      </c>
      <c r="C51" s="237">
        <f ca="1">ROUND(C49*F50,0)</f>
        <v>14813</v>
      </c>
      <c r="D51" s="237"/>
      <c r="E51" s="237"/>
      <c r="F51" s="269"/>
      <c r="G51" s="239" t="s">
        <v>2005</v>
      </c>
    </row>
    <row r="52" spans="1:7" s="213" customFormat="1" ht="16.5" thickBot="1">
      <c r="A52" s="270" t="s">
        <v>2006</v>
      </c>
      <c r="B52" s="271"/>
      <c r="C52" s="272">
        <f ca="1">C31+C51</f>
        <v>23090</v>
      </c>
      <c r="D52" s="271"/>
      <c r="E52" s="271"/>
      <c r="F52" s="271"/>
      <c r="G52" s="273"/>
    </row>
    <row r="55" spans="1:7" ht="15">
      <c r="B55" s="275" t="s">
        <v>2007</v>
      </c>
      <c r="C55" s="276"/>
    </row>
    <row r="56" spans="1:7">
      <c r="B56" s="278" t="s">
        <v>1237</v>
      </c>
      <c r="C56" s="280">
        <f ca="1">1-C57</f>
        <v>0.35799999999999998</v>
      </c>
    </row>
    <row r="57" spans="1:7">
      <c r="B57" s="278" t="s">
        <v>1238</v>
      </c>
      <c r="C57" s="279">
        <f ca="1">ROUND(C51/C52,3)</f>
        <v>0.64200000000000002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8</v>
      </c>
      <c r="H1" s="1172" t="str">
        <f>IF(ISERROR(FIND("住宅",B1)),"非住宅","住宅")</f>
        <v>非住宅</v>
      </c>
    </row>
    <row r="2" spans="1:8" s="205" customFormat="1" ht="18" customHeight="1">
      <c r="A2" s="206" t="s">
        <v>1907</v>
      </c>
      <c r="B2" s="207">
        <f ca="1">ROUND(IF(D2="——",C52/10000,C52/10000-E2),0)</f>
        <v>16544</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4993</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6626626</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6626626</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6626626</v>
      </c>
      <c r="D10" s="934">
        <f ca="1">IF(B1="",'数据-汇总表'!E6,IF(INDIRECT("'数据-取费表'!c"&amp;$G$1)="住宅",INDIRECT("'数据-取费表'!s"&amp;$G$1),INDIRECT("'数据-取费表'!k"&amp;$G$1)+INDIRECT("'数据-取费表'!s"&amp;$G$1)))</f>
        <v>33133.130000000005</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6626626</v>
      </c>
      <c r="D19" s="938">
        <f ca="1">D9+D10</f>
        <v>33133.130000000005</v>
      </c>
      <c r="E19" s="216">
        <f>'数据-取费表'!B31</f>
        <v>200</v>
      </c>
      <c r="F19" s="236"/>
      <c r="G19" s="1992"/>
    </row>
    <row r="20" spans="1:7" s="219" customFormat="1" ht="13.5" customHeight="1">
      <c r="A20" s="260" t="s">
        <v>2019</v>
      </c>
      <c r="B20" s="215" t="s">
        <v>2020</v>
      </c>
      <c r="C20" s="237">
        <f ca="1">ROUND((C5+C19)*F20,0)</f>
        <v>265065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1133846</v>
      </c>
      <c r="D22" s="240">
        <f ca="1">C26</f>
        <v>8.0000000000000004E-4</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561423</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561423</v>
      </c>
      <c r="D24" s="243"/>
      <c r="E24" s="243"/>
      <c r="F24" s="244"/>
      <c r="G24" s="245" t="s">
        <v>2031</v>
      </c>
    </row>
    <row r="25" spans="1:7" s="219" customFormat="1" ht="24">
      <c r="A25" s="868" t="s">
        <v>1921</v>
      </c>
      <c r="B25" s="220" t="s">
        <v>2032</v>
      </c>
      <c r="C25" s="1242">
        <f ca="1">ROUND(IF('数据-取费表'!B22&lt;=1,C20*F22*'数据-取费表'!B22/2,C20*(POWER((1+F22),'数据-取费表'!B22/2)-1)),0)</f>
        <v>11000</v>
      </c>
      <c r="D25" s="243"/>
      <c r="E25" s="246"/>
      <c r="F25" s="244"/>
      <c r="G25" s="247" t="s">
        <v>2033</v>
      </c>
    </row>
    <row r="26" spans="1:7" s="219" customFormat="1">
      <c r="A26" s="868" t="s">
        <v>614</v>
      </c>
      <c r="B26" s="220" t="s">
        <v>1956</v>
      </c>
      <c r="C26" s="243">
        <f ca="1">ROUND(IF('数据-取费表'!B22&lt;=1,F21*F22*'数据-取费表'!B22/2,F21*(POWER((1+F22),'数据-取费表'!B22/2)-1)),4)</f>
        <v>8.0000000000000004E-4</v>
      </c>
      <c r="D26" s="243"/>
      <c r="E26" s="246"/>
      <c r="F26" s="244"/>
      <c r="G26" s="248"/>
    </row>
    <row r="27" spans="1:7" s="219" customFormat="1" ht="24.75">
      <c r="A27" s="260" t="s">
        <v>1957</v>
      </c>
      <c r="B27" s="249" t="s">
        <v>1958</v>
      </c>
      <c r="C27" s="250">
        <f ca="1">C28</f>
        <v>1351832</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ROUND((C5+C19+C20)*F27,0)</f>
        <v>1351832</v>
      </c>
      <c r="D28" s="240"/>
      <c r="E28" s="241"/>
      <c r="F28" s="251"/>
      <c r="G28" s="252"/>
    </row>
    <row r="29" spans="1:7" s="219" customFormat="1" ht="13.5" customHeight="1">
      <c r="A29" s="868" t="s">
        <v>611</v>
      </c>
      <c r="B29" s="253" t="s">
        <v>1962</v>
      </c>
      <c r="C29" s="243">
        <f ca="1">ROUND(C21*F27,4)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17305358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133701736</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121602976</v>
      </c>
      <c r="D34" s="222"/>
      <c r="E34" s="225"/>
      <c r="F34" s="262"/>
      <c r="G34" s="224"/>
    </row>
    <row r="35" spans="1:7" ht="13.5" customHeight="1">
      <c r="A35" s="868" t="s">
        <v>615</v>
      </c>
      <c r="B35" s="220" t="s">
        <v>1972</v>
      </c>
      <c r="C35" s="225">
        <f ca="1">ROUND(C34*F35,0)</f>
        <v>3648089</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6626626</v>
      </c>
      <c r="D37" s="222">
        <f ca="1">D19</f>
        <v>33133.130000000005</v>
      </c>
      <c r="E37" s="254">
        <f>'数据-取费表'!B35</f>
        <v>200</v>
      </c>
      <c r="F37" s="264"/>
      <c r="G37" s="266"/>
    </row>
    <row r="38" spans="1:7" ht="13.5" customHeight="1">
      <c r="A38" s="868" t="s">
        <v>618</v>
      </c>
      <c r="B38" s="220" t="s">
        <v>1978</v>
      </c>
      <c r="C38" s="225">
        <f ca="1">ROUND(C34*F38,0)</f>
        <v>1824045</v>
      </c>
      <c r="D38" s="225"/>
      <c r="E38" s="225"/>
      <c r="F38" s="264">
        <f>'数据-取费表'!B36</f>
        <v>1.4999999999999999E-2</v>
      </c>
      <c r="G38" s="224" t="s">
        <v>1973</v>
      </c>
    </row>
    <row r="39" spans="1:7" s="219" customFormat="1" ht="13.5" customHeight="1">
      <c r="A39" s="260" t="s">
        <v>1979</v>
      </c>
      <c r="B39" s="215" t="s">
        <v>1980</v>
      </c>
      <c r="C39" s="237">
        <f ca="1">ROUND(C33*F20,0)</f>
        <v>2674035</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5659594</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5548622</v>
      </c>
      <c r="D42" s="243"/>
      <c r="E42" s="243"/>
      <c r="F42" s="244"/>
      <c r="G42" s="3575" t="s">
        <v>2036</v>
      </c>
    </row>
    <row r="43" spans="1:7" ht="13.5" customHeight="1">
      <c r="A43" s="868" t="s">
        <v>611</v>
      </c>
      <c r="B43" s="220" t="s">
        <v>1990</v>
      </c>
      <c r="C43" s="243">
        <f ca="1">ROUND(IF('数据-取费表'!B22&lt;=1,C39*F22*'数据-取费表'!B20/2,C39*(POWER((1+F22),'数据-取费表'!B20/2)-1)),0)</f>
        <v>110972</v>
      </c>
      <c r="D43" s="243"/>
      <c r="E43" s="243"/>
      <c r="F43" s="244"/>
      <c r="G43" s="3576"/>
    </row>
    <row r="44" spans="1:7" ht="13.5" customHeight="1">
      <c r="A44" s="868" t="s">
        <v>612</v>
      </c>
      <c r="B44" s="220" t="s">
        <v>1991</v>
      </c>
      <c r="C44" s="243">
        <f ca="1">ROUND(IF('数据-取费表'!B22&lt;=1,C40*F22*'数据-取费表'!B20/2,C40*(POWER((1+F22),'数据-取费表'!B20/2)-1)),4)</f>
        <v>8.0000000000000004E-4</v>
      </c>
      <c r="D44" s="243"/>
      <c r="E44" s="243"/>
      <c r="F44" s="244"/>
      <c r="G44" s="3577"/>
    </row>
    <row r="45" spans="1:7" s="219" customFormat="1" ht="13.5" customHeight="1">
      <c r="A45" s="260" t="s">
        <v>1992</v>
      </c>
      <c r="B45" s="249" t="s">
        <v>1958</v>
      </c>
      <c r="C45" s="250">
        <f ca="1">C46</f>
        <v>13637577</v>
      </c>
      <c r="D45" s="240">
        <f ca="1">C47</f>
        <v>2E-3</v>
      </c>
      <c r="E45" s="241" t="s">
        <v>1984</v>
      </c>
      <c r="F45" s="2487">
        <f ca="1">F27</f>
        <v>0.1</v>
      </c>
      <c r="G45" s="252" t="s">
        <v>1993</v>
      </c>
    </row>
    <row r="46" spans="1:7" s="219" customFormat="1" ht="13.5" customHeight="1">
      <c r="A46" s="868" t="s">
        <v>610</v>
      </c>
      <c r="B46" s="253" t="s">
        <v>1994</v>
      </c>
      <c r="C46" s="254">
        <f ca="1">ROUND((C33+C39)*F27,0)</f>
        <v>13637577</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168331468</v>
      </c>
      <c r="D49" s="237"/>
      <c r="E49" s="237"/>
      <c r="F49" s="269"/>
      <c r="G49" s="239" t="s">
        <v>1999</v>
      </c>
    </row>
    <row r="50" spans="1:7" s="263" customFormat="1">
      <c r="A50" s="260" t="s">
        <v>2000</v>
      </c>
      <c r="B50" s="215" t="s">
        <v>2001</v>
      </c>
      <c r="C50" s="237"/>
      <c r="D50" s="237"/>
      <c r="E50" s="237"/>
      <c r="F50" s="269">
        <f>IF('数据-取费表'!B24=0,'数据-取费表'!N16,1)</f>
        <v>0.88</v>
      </c>
      <c r="G50" s="252"/>
    </row>
    <row r="51" spans="1:7" ht="16.5" customHeight="1">
      <c r="A51" s="260" t="s">
        <v>2003</v>
      </c>
      <c r="B51" s="215" t="s">
        <v>2038</v>
      </c>
      <c r="C51" s="237">
        <f ca="1">ROUND(C49*F50,0)</f>
        <v>148131692</v>
      </c>
      <c r="D51" s="237"/>
      <c r="E51" s="237"/>
      <c r="F51" s="269"/>
      <c r="G51" s="239" t="s">
        <v>2005</v>
      </c>
    </row>
    <row r="52" spans="1:7" s="213" customFormat="1" ht="16.5" thickBot="1">
      <c r="A52" s="270" t="s">
        <v>2006</v>
      </c>
      <c r="B52" s="271"/>
      <c r="C52" s="272">
        <f ca="1">C31+C51</f>
        <v>165437050</v>
      </c>
      <c r="D52" s="271"/>
      <c r="E52" s="271"/>
      <c r="F52" s="271"/>
      <c r="G52" s="273"/>
    </row>
    <row r="55" spans="1:7" ht="15">
      <c r="B55" s="275" t="s">
        <v>2007</v>
      </c>
      <c r="C55" s="276"/>
    </row>
    <row r="56" spans="1:7">
      <c r="B56" s="278" t="s">
        <v>1237</v>
      </c>
      <c r="C56" s="280">
        <f ca="1">1-C57</f>
        <v>0.10499999999999998</v>
      </c>
    </row>
    <row r="57" spans="1:7">
      <c r="B57" s="278" t="s">
        <v>1238</v>
      </c>
      <c r="C57" s="279">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8</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33133.130000000005</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33133.130000000005</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160</v>
      </c>
      <c r="F19" s="893"/>
      <c r="G19" s="14"/>
      <c r="H19" s="1303"/>
      <c r="I19" s="898"/>
      <c r="J19" s="898"/>
      <c r="K19" s="899"/>
    </row>
    <row r="20" spans="1:33" s="892" customFormat="1" ht="13.5" customHeight="1">
      <c r="A20" s="888" t="s">
        <v>625</v>
      </c>
      <c r="B20" s="889" t="s">
        <v>2075</v>
      </c>
      <c r="C20" s="23">
        <f ca="1">ROUND(D20*E20/10000,0)</f>
        <v>663</v>
      </c>
      <c r="D20" s="935">
        <f ca="1">IF(C1="",'数据-汇总表'!E6,IF(INDIRECT("'数据-取费表'!c"&amp;$K$1)="住宅",INDIRECT("'数据-取费表'!s"&amp;$K$1),INDIRECT("'数据-取费表'!k"&amp;$K$1)+INDIRECT("'数据-取费表'!s"&amp;$K$1)))</f>
        <v>33133.130000000005</v>
      </c>
      <c r="E20" s="23">
        <f>'数据-取费表'!B28</f>
        <v>200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0.1</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3890</v>
      </c>
      <c r="D1" s="1496" t="s">
        <v>70</v>
      </c>
      <c r="E1" s="1497" t="s">
        <v>1111</v>
      </c>
      <c r="F1" s="1173">
        <f ca="1">J53</f>
        <v>34.08</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163</v>
      </c>
      <c r="C2" s="1521" t="s">
        <v>1240</v>
      </c>
      <c r="D2" s="1521"/>
      <c r="E2" s="1522"/>
      <c r="F2" s="1523"/>
      <c r="G2" s="2884"/>
      <c r="H2" s="2873"/>
      <c r="I2" s="2873"/>
      <c r="J2" s="2873"/>
      <c r="K2" s="2874"/>
      <c r="L2" s="2873"/>
      <c r="M2" s="2873"/>
    </row>
    <row r="3" spans="1:37" ht="18" customHeight="1" thickBot="1">
      <c r="A3" s="1524" t="s">
        <v>1241</v>
      </c>
      <c r="B3" s="1525">
        <f ca="1">IF(ISERROR(B2*10000/F43),0,ROUND(B2*10000/F43,0))</f>
        <v>280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0</v>
      </c>
      <c r="D5" s="1498" t="s">
        <v>1126</v>
      </c>
      <c r="E5" s="1183"/>
      <c r="F5" s="1184"/>
      <c r="G5" s="1518"/>
      <c r="H5" s="304">
        <v>1</v>
      </c>
      <c r="I5" s="305" t="s">
        <v>1125</v>
      </c>
      <c r="J5" s="1182">
        <f ca="1">J6+J10+J12</f>
        <v>0</v>
      </c>
      <c r="K5" s="1498" t="s">
        <v>1126</v>
      </c>
      <c r="L5" s="1183"/>
      <c r="M5" s="1184"/>
    </row>
    <row r="6" spans="1:37" ht="18" customHeight="1">
      <c r="A6" s="1181" t="s">
        <v>822</v>
      </c>
      <c r="B6" s="3578" t="s">
        <v>1127</v>
      </c>
      <c r="C6" s="1186">
        <f ca="1">ROUND(F6*F8*F7*(1-F9)/10000,0)</f>
        <v>0</v>
      </c>
      <c r="D6" s="159" t="s">
        <v>2609</v>
      </c>
      <c r="E6" s="307" t="s">
        <v>1129</v>
      </c>
      <c r="F6" s="308">
        <f ca="1">INDIRECT("'数据-取费表'!u"&amp;$G$1)</f>
        <v>0</v>
      </c>
      <c r="G6" s="1518"/>
      <c r="H6" s="1181" t="s">
        <v>822</v>
      </c>
      <c r="I6" s="3578" t="s">
        <v>1127</v>
      </c>
      <c r="J6" s="306">
        <f ca="1">ROUND(M6*M8*M7*(1-M9)/10000,0)</f>
        <v>0</v>
      </c>
      <c r="K6" s="159" t="s">
        <v>2608</v>
      </c>
      <c r="L6" s="307" t="s">
        <v>1129</v>
      </c>
      <c r="M6" s="308">
        <f ca="1">INDIRECT("'数据-取费表'!z"&amp;$G$1)</f>
        <v>0</v>
      </c>
    </row>
    <row r="7" spans="1:37" ht="18" customHeight="1">
      <c r="A7" s="1185"/>
      <c r="B7" s="3579"/>
      <c r="C7" s="1187"/>
      <c r="D7" s="312"/>
      <c r="E7" s="3242" t="s">
        <v>1130</v>
      </c>
      <c r="F7" s="308">
        <f ca="1">IF(INDIRECT("'数据-取费表'!ah"&amp;$G$1)="",INDIRECT("'数据-取费表'!k"&amp;$G$1),INDIRECT("'数据-取费表'!ah"&amp;$G$1))</f>
        <v>5814.57</v>
      </c>
      <c r="G7" s="1518"/>
      <c r="H7" s="309"/>
      <c r="I7" s="3579"/>
      <c r="J7" s="311"/>
      <c r="K7" s="312"/>
      <c r="L7" s="307" t="s">
        <v>1130</v>
      </c>
      <c r="M7" s="308">
        <f ca="1">F7</f>
        <v>5814.57</v>
      </c>
    </row>
    <row r="8" spans="1:37" ht="18" customHeight="1">
      <c r="A8" s="309"/>
      <c r="B8" s="3579"/>
      <c r="C8" s="311"/>
      <c r="D8" s="312"/>
      <c r="E8" s="307" t="s">
        <v>1131</v>
      </c>
      <c r="F8" s="308">
        <f ca="1">INDIRECT("'数据-取费表'!ai"&amp;$G$1)</f>
        <v>365</v>
      </c>
      <c r="G8" s="1518"/>
      <c r="H8" s="309"/>
      <c r="I8" s="3579"/>
      <c r="J8" s="311"/>
      <c r="K8" s="312"/>
      <c r="L8" s="307" t="s">
        <v>1131</v>
      </c>
      <c r="M8" s="308">
        <f ca="1">INDIRECT("'数据-取费表'!ai"&amp;$G$1)</f>
        <v>365</v>
      </c>
    </row>
    <row r="9" spans="1:37" ht="18" customHeight="1">
      <c r="A9" s="309"/>
      <c r="B9" s="3580"/>
      <c r="C9" s="311"/>
      <c r="D9" s="312"/>
      <c r="E9" s="307" t="s">
        <v>1132</v>
      </c>
      <c r="F9" s="317">
        <f ca="1">INDIRECT("'数据-取费表'!w"&amp;$G$1)</f>
        <v>0</v>
      </c>
      <c r="G9" s="1518"/>
      <c r="H9" s="309"/>
      <c r="I9" s="358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4224</v>
      </c>
      <c r="D13" s="3234" t="s">
        <v>1139</v>
      </c>
      <c r="E13" s="3234"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3534</v>
      </c>
      <c r="D14" s="3238" t="s">
        <v>1142</v>
      </c>
      <c r="E14" s="3236"/>
      <c r="F14" s="324"/>
      <c r="G14" s="1518"/>
      <c r="H14" s="1093" t="s">
        <v>822</v>
      </c>
      <c r="I14" s="307" t="s">
        <v>1143</v>
      </c>
      <c r="J14" s="23">
        <f ca="1">C29</f>
        <v>4800</v>
      </c>
      <c r="K14" s="3241"/>
      <c r="L14" s="896"/>
      <c r="M14" s="897"/>
    </row>
    <row r="15" spans="1:37" s="1531" customFormat="1" ht="18" customHeight="1" thickBot="1">
      <c r="A15" s="1093" t="s">
        <v>823</v>
      </c>
      <c r="B15" s="307" t="s">
        <v>1144</v>
      </c>
      <c r="C15" s="23">
        <f ca="1">ROUND(C14*F15,0)</f>
        <v>106</v>
      </c>
      <c r="D15" s="3235" t="s">
        <v>1145</v>
      </c>
      <c r="E15" s="323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89</v>
      </c>
      <c r="K16" s="1199" t="s">
        <v>1149</v>
      </c>
      <c r="L16" s="3239"/>
      <c r="M16" s="1184"/>
    </row>
    <row r="17" spans="1:37" s="1531" customFormat="1" ht="18" customHeight="1">
      <c r="A17" s="1093" t="s">
        <v>1114</v>
      </c>
      <c r="B17" s="307" t="s">
        <v>1150</v>
      </c>
      <c r="C17" s="23">
        <f ca="1">ROUND(F17*(F43+INDIRECT("'数据-取费表'!S"&amp;$G$1))/10000,0)</f>
        <v>120</v>
      </c>
      <c r="D17" s="307" t="s">
        <v>1151</v>
      </c>
      <c r="E17" s="307" t="s">
        <v>1152</v>
      </c>
      <c r="F17" s="25">
        <f>'数据-取费表'!B35</f>
        <v>200</v>
      </c>
      <c r="G17" s="1530"/>
      <c r="H17" s="1093" t="s">
        <v>822</v>
      </c>
      <c r="I17" s="307" t="s">
        <v>1153</v>
      </c>
      <c r="J17" s="2484">
        <f ca="1">ROUND(IF(AND(项目基本情况!B11="自然人",项目基本情况!B10="北京市"),J6*M17/(1+'数据-取费表'!C42),J18+J19+J20),0)</f>
        <v>41</v>
      </c>
      <c r="K17" s="3238"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53</v>
      </c>
      <c r="D18" s="307" t="s">
        <v>1145</v>
      </c>
      <c r="E18" s="307" t="s">
        <v>1146</v>
      </c>
      <c r="F18" s="327">
        <f>'数据-取费表'!B36</f>
        <v>1.4999999999999999E-2</v>
      </c>
      <c r="G18" s="1530"/>
      <c r="H18" s="1093" t="s">
        <v>821</v>
      </c>
      <c r="I18" s="307" t="s">
        <v>1157</v>
      </c>
      <c r="J18" s="23">
        <f ca="1">ROUND(J6*M18/(1+'数据-取费表'!C42),2)</f>
        <v>0</v>
      </c>
      <c r="K18" s="3237"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3813</v>
      </c>
      <c r="D19" s="135" t="s">
        <v>1160</v>
      </c>
      <c r="E19" s="3244"/>
      <c r="F19" s="25"/>
      <c r="G19" s="1518"/>
      <c r="H19" s="1093" t="s">
        <v>823</v>
      </c>
      <c r="I19" s="307" t="s">
        <v>1161</v>
      </c>
      <c r="J19" s="23">
        <f ca="1">IF(K19="按租金收入计税",ROUND(J6*M19/(1+'数据-取费表'!C42),2),ROUND(C29*M19*0.7,2))</f>
        <v>40.32</v>
      </c>
      <c r="K19" s="1504" t="s">
        <v>1162</v>
      </c>
      <c r="L19" s="307" t="s">
        <v>1146</v>
      </c>
      <c r="M19" s="327">
        <f>IF(K19="按租金收入计税",'数据-取费表'!B51,'数据-取费表'!B50)</f>
        <v>1.2E-2</v>
      </c>
    </row>
    <row r="20" spans="1:37" s="1531" customFormat="1" ht="18" customHeight="1">
      <c r="A20" s="1093" t="s">
        <v>826</v>
      </c>
      <c r="B20" s="307" t="s">
        <v>1163</v>
      </c>
      <c r="C20" s="23">
        <f ca="1">ROUND(C19*F20,0)</f>
        <v>76</v>
      </c>
      <c r="D20" s="328" t="s">
        <v>1164</v>
      </c>
      <c r="E20" s="307" t="s">
        <v>1146</v>
      </c>
      <c r="F20" s="327">
        <f>'数据-取费表'!B37</f>
        <v>0.02</v>
      </c>
      <c r="G20" s="1530"/>
      <c r="H20" s="1093" t="s">
        <v>1113</v>
      </c>
      <c r="I20" s="159" t="s">
        <v>1165</v>
      </c>
      <c r="J20" s="24">
        <f ca="1">ROUND(M20*M21/10000,2)</f>
        <v>0.61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4086.32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3244"/>
      <c r="F22" s="25"/>
      <c r="G22" s="1518"/>
      <c r="H22" s="1093" t="s">
        <v>826</v>
      </c>
      <c r="I22" s="307" t="s">
        <v>1173</v>
      </c>
      <c r="J22" s="23">
        <f ca="1">ROUND(J14*M22,1)</f>
        <v>48</v>
      </c>
      <c r="K22" s="3237"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161</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3237"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3244"/>
      <c r="F25" s="25"/>
      <c r="G25" s="1518"/>
      <c r="H25" s="1191" t="s">
        <v>818</v>
      </c>
      <c r="I25" s="1206" t="s">
        <v>1187</v>
      </c>
      <c r="J25" s="315">
        <f ca="1">J5-J16</f>
        <v>-89</v>
      </c>
      <c r="K25" s="1207" t="s">
        <v>1188</v>
      </c>
      <c r="L25" s="1208"/>
      <c r="M25" s="1209"/>
    </row>
    <row r="26" spans="1:37">
      <c r="A26" s="1093" t="s">
        <v>821</v>
      </c>
      <c r="B26" s="307" t="s">
        <v>1189</v>
      </c>
      <c r="C26" s="23">
        <f ca="1">ROUND((C19+C20)*F26,0)</f>
        <v>389</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2E-3</v>
      </c>
      <c r="D27" s="328" t="s">
        <v>1196</v>
      </c>
      <c r="E27" s="323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4800</v>
      </c>
      <c r="D29" s="1204"/>
      <c r="E29" s="1202"/>
      <c r="F29" s="1205"/>
      <c r="G29" s="1530"/>
      <c r="H29" s="339" t="s">
        <v>820</v>
      </c>
      <c r="I29" s="340" t="s">
        <v>1203</v>
      </c>
      <c r="J29" s="341">
        <f ca="1">ROUND(J26/(1+F40)^F41,0)</f>
        <v>0</v>
      </c>
      <c r="K29" s="342" t="s">
        <v>1204</v>
      </c>
      <c r="L29" s="343"/>
      <c r="M29" s="344">
        <f ca="1">INDIRECT("'数据-取费表'!k"&amp;$G$1)</f>
        <v>5814.57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55</v>
      </c>
      <c r="D30" s="1199" t="s">
        <v>1149</v>
      </c>
      <c r="E30" s="3239"/>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1</v>
      </c>
      <c r="D31" s="3238" t="s">
        <v>1154</v>
      </c>
      <c r="E31" s="3237"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0</v>
      </c>
      <c r="D32" s="3237"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0</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0.61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4086.32</v>
      </c>
      <c r="G35" s="1518"/>
      <c r="H35" s="2875"/>
      <c r="I35" s="1532"/>
      <c r="J35" s="1533"/>
      <c r="K35" s="2879"/>
      <c r="L35" s="2878"/>
      <c r="M35" s="2878"/>
    </row>
    <row r="36" spans="1:18" ht="18" customHeight="1">
      <c r="A36" s="1214" t="s">
        <v>826</v>
      </c>
      <c r="B36" s="307" t="s">
        <v>1173</v>
      </c>
      <c r="C36" s="23">
        <f ca="1">ROUND(C29*F36,1)</f>
        <v>48</v>
      </c>
      <c r="D36" s="3237"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6.3</v>
      </c>
      <c r="D37" s="3237"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1187</v>
      </c>
      <c r="C39" s="315">
        <f ca="1">C5-C30</f>
        <v>-55</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0</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0</v>
      </c>
      <c r="D43" s="342" t="s">
        <v>1212</v>
      </c>
      <c r="E43" s="343" t="s">
        <v>1213</v>
      </c>
      <c r="F43" s="344">
        <f ca="1">INDIRECT("'数据-取费表'!k"&amp;$G$1)</f>
        <v>5814.57</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0</v>
      </c>
      <c r="D46" s="1540" t="str">
        <f>C2</f>
        <v>万元</v>
      </c>
      <c r="E46" s="1534"/>
      <c r="F46" s="1534"/>
      <c r="I46" s="1541" t="s">
        <v>1245</v>
      </c>
      <c r="J46" s="1542"/>
      <c r="K46" s="1543"/>
      <c r="L46" s="1544">
        <f ca="1">IF(M47="住宅",0,IF(L48&gt;J51,L60,J60))</f>
        <v>163</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0</v>
      </c>
      <c r="R47" s="1554" t="s">
        <v>1253</v>
      </c>
    </row>
    <row r="48" spans="1:18" s="1518" customFormat="1" ht="28.5" thickBot="1">
      <c r="A48" s="1222" t="s">
        <v>863</v>
      </c>
      <c r="B48" s="305" t="s">
        <v>1125</v>
      </c>
      <c r="C48" s="324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f ca="1">J60</f>
        <v>163</v>
      </c>
      <c r="R48" s="1554" t="s">
        <v>1257</v>
      </c>
    </row>
    <row r="49" spans="1:18" s="1518" customFormat="1" ht="13.5" thickBot="1">
      <c r="A49" s="1086" t="s">
        <v>864</v>
      </c>
      <c r="B49" s="1505" t="s">
        <v>1214</v>
      </c>
      <c r="C49" s="1226">
        <f ca="1">ROUND(F49*F51*F50*(1-F52)/10000,0)</f>
        <v>0</v>
      </c>
      <c r="D49" s="1166" t="s">
        <v>2608</v>
      </c>
      <c r="E49" s="1506" t="s">
        <v>1215</v>
      </c>
      <c r="F49" s="1171"/>
      <c r="G49" s="1559"/>
      <c r="H49" s="731"/>
      <c r="I49" s="1555" t="s">
        <v>1258</v>
      </c>
      <c r="J49" s="1560">
        <v>2010</v>
      </c>
      <c r="K49" s="1557" t="s">
        <v>1259</v>
      </c>
      <c r="L49" s="1561"/>
      <c r="O49" s="1562" t="s">
        <v>829</v>
      </c>
      <c r="P49" s="1553" t="s">
        <v>1260</v>
      </c>
      <c r="Q49" s="1554">
        <f ca="1">C29</f>
        <v>4800</v>
      </c>
      <c r="R49" s="1554" t="s">
        <v>1253</v>
      </c>
    </row>
    <row r="50" spans="1:18" s="1518" customFormat="1" ht="13.5" thickBot="1">
      <c r="A50" s="1087"/>
      <c r="B50" s="1090"/>
      <c r="C50" s="1230"/>
      <c r="D50" s="1064"/>
      <c r="E50" s="1167" t="s">
        <v>1130</v>
      </c>
      <c r="F50" s="1168">
        <f ca="1">F7</f>
        <v>5814.57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-6339</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1" t="s">
        <v>1272</v>
      </c>
      <c r="L53" s="3582"/>
      <c r="O53" s="1552" t="s">
        <v>833</v>
      </c>
      <c r="P53" s="1553" t="s">
        <v>1273</v>
      </c>
      <c r="Q53" s="1554">
        <f ca="1">Q47+Q48</f>
        <v>163</v>
      </c>
      <c r="R53" s="1554" t="s">
        <v>834</v>
      </c>
    </row>
    <row r="54" spans="1:18" s="1518" customFormat="1" ht="13.5" thickBot="1">
      <c r="A54" s="1267"/>
      <c r="B54" s="1501" t="s">
        <v>1112</v>
      </c>
      <c r="C54" s="1070"/>
      <c r="D54" s="1500"/>
      <c r="E54" s="324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40"/>
      <c r="F55" s="1574"/>
      <c r="I55" s="1577" t="s">
        <v>1275</v>
      </c>
      <c r="J55" s="1578">
        <f ca="1">ROUND(IF(J47="钢混",J57/J50,1-(1-2%)*(J50-J57)/J50),3)</f>
        <v>0.23200000000000001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4224</v>
      </c>
      <c r="D56" s="1581"/>
      <c r="E56" s="1582"/>
      <c r="F56" s="1574"/>
      <c r="I56" s="1583" t="s">
        <v>1278</v>
      </c>
      <c r="J56" s="1584" t="s">
        <v>3183</v>
      </c>
      <c r="K56" s="1555" t="s">
        <v>1279</v>
      </c>
      <c r="L56" s="1558" t="str">
        <f ca="1">IF(L48&lt;J51,"——",L48-J53)</f>
        <v>——</v>
      </c>
      <c r="O56" s="1552" t="s">
        <v>827</v>
      </c>
      <c r="P56" s="1553" t="s">
        <v>1252</v>
      </c>
      <c r="Q56" s="1554">
        <f ca="1">C40+J29</f>
        <v>0</v>
      </c>
      <c r="R56" s="1554" t="s">
        <v>1253</v>
      </c>
    </row>
    <row r="57" spans="1:18" s="1518" customFormat="1" ht="24.75" thickBot="1">
      <c r="A57" s="1585"/>
      <c r="B57" s="1061" t="s">
        <v>1202</v>
      </c>
      <c r="C57" s="243">
        <f ca="1">C29</f>
        <v>4800</v>
      </c>
      <c r="D57" s="1586"/>
      <c r="E57" s="1587"/>
      <c r="F57" s="1588"/>
      <c r="I57" s="1589" t="s">
        <v>1280</v>
      </c>
      <c r="J57" s="1590">
        <f ca="1">IF(OR(M47="住宅",J51&lt;L48,J56="是"),"——",J51-L48)</f>
        <v>13.920000000000002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458</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404</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1920</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163</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403.2</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0.61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0</v>
      </c>
      <c r="R62" s="1554" t="s">
        <v>834</v>
      </c>
    </row>
    <row r="63" spans="1:18" s="1518" customFormat="1" ht="13.5" thickBot="1">
      <c r="A63" s="331"/>
      <c r="B63" s="1067"/>
      <c r="C63" s="28"/>
      <c r="D63" s="1077"/>
      <c r="E63" s="1061" t="s">
        <v>1223</v>
      </c>
      <c r="F63" s="308">
        <f t="shared" ca="1" si="0"/>
        <v>4086.32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48</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6.3</v>
      </c>
      <c r="D65" s="1075" t="s">
        <v>1178</v>
      </c>
      <c r="E65" s="1061" t="s">
        <v>1179</v>
      </c>
      <c r="F65" s="335">
        <f t="shared" ca="1" si="0"/>
        <v>1.5E-3</v>
      </c>
      <c r="I65" s="1596" t="s">
        <v>1303</v>
      </c>
      <c r="J65" s="1597">
        <v>40</v>
      </c>
      <c r="K65" s="1597">
        <v>30</v>
      </c>
      <c r="L65" s="1597">
        <v>50</v>
      </c>
      <c r="M65" s="1599">
        <v>0.02</v>
      </c>
      <c r="O65" s="1552" t="s">
        <v>827</v>
      </c>
      <c r="P65" s="1553" t="s">
        <v>1304</v>
      </c>
      <c r="Q65" s="1554">
        <f ca="1">C40+J29</f>
        <v>0</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-458</v>
      </c>
      <c r="D67" s="1074" t="s">
        <v>1188</v>
      </c>
      <c r="E67" s="1079"/>
      <c r="F67" s="1080"/>
      <c r="O67" s="1562" t="s">
        <v>829</v>
      </c>
      <c r="P67" s="1553" t="s">
        <v>1286</v>
      </c>
      <c r="Q67" s="1600">
        <f ca="1">L51</f>
        <v>-6339</v>
      </c>
      <c r="R67" s="1554" t="s">
        <v>1306</v>
      </c>
    </row>
    <row r="68" spans="1:18" s="1518" customFormat="1" ht="16.5" thickBot="1">
      <c r="A68" s="1058" t="s">
        <v>819</v>
      </c>
      <c r="B68" s="1059" t="s">
        <v>1209</v>
      </c>
      <c r="C68" s="306">
        <f ca="1">ROUND(C67*(1-((1+F70)/(1+F68))^F69)/(F68-F70),0)</f>
        <v>0</v>
      </c>
      <c r="D68" s="1076" t="s">
        <v>1193</v>
      </c>
      <c r="E68" s="1061" t="s">
        <v>1194</v>
      </c>
      <c r="F68" s="317">
        <f ca="1">F40</f>
        <v>0.06</v>
      </c>
      <c r="O68" s="1562" t="s">
        <v>830</v>
      </c>
      <c r="P68" s="1601" t="s">
        <v>1307</v>
      </c>
      <c r="Q68" s="1554">
        <f ca="1">ROUND(Q69-Q70*Q71,0)</f>
        <v>-351</v>
      </c>
      <c r="R68" s="1554" t="s">
        <v>838</v>
      </c>
    </row>
    <row r="69" spans="1:18" s="1518" customFormat="1" ht="13.5" thickBot="1">
      <c r="A69" s="1062"/>
      <c r="B69" s="1063"/>
      <c r="C69" s="311"/>
      <c r="D69" s="1081" t="s">
        <v>1197</v>
      </c>
      <c r="E69" s="1061" t="s">
        <v>1198</v>
      </c>
      <c r="F69" s="338">
        <f ca="1">F41</f>
        <v>0</v>
      </c>
      <c r="O69" s="1562" t="s">
        <v>835</v>
      </c>
      <c r="P69" s="1601" t="s">
        <v>1308</v>
      </c>
      <c r="Q69" s="1554">
        <f ca="1">C39</f>
        <v>-55</v>
      </c>
      <c r="R69" s="1554" t="s">
        <v>1253</v>
      </c>
    </row>
    <row r="70" spans="1:18" s="1518" customFormat="1" ht="13.5" thickBot="1">
      <c r="A70" s="1065"/>
      <c r="B70" s="1066"/>
      <c r="C70" s="315"/>
      <c r="D70" s="1077"/>
      <c r="E70" s="1061" t="s">
        <v>1201</v>
      </c>
      <c r="F70" s="1165"/>
      <c r="O70" s="1562" t="s">
        <v>836</v>
      </c>
      <c r="P70" s="1601" t="s">
        <v>1309</v>
      </c>
      <c r="Q70" s="1554">
        <f ca="1">C13</f>
        <v>4224</v>
      </c>
      <c r="R70" s="1554" t="s">
        <v>1253</v>
      </c>
    </row>
    <row r="71" spans="1:18" s="1518" customFormat="1" ht="13.5" thickBot="1">
      <c r="A71" s="1082" t="s">
        <v>820</v>
      </c>
      <c r="B71" s="1083" t="s">
        <v>1211</v>
      </c>
      <c r="C71" s="341">
        <f ca="1">ROUND(C68*10000/F71,0)</f>
        <v>0</v>
      </c>
      <c r="D71" s="1084" t="s">
        <v>1212</v>
      </c>
      <c r="E71" s="1085" t="s">
        <v>1213</v>
      </c>
      <c r="F71" s="344">
        <f ca="1">F43</f>
        <v>5814.57</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296</v>
      </c>
      <c r="D75" s="1518"/>
      <c r="E75" s="1518"/>
      <c r="F75" s="1518"/>
      <c r="K75" s="1536"/>
      <c r="L75" s="1518"/>
      <c r="O75" s="1552" t="s">
        <v>833</v>
      </c>
      <c r="P75" s="1553" t="s">
        <v>1273</v>
      </c>
      <c r="Q75" s="1554">
        <f ca="1">Q65+Q66</f>
        <v>0</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6.3819999999999997</v>
      </c>
    </row>
    <row r="80" spans="1:18">
      <c r="B80" s="345" t="s">
        <v>1235</v>
      </c>
      <c r="C80" s="279">
        <f ca="1">ROUND(C75/C39,3)</f>
        <v>-5.3819999999999997</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3880</v>
      </c>
      <c r="D1" s="1496" t="s">
        <v>70</v>
      </c>
      <c r="E1" s="1497" t="s">
        <v>1111</v>
      </c>
      <c r="F1" s="1173">
        <f ca="1">J53</f>
        <v>34.08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17446</v>
      </c>
      <c r="C2" s="1521" t="s">
        <v>1240</v>
      </c>
      <c r="D2" s="1521"/>
      <c r="E2" s="1522"/>
      <c r="F2" s="1523"/>
      <c r="G2" s="2884"/>
      <c r="H2" s="2873"/>
      <c r="I2" s="2873"/>
      <c r="J2" s="2873"/>
      <c r="K2" s="2874"/>
      <c r="L2" s="2873"/>
      <c r="M2" s="2873"/>
    </row>
    <row r="3" spans="1:37" ht="18" customHeight="1" thickBot="1">
      <c r="A3" s="1524" t="s">
        <v>1241</v>
      </c>
      <c r="B3" s="1525">
        <f ca="1">IF(ISERROR(B2*10000/F43),0,ROUND(B2*10000/F43,0))</f>
        <v>6630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1558</v>
      </c>
      <c r="D5" s="1498" t="s">
        <v>1126</v>
      </c>
      <c r="E5" s="1183"/>
      <c r="F5" s="1184"/>
      <c r="G5" s="1518"/>
      <c r="H5" s="304">
        <v>1</v>
      </c>
      <c r="I5" s="305" t="s">
        <v>1125</v>
      </c>
      <c r="J5" s="1182">
        <f ca="1">J6+J10+J12</f>
        <v>0</v>
      </c>
      <c r="K5" s="1498" t="s">
        <v>1126</v>
      </c>
      <c r="L5" s="1183"/>
      <c r="M5" s="1184"/>
    </row>
    <row r="6" spans="1:37" ht="18" customHeight="1">
      <c r="A6" s="1181" t="s">
        <v>822</v>
      </c>
      <c r="B6" s="3578" t="s">
        <v>1127</v>
      </c>
      <c r="C6" s="1186">
        <f ca="1">ROUND(F6*F8*F7*(1-F9)/10000,0)</f>
        <v>1556</v>
      </c>
      <c r="D6" s="159" t="s">
        <v>2609</v>
      </c>
      <c r="E6" s="307" t="s">
        <v>1129</v>
      </c>
      <c r="F6" s="308">
        <f ca="1">INDIRECT("'数据-取费表'!u"&amp;$G$1)</f>
        <v>1.8</v>
      </c>
      <c r="G6" s="1518"/>
      <c r="H6" s="1181" t="s">
        <v>822</v>
      </c>
      <c r="I6" s="3578" t="s">
        <v>1127</v>
      </c>
      <c r="J6" s="306">
        <f ca="1">ROUND(M6*M8*M7*(1-M9)/10000,0)</f>
        <v>0</v>
      </c>
      <c r="K6" s="159" t="s">
        <v>2608</v>
      </c>
      <c r="L6" s="307" t="s">
        <v>1129</v>
      </c>
      <c r="M6" s="308">
        <f ca="1">INDIRECT("'数据-取费表'!z"&amp;$G$1)</f>
        <v>0</v>
      </c>
    </row>
    <row r="7" spans="1:37" ht="18" customHeight="1">
      <c r="A7" s="1185"/>
      <c r="B7" s="3579"/>
      <c r="C7" s="1187"/>
      <c r="D7" s="312"/>
      <c r="E7" s="1188" t="s">
        <v>1130</v>
      </c>
      <c r="F7" s="308">
        <f ca="1">IF(INDIRECT("'数据-取费表'!ah"&amp;$G$1)="",INDIRECT("'数据-取费表'!k"&amp;$G$1),INDIRECT("'数据-取费表'!ah"&amp;$G$1))</f>
        <v>26313.08</v>
      </c>
      <c r="G7" s="1518"/>
      <c r="H7" s="309"/>
      <c r="I7" s="3579"/>
      <c r="J7" s="311"/>
      <c r="K7" s="312"/>
      <c r="L7" s="307" t="s">
        <v>1130</v>
      </c>
      <c r="M7" s="308">
        <f ca="1">F7</f>
        <v>26313.08</v>
      </c>
    </row>
    <row r="8" spans="1:37" ht="18" customHeight="1">
      <c r="A8" s="309"/>
      <c r="B8" s="3579"/>
      <c r="C8" s="311"/>
      <c r="D8" s="312"/>
      <c r="E8" s="307" t="s">
        <v>1131</v>
      </c>
      <c r="F8" s="308">
        <f ca="1">INDIRECT("'数据-取费表'!ai"&amp;$G$1)</f>
        <v>365</v>
      </c>
      <c r="G8" s="1518"/>
      <c r="H8" s="309"/>
      <c r="I8" s="3579"/>
      <c r="J8" s="311"/>
      <c r="K8" s="312"/>
      <c r="L8" s="307" t="s">
        <v>1131</v>
      </c>
      <c r="M8" s="308">
        <f ca="1">INDIRECT("'数据-取费表'!ai"&amp;$G$1)</f>
        <v>365</v>
      </c>
    </row>
    <row r="9" spans="1:37" ht="18" customHeight="1">
      <c r="A9" s="309"/>
      <c r="B9" s="3580"/>
      <c r="C9" s="311"/>
      <c r="D9" s="312"/>
      <c r="E9" s="307" t="s">
        <v>1132</v>
      </c>
      <c r="F9" s="317">
        <f ca="1">INDIRECT("'数据-取费表'!w"&amp;$G$1)</f>
        <v>0.1</v>
      </c>
      <c r="G9" s="1518"/>
      <c r="H9" s="309"/>
      <c r="I9" s="3580"/>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10589</v>
      </c>
      <c r="D13" s="1193" t="s">
        <v>1139</v>
      </c>
      <c r="E13" s="1193"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8626</v>
      </c>
      <c r="D14" s="1479" t="s">
        <v>1142</v>
      </c>
      <c r="E14" s="1476"/>
      <c r="F14" s="324"/>
      <c r="G14" s="1518"/>
      <c r="H14" s="1093" t="s">
        <v>822</v>
      </c>
      <c r="I14" s="307" t="s">
        <v>1143</v>
      </c>
      <c r="J14" s="23">
        <f ca="1">C29</f>
        <v>12033</v>
      </c>
      <c r="K14" s="14"/>
      <c r="L14" s="896"/>
      <c r="M14" s="897"/>
    </row>
    <row r="15" spans="1:37" s="1531" customFormat="1" ht="18" customHeight="1" thickBot="1">
      <c r="A15" s="1093" t="s">
        <v>823</v>
      </c>
      <c r="B15" s="307" t="s">
        <v>1144</v>
      </c>
      <c r="C15" s="23">
        <f ca="1">ROUND(C14*F15,0)</f>
        <v>259</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224</v>
      </c>
      <c r="K16" s="1199" t="s">
        <v>1149</v>
      </c>
      <c r="L16" s="1200"/>
      <c r="M16" s="1184"/>
    </row>
    <row r="17" spans="1:37" s="1531" customFormat="1" ht="18" customHeight="1">
      <c r="A17" s="1093" t="s">
        <v>1114</v>
      </c>
      <c r="B17" s="307" t="s">
        <v>1150</v>
      </c>
      <c r="C17" s="23">
        <f ca="1">ROUND(F17*(F43+INDIRECT("'数据-取费表'!S"&amp;$G$1))/10000,0)</f>
        <v>543</v>
      </c>
      <c r="D17" s="307" t="s">
        <v>1151</v>
      </c>
      <c r="E17" s="307" t="s">
        <v>1152</v>
      </c>
      <c r="F17" s="25">
        <f>'数据-取费表'!B35</f>
        <v>200</v>
      </c>
      <c r="G17" s="1530"/>
      <c r="H17" s="1093" t="s">
        <v>822</v>
      </c>
      <c r="I17" s="307" t="s">
        <v>1153</v>
      </c>
      <c r="J17" s="2484">
        <f ca="1">ROUND(IF(AND(项目基本情况!B11="自然人",项目基本情况!B10="北京市"),J6*M17/(1+'数据-取费表'!C42),J18+J19+J20),0)</f>
        <v>104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129</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9557</v>
      </c>
      <c r="D19" s="135" t="s">
        <v>1160</v>
      </c>
      <c r="E19" s="1494"/>
      <c r="F19" s="25"/>
      <c r="G19" s="1518"/>
      <c r="H19" s="1093" t="s">
        <v>823</v>
      </c>
      <c r="I19" s="307" t="s">
        <v>1161</v>
      </c>
      <c r="J19" s="23">
        <f ca="1">IF(K19="按租金收入计税",ROUND(J6*M19/(1+'数据-取费表'!C42),2),ROUND(C29*M19*0.7,2))</f>
        <v>101.08</v>
      </c>
      <c r="K19" s="1504" t="s">
        <v>1162</v>
      </c>
      <c r="L19" s="307" t="s">
        <v>1146</v>
      </c>
      <c r="M19" s="327">
        <f>IF(K19="按租金收入计税",'数据-取费表'!B51,'数据-取费表'!B50)</f>
        <v>1.2E-2</v>
      </c>
    </row>
    <row r="20" spans="1:37" s="1531" customFormat="1" ht="18" customHeight="1">
      <c r="A20" s="1093" t="s">
        <v>826</v>
      </c>
      <c r="B20" s="307" t="s">
        <v>1163</v>
      </c>
      <c r="C20" s="23">
        <f ca="1">ROUND(C19*F20,0)</f>
        <v>191</v>
      </c>
      <c r="D20" s="328" t="s">
        <v>1164</v>
      </c>
      <c r="E20" s="307" t="s">
        <v>1146</v>
      </c>
      <c r="F20" s="327">
        <f>'数据-取费表'!B37</f>
        <v>0.02</v>
      </c>
      <c r="G20" s="1530"/>
      <c r="H20" s="1093" t="s">
        <v>1113</v>
      </c>
      <c r="I20" s="159" t="s">
        <v>1165</v>
      </c>
      <c r="J20" s="24">
        <f ca="1">ROUND(M20*M21/10000,2)</f>
        <v>2.77</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18492.07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ROUND(J14*M22,1)</f>
        <v>120.3</v>
      </c>
      <c r="K22" s="1478"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405</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-224</v>
      </c>
      <c r="K25" s="1207" t="s">
        <v>1188</v>
      </c>
      <c r="L25" s="1208"/>
      <c r="M25" s="1209"/>
    </row>
    <row r="26" spans="1:37">
      <c r="A26" s="1093" t="s">
        <v>821</v>
      </c>
      <c r="B26" s="307" t="s">
        <v>1189</v>
      </c>
      <c r="C26" s="23">
        <f ca="1">ROUND((C19+C20)*F26,0)</f>
        <v>975</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3">
        <f ca="1">ROUND(F21*F26,4)</f>
        <v>2E-3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12033</v>
      </c>
      <c r="D29" s="1204"/>
      <c r="E29" s="1202"/>
      <c r="F29" s="1205"/>
      <c r="G29" s="1530"/>
      <c r="H29" s="339" t="s">
        <v>820</v>
      </c>
      <c r="I29" s="340" t="s">
        <v>1203</v>
      </c>
      <c r="J29" s="341">
        <f ca="1">ROUND(J26/(1+F40)^F41,0)</f>
        <v>0</v>
      </c>
      <c r="K29" s="342" t="s">
        <v>1204</v>
      </c>
      <c r="L29" s="343"/>
      <c r="M29" s="344">
        <f ca="1">INDIRECT("'数据-取费表'!k"&amp;$G$1)</f>
        <v>26313.08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414</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262</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81.5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177.83</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2.77</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18492.07</v>
      </c>
      <c r="G35" s="1518"/>
      <c r="H35" s="2875"/>
      <c r="I35" s="1532"/>
      <c r="J35" s="1533"/>
      <c r="K35" s="2879"/>
      <c r="L35" s="2878"/>
      <c r="M35" s="2878"/>
    </row>
    <row r="36" spans="1:18" ht="18" customHeight="1">
      <c r="A36" s="1214" t="s">
        <v>826</v>
      </c>
      <c r="B36" s="307" t="s">
        <v>1173</v>
      </c>
      <c r="C36" s="23">
        <f ca="1">ROUND(C29*F36,1)</f>
        <v>120.3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15.9</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15.6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1144</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17446</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34.08</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6630</v>
      </c>
      <c r="D43" s="342" t="s">
        <v>1212</v>
      </c>
      <c r="E43" s="343" t="s">
        <v>1213</v>
      </c>
      <c r="F43" s="344">
        <f ca="1">INDIRECT("'数据-取费表'!k"&amp;$G$1)</f>
        <v>26313.08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-34983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17446</v>
      </c>
      <c r="R47" s="1554" t="s">
        <v>1253</v>
      </c>
    </row>
    <row r="48" spans="1:18" s="1518" customFormat="1" ht="28.5" thickBot="1">
      <c r="A48" s="1222" t="s">
        <v>863</v>
      </c>
      <c r="B48" s="305" t="s">
        <v>1125</v>
      </c>
      <c r="C48" s="149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2010</v>
      </c>
      <c r="K49" s="1557" t="s">
        <v>1259</v>
      </c>
      <c r="L49" s="1561"/>
      <c r="O49" s="1562" t="s">
        <v>829</v>
      </c>
      <c r="P49" s="1553" t="s">
        <v>1260</v>
      </c>
      <c r="Q49" s="1554">
        <f ca="1">C29</f>
        <v>12033</v>
      </c>
      <c r="R49" s="1554" t="s">
        <v>1253</v>
      </c>
    </row>
    <row r="50" spans="1:18" s="1518" customFormat="1" ht="13.5" thickBot="1">
      <c r="A50" s="1087"/>
      <c r="B50" s="1090"/>
      <c r="C50" s="1230"/>
      <c r="D50" s="1064"/>
      <c r="E50" s="1167" t="s">
        <v>1130</v>
      </c>
      <c r="F50" s="1168">
        <f ca="1">F7</f>
        <v>26313.08</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7281</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1" t="s">
        <v>1272</v>
      </c>
      <c r="L53" s="3582"/>
      <c r="O53" s="1552" t="s">
        <v>833</v>
      </c>
      <c r="P53" s="1553" t="s">
        <v>1273</v>
      </c>
      <c r="Q53" s="1554">
        <f ca="1">Q47+Q48</f>
        <v>17446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10589</v>
      </c>
      <c r="D56" s="1581"/>
      <c r="E56" s="1582"/>
      <c r="F56" s="1574"/>
      <c r="I56" s="1583" t="s">
        <v>1278</v>
      </c>
      <c r="J56" s="1584" t="s">
        <v>3175</v>
      </c>
      <c r="K56" s="1555" t="s">
        <v>1279</v>
      </c>
      <c r="L56" s="1558" t="str">
        <f ca="1">IF(L48&lt;J51,"——",L48-J53)</f>
        <v>——</v>
      </c>
      <c r="O56" s="1552" t="s">
        <v>827</v>
      </c>
      <c r="P56" s="1553" t="s">
        <v>1252</v>
      </c>
      <c r="Q56" s="1554">
        <f ca="1">C40+J29</f>
        <v>17446</v>
      </c>
      <c r="R56" s="1554" t="s">
        <v>1253</v>
      </c>
    </row>
    <row r="57" spans="1:18" s="1518" customFormat="1" ht="24.75" thickBot="1">
      <c r="A57" s="1585"/>
      <c r="B57" s="1061" t="s">
        <v>1202</v>
      </c>
      <c r="C57" s="243">
        <f ca="1">C29</f>
        <v>12033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1150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1014</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1010.77</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2.77</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17446</v>
      </c>
      <c r="R62" s="1554" t="s">
        <v>834</v>
      </c>
    </row>
    <row r="63" spans="1:18" s="1518" customFormat="1" ht="13.5" thickBot="1">
      <c r="A63" s="331"/>
      <c r="B63" s="1067"/>
      <c r="C63" s="28"/>
      <c r="D63" s="1077"/>
      <c r="E63" s="1061" t="s">
        <v>1223</v>
      </c>
      <c r="F63" s="308">
        <f t="shared" ca="1" si="0"/>
        <v>18492.07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120.3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15.9</v>
      </c>
      <c r="D65" s="1075" t="s">
        <v>1178</v>
      </c>
      <c r="E65" s="1061" t="s">
        <v>1179</v>
      </c>
      <c r="F65" s="335">
        <f t="shared" ca="1" si="0"/>
        <v>1.5E-3</v>
      </c>
      <c r="I65" s="1596" t="s">
        <v>1303</v>
      </c>
      <c r="J65" s="1597">
        <v>40</v>
      </c>
      <c r="K65" s="1597">
        <v>30</v>
      </c>
      <c r="L65" s="1597">
        <v>50</v>
      </c>
      <c r="M65" s="1599">
        <v>0.02</v>
      </c>
      <c r="O65" s="1552" t="s">
        <v>827</v>
      </c>
      <c r="P65" s="1553" t="s">
        <v>1304</v>
      </c>
      <c r="Q65" s="1554">
        <f ca="1">C40+J29</f>
        <v>17446</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-1150</v>
      </c>
      <c r="D67" s="1074" t="s">
        <v>1188</v>
      </c>
      <c r="E67" s="1079"/>
      <c r="F67" s="1080"/>
      <c r="O67" s="1562" t="s">
        <v>829</v>
      </c>
      <c r="P67" s="1553" t="s">
        <v>1286</v>
      </c>
      <c r="Q67" s="1600">
        <f ca="1">L51</f>
        <v>7281</v>
      </c>
      <c r="R67" s="1554" t="s">
        <v>1306</v>
      </c>
    </row>
    <row r="68" spans="1:18" s="1518" customFormat="1" ht="16.5" thickBot="1">
      <c r="A68" s="1058" t="s">
        <v>819</v>
      </c>
      <c r="B68" s="1059" t="s">
        <v>1209</v>
      </c>
      <c r="C68" s="306">
        <f ca="1">ROUND(C67*(1-((1+F70)/(1+F68))^F69)/(F68-F70),0)</f>
        <v>-17537</v>
      </c>
      <c r="D68" s="1076" t="s">
        <v>1193</v>
      </c>
      <c r="E68" s="1061" t="s">
        <v>1194</v>
      </c>
      <c r="F68" s="317">
        <f ca="1">F40</f>
        <v>5.5E-2</v>
      </c>
      <c r="O68" s="1562" t="s">
        <v>830</v>
      </c>
      <c r="P68" s="1601" t="s">
        <v>1307</v>
      </c>
      <c r="Q68" s="1554">
        <f ca="1">ROUND(Q69-Q70*Q71,0)</f>
        <v>403</v>
      </c>
      <c r="R68" s="1554" t="s">
        <v>838</v>
      </c>
    </row>
    <row r="69" spans="1:18" s="1518" customFormat="1" ht="13.5" thickBot="1">
      <c r="A69" s="1062"/>
      <c r="B69" s="1063"/>
      <c r="C69" s="311"/>
      <c r="D69" s="1081" t="s">
        <v>1197</v>
      </c>
      <c r="E69" s="1061" t="s">
        <v>1198</v>
      </c>
      <c r="F69" s="338">
        <f ca="1">F41</f>
        <v>34.08</v>
      </c>
      <c r="O69" s="1562" t="s">
        <v>835</v>
      </c>
      <c r="P69" s="1601" t="s">
        <v>1308</v>
      </c>
      <c r="Q69" s="1554">
        <f ca="1">C39</f>
        <v>1144</v>
      </c>
      <c r="R69" s="1554" t="s">
        <v>1253</v>
      </c>
    </row>
    <row r="70" spans="1:18" s="1518" customFormat="1" ht="13.5" thickBot="1">
      <c r="A70" s="1065"/>
      <c r="B70" s="1066"/>
      <c r="C70" s="315"/>
      <c r="D70" s="1077"/>
      <c r="E70" s="1061" t="s">
        <v>1201</v>
      </c>
      <c r="F70" s="1165"/>
      <c r="O70" s="1562" t="s">
        <v>836</v>
      </c>
      <c r="P70" s="1601" t="s">
        <v>1309</v>
      </c>
      <c r="Q70" s="1554">
        <f ca="1">C13</f>
        <v>10589</v>
      </c>
      <c r="R70" s="1554" t="s">
        <v>1253</v>
      </c>
    </row>
    <row r="71" spans="1:18" s="1518" customFormat="1" ht="13.5" thickBot="1">
      <c r="A71" s="1082" t="s">
        <v>820</v>
      </c>
      <c r="B71" s="1083" t="s">
        <v>1211</v>
      </c>
      <c r="C71" s="341">
        <f ca="1">ROUND(C68*10000/F71,0)</f>
        <v>-6665</v>
      </c>
      <c r="D71" s="1084" t="s">
        <v>1212</v>
      </c>
      <c r="E71" s="1085" t="s">
        <v>1213</v>
      </c>
      <c r="F71" s="344">
        <f ca="1">F43</f>
        <v>26313.08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741</v>
      </c>
      <c r="D75" s="1518"/>
      <c r="E75" s="1518"/>
      <c r="F75" s="1518"/>
      <c r="K75" s="1536"/>
      <c r="L75" s="1518"/>
      <c r="O75" s="1552" t="s">
        <v>833</v>
      </c>
      <c r="P75" s="1553" t="s">
        <v>1273</v>
      </c>
      <c r="Q75" s="1554">
        <f ca="1">Q65+Q66</f>
        <v>17446</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0.35199999999999998</v>
      </c>
    </row>
    <row r="80" spans="1:18">
      <c r="B80" s="345" t="s">
        <v>1235</v>
      </c>
      <c r="C80" s="279">
        <f ca="1">ROUND(C75/C39,3)</f>
        <v>0.64800000000000002</v>
      </c>
    </row>
    <row r="81" spans="2:3">
      <c r="B81" s="275" t="s">
        <v>1236</v>
      </c>
      <c r="C81" s="243"/>
    </row>
    <row r="82" spans="2:3">
      <c r="B82" s="278" t="s">
        <v>1237</v>
      </c>
      <c r="C82" s="280">
        <f ca="1">1-C83</f>
        <v>0.39300000000000002</v>
      </c>
    </row>
    <row r="83" spans="2:3">
      <c r="B83" s="278" t="s">
        <v>1238</v>
      </c>
      <c r="C83" s="279">
        <f ca="1">ROUND(C13/C40,3)</f>
        <v>0.60699999999999998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78" t="s">
        <v>1127</v>
      </c>
      <c r="C6" s="1186">
        <f ca="1">ROUND(F6*F8*F7*(1-F9),0)</f>
        <v>0</v>
      </c>
      <c r="D6" s="159" t="s">
        <v>2606</v>
      </c>
      <c r="E6" s="307" t="s">
        <v>1129</v>
      </c>
      <c r="F6" s="308">
        <f ca="1">INDIRECT("'数据-取费表'!u"&amp;$G$1)</f>
        <v>0</v>
      </c>
      <c r="G6" s="1518"/>
      <c r="H6" s="1181" t="s">
        <v>822</v>
      </c>
      <c r="I6" s="3578" t="s">
        <v>1127</v>
      </c>
      <c r="J6" s="306">
        <f ca="1">ROUND(M6*M8*M7*(1-M9),0)</f>
        <v>0</v>
      </c>
      <c r="K6" s="1510" t="s">
        <v>2607</v>
      </c>
      <c r="L6" s="307" t="s">
        <v>1129</v>
      </c>
      <c r="M6" s="308">
        <f ca="1">INDIRECT("'数据-取费表'!z"&amp;$G$1)</f>
        <v>0</v>
      </c>
    </row>
    <row r="7" spans="1:37" ht="18" customHeight="1">
      <c r="A7" s="1185"/>
      <c r="B7" s="3579"/>
      <c r="C7" s="1187"/>
      <c r="D7" s="312"/>
      <c r="E7" s="1188" t="s">
        <v>1130</v>
      </c>
      <c r="F7" s="308">
        <f ca="1">IF(INDIRECT("'数据-取费表'!ah"&amp;$G$1)="",INDIRECT("'数据-取费表'!k"&amp;$G$1),INDIRECT("'数据-取费表'!ah"&amp;$G$1))</f>
        <v>0</v>
      </c>
      <c r="G7" s="1518"/>
      <c r="H7" s="309"/>
      <c r="I7" s="3579"/>
      <c r="J7" s="311"/>
      <c r="K7" s="312"/>
      <c r="L7" s="307" t="s">
        <v>1130</v>
      </c>
      <c r="M7" s="308">
        <f ca="1">F7</f>
        <v>0</v>
      </c>
    </row>
    <row r="8" spans="1:37" ht="18" customHeight="1">
      <c r="A8" s="309"/>
      <c r="B8" s="3579"/>
      <c r="C8" s="311"/>
      <c r="D8" s="312"/>
      <c r="E8" s="307" t="s">
        <v>1131</v>
      </c>
      <c r="F8" s="308">
        <f ca="1">INDIRECT("'数据-取费表'!ai"&amp;$G$1)</f>
        <v>0</v>
      </c>
      <c r="G8" s="1518"/>
      <c r="H8" s="309"/>
      <c r="I8" s="3579"/>
      <c r="J8" s="311"/>
      <c r="K8" s="312"/>
      <c r="L8" s="307" t="s">
        <v>1131</v>
      </c>
      <c r="M8" s="308">
        <f ca="1">INDIRECT("'数据-取费表'!ai"&amp;$G$1)</f>
        <v>0</v>
      </c>
    </row>
    <row r="9" spans="1:37" ht="18" customHeight="1">
      <c r="A9" s="309"/>
      <c r="B9" s="3580"/>
      <c r="C9" s="311"/>
      <c r="D9" s="312"/>
      <c r="E9" s="307" t="s">
        <v>1132</v>
      </c>
      <c r="F9" s="317">
        <f ca="1">INDIRECT("'数据-取费表'!w"&amp;$G$1)</f>
        <v>0</v>
      </c>
      <c r="G9" s="1518"/>
      <c r="H9" s="309"/>
      <c r="I9" s="358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81" t="s">
        <v>1272</v>
      </c>
      <c r="L53" s="3582"/>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C29" activeCellId="1" sqref="C26 C29"/>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2933</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f ca="1">C40</f>
        <v>6508</v>
      </c>
      <c r="C2" s="3024" t="s">
        <v>2821</v>
      </c>
      <c r="D2" s="3024"/>
      <c r="E2" s="3025"/>
      <c r="F2" s="3026"/>
      <c r="G2" s="3027"/>
      <c r="H2" s="3028"/>
      <c r="I2" s="3029"/>
      <c r="J2" s="3583" t="s">
        <v>2822</v>
      </c>
      <c r="K2" s="3584"/>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f ca="1">ROUND(B2*10000/B4,0)</f>
        <v>11193</v>
      </c>
      <c r="C3" s="3024" t="s">
        <v>2831</v>
      </c>
      <c r="D3" s="3024"/>
      <c r="E3" s="3025"/>
      <c r="F3" s="3026"/>
      <c r="G3" s="3027"/>
      <c r="H3" s="3028"/>
      <c r="I3" s="3029"/>
      <c r="J3" s="3585" t="s">
        <v>2832</v>
      </c>
      <c r="K3" s="3586"/>
      <c r="L3" s="3036"/>
      <c r="M3" s="3036"/>
      <c r="N3" s="3036"/>
      <c r="O3" s="3036"/>
      <c r="P3" s="3036"/>
      <c r="Q3" s="3037"/>
      <c r="R3" s="3038">
        <f>SUM(L3:Q3)</f>
        <v>0</v>
      </c>
      <c r="S3" s="3021"/>
      <c r="T3" s="3021"/>
      <c r="U3" s="3021"/>
      <c r="V3" s="3029"/>
    </row>
    <row r="4" spans="1:22" s="3033" customFormat="1" ht="13.15" customHeight="1">
      <c r="A4" s="3039" t="s">
        <v>2833</v>
      </c>
      <c r="B4" s="3040">
        <f>'数据-汇总表'!E20</f>
        <v>5814.57</v>
      </c>
      <c r="C4" s="3024"/>
      <c r="D4" s="3024"/>
      <c r="E4" s="3025"/>
      <c r="F4" s="3026"/>
      <c r="G4" s="3027"/>
      <c r="H4" s="3028"/>
      <c r="I4" s="3029"/>
      <c r="J4" s="3585" t="s">
        <v>2834</v>
      </c>
      <c r="K4" s="3586"/>
      <c r="L4" s="3041"/>
      <c r="M4" s="3041"/>
      <c r="N4" s="3041"/>
      <c r="O4" s="3041"/>
      <c r="P4" s="3041"/>
      <c r="Q4" s="3042"/>
      <c r="R4" s="3043">
        <f>SUM(L4:Q4)</f>
        <v>0</v>
      </c>
      <c r="S4" s="3021"/>
      <c r="T4" s="3021"/>
      <c r="U4" s="3021"/>
      <c r="V4" s="3029"/>
    </row>
    <row r="5" spans="1:22" s="3033" customFormat="1" ht="13.15" customHeight="1" thickBot="1">
      <c r="A5" s="3044" t="s">
        <v>2835</v>
      </c>
      <c r="B5" s="3045">
        <f>'数据-汇总表'!D20</f>
        <v>3962.31</v>
      </c>
      <c r="C5" s="3024"/>
      <c r="D5" s="3046"/>
      <c r="E5" s="3026"/>
      <c r="F5" s="3026"/>
      <c r="G5" s="3027"/>
      <c r="H5" s="3028"/>
      <c r="I5" s="3029"/>
      <c r="J5" s="3047" t="s">
        <v>2836</v>
      </c>
      <c r="K5" s="3048"/>
      <c r="L5" s="3048"/>
      <c r="M5" s="3049"/>
      <c r="N5" s="3049"/>
      <c r="O5" s="3049"/>
      <c r="P5" s="3049"/>
      <c r="Q5" s="3049"/>
      <c r="R5" s="3032">
        <f>SUM(R14,R19,R24,R25,R27,R28)</f>
        <v>1185</v>
      </c>
      <c r="S5" s="3021"/>
      <c r="T5" s="3021" t="s">
        <v>2837</v>
      </c>
      <c r="U5" s="3021" t="e">
        <f>ROUND(R5*10000/365/R3,1)</f>
        <v>#DIV/0!</v>
      </c>
      <c r="V5" s="3029"/>
    </row>
    <row r="6" spans="1:22" s="3033" customFormat="1" ht="13.15" customHeight="1" thickBot="1">
      <c r="A6" s="3587" t="s">
        <v>2838</v>
      </c>
      <c r="B6" s="3588"/>
      <c r="C6" s="3589"/>
      <c r="D6" s="3050">
        <f>R5</f>
        <v>1185</v>
      </c>
      <c r="E6" s="3051"/>
      <c r="F6" s="3052"/>
      <c r="G6" s="3053"/>
      <c r="H6" s="3028"/>
      <c r="I6" s="3029"/>
      <c r="J6" s="3590">
        <v>1</v>
      </c>
      <c r="K6" s="3591"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 ca="1">SUM(D9,D10,D11,D17,0)</f>
        <v>699</v>
      </c>
      <c r="E7" s="3060">
        <f ca="1">E9+E10+E11+E17</f>
        <v>0.58945147679324894</v>
      </c>
      <c r="F7" s="3061"/>
      <c r="G7" s="3062"/>
      <c r="H7" s="3028"/>
      <c r="I7" s="3029"/>
      <c r="J7" s="3590"/>
      <c r="K7" s="3592"/>
      <c r="L7" s="3379" t="s">
        <v>3850</v>
      </c>
      <c r="M7" s="3064">
        <v>25</v>
      </c>
      <c r="N7" s="3379">
        <v>670</v>
      </c>
      <c r="O7" s="3380">
        <v>0.7</v>
      </c>
      <c r="P7" s="3381">
        <v>0.75</v>
      </c>
      <c r="Q7" s="3066">
        <v>365</v>
      </c>
      <c r="R7" s="3067">
        <f>ROUND(M7*N7*O7*P7*Q7/10000,0)</f>
        <v>321</v>
      </c>
      <c r="S7" s="3021"/>
      <c r="T7" s="3021" t="s">
        <v>2849</v>
      </c>
      <c r="U7" s="3021"/>
      <c r="V7" s="3029"/>
    </row>
    <row r="8" spans="1:22" s="3033" customFormat="1" ht="13.15" customHeight="1">
      <c r="A8" s="3068" t="s">
        <v>2850</v>
      </c>
      <c r="B8" s="3594" t="s">
        <v>2851</v>
      </c>
      <c r="C8" s="3595"/>
      <c r="D8" s="3069" t="s">
        <v>2852</v>
      </c>
      <c r="E8" s="3070" t="s">
        <v>2853</v>
      </c>
      <c r="F8" s="3071" t="s">
        <v>2854</v>
      </c>
      <c r="G8" s="3072"/>
      <c r="H8" s="3028"/>
      <c r="I8" s="3029"/>
      <c r="J8" s="3590"/>
      <c r="K8" s="3592"/>
      <c r="L8" s="3379" t="s">
        <v>3852</v>
      </c>
      <c r="M8" s="3064">
        <v>25</v>
      </c>
      <c r="N8" s="3379">
        <v>620</v>
      </c>
      <c r="O8" s="3380">
        <v>0.7</v>
      </c>
      <c r="P8" s="3381">
        <v>0.8</v>
      </c>
      <c r="Q8" s="3066">
        <v>365</v>
      </c>
      <c r="R8" s="3067">
        <f t="shared" ref="R8:R13" si="0">ROUND(M8*N8*O8*P8*Q8/10000,0)</f>
        <v>317</v>
      </c>
      <c r="S8" s="3021"/>
      <c r="T8" s="3021" t="s">
        <v>2855</v>
      </c>
      <c r="U8" s="3021"/>
      <c r="V8" s="3029"/>
    </row>
    <row r="9" spans="1:22" s="3033" customFormat="1" ht="13.15" customHeight="1">
      <c r="A9" s="3068">
        <v>1</v>
      </c>
      <c r="B9" s="3594" t="s">
        <v>2856</v>
      </c>
      <c r="C9" s="3595"/>
      <c r="D9" s="3069">
        <f>ROUND(D6*E9,0)</f>
        <v>296</v>
      </c>
      <c r="E9" s="3073">
        <v>0.25</v>
      </c>
      <c r="F9" s="3074" t="s">
        <v>2857</v>
      </c>
      <c r="G9" s="3053"/>
      <c r="H9" s="3028"/>
      <c r="I9" s="3029"/>
      <c r="J9" s="3590"/>
      <c r="K9" s="3592"/>
      <c r="L9" s="3379" t="s">
        <v>3853</v>
      </c>
      <c r="M9" s="3064">
        <v>15</v>
      </c>
      <c r="N9" s="3379">
        <v>670</v>
      </c>
      <c r="O9" s="3380">
        <v>0.7</v>
      </c>
      <c r="P9" s="3381">
        <v>0.75</v>
      </c>
      <c r="Q9" s="3066">
        <v>365</v>
      </c>
      <c r="R9" s="3067">
        <f t="shared" si="0"/>
        <v>193</v>
      </c>
      <c r="S9" s="3021"/>
      <c r="T9" s="3021"/>
      <c r="U9" s="3021"/>
      <c r="V9" s="3029"/>
    </row>
    <row r="10" spans="1:22" s="3033" customFormat="1" ht="13.15" customHeight="1">
      <c r="A10" s="3068">
        <v>2</v>
      </c>
      <c r="B10" s="3594" t="s">
        <v>2858</v>
      </c>
      <c r="C10" s="3595"/>
      <c r="D10" s="3069">
        <f>ROUND(D6*E10,0)</f>
        <v>178</v>
      </c>
      <c r="E10" s="3382">
        <v>0.15</v>
      </c>
      <c r="F10" s="3074" t="s">
        <v>2859</v>
      </c>
      <c r="G10" s="3053"/>
      <c r="H10" s="3028"/>
      <c r="I10" s="3029"/>
      <c r="J10" s="3590"/>
      <c r="K10" s="3592"/>
      <c r="L10" s="3379" t="s">
        <v>3854</v>
      </c>
      <c r="M10" s="3064">
        <v>15</v>
      </c>
      <c r="N10" s="3379">
        <v>700</v>
      </c>
      <c r="O10" s="3380">
        <v>0.7</v>
      </c>
      <c r="P10" s="3381">
        <v>0.75</v>
      </c>
      <c r="Q10" s="3066">
        <v>365</v>
      </c>
      <c r="R10" s="3067">
        <f t="shared" si="0"/>
        <v>201</v>
      </c>
      <c r="S10" s="3021"/>
      <c r="T10" s="3021"/>
      <c r="U10" s="3021"/>
      <c r="V10" s="3029"/>
    </row>
    <row r="11" spans="1:22" s="3033" customFormat="1" ht="13.15" customHeight="1">
      <c r="A11" s="3068">
        <v>3</v>
      </c>
      <c r="B11" s="3594" t="s">
        <v>2860</v>
      </c>
      <c r="C11" s="3595"/>
      <c r="D11" s="3069">
        <f ca="1">D12+D14+D15+D16</f>
        <v>106</v>
      </c>
      <c r="E11" s="3075">
        <f ca="1">D11/D6</f>
        <v>8.9451476793248941E-2</v>
      </c>
      <c r="F11" s="3071"/>
      <c r="G11" s="3072"/>
      <c r="H11" s="3028"/>
      <c r="I11" s="3029"/>
      <c r="J11" s="3590"/>
      <c r="K11" s="3592"/>
      <c r="L11" s="3379" t="s">
        <v>3855</v>
      </c>
      <c r="M11" s="3064">
        <v>1</v>
      </c>
      <c r="N11" s="3379">
        <v>1000</v>
      </c>
      <c r="O11" s="3380">
        <v>0.7</v>
      </c>
      <c r="P11" s="3380">
        <v>0.5</v>
      </c>
      <c r="Q11" s="3066">
        <v>365</v>
      </c>
      <c r="R11" s="3067">
        <f t="shared" si="0"/>
        <v>13</v>
      </c>
      <c r="S11" s="3021"/>
      <c r="T11" s="3021"/>
      <c r="U11" s="3021"/>
      <c r="V11" s="3029"/>
    </row>
    <row r="12" spans="1:22" s="3033" customFormat="1" ht="13.15" customHeight="1">
      <c r="A12" s="3076" t="s">
        <v>2861</v>
      </c>
      <c r="B12" s="3596" t="s">
        <v>2862</v>
      </c>
      <c r="C12" s="3597"/>
      <c r="D12" s="3077">
        <f ca="1">ROUND(D13*1.2%*(1-30%),0)</f>
        <v>40</v>
      </c>
      <c r="E12" s="3078">
        <v>1.2E-2</v>
      </c>
      <c r="F12" s="3071" t="s">
        <v>2863</v>
      </c>
      <c r="G12" s="3072"/>
      <c r="H12" s="3028"/>
      <c r="I12" s="3029"/>
      <c r="J12" s="3590"/>
      <c r="K12" s="3592"/>
      <c r="L12" s="3379" t="s">
        <v>3857</v>
      </c>
      <c r="M12" s="3064">
        <v>3</v>
      </c>
      <c r="N12" s="3379">
        <v>700</v>
      </c>
      <c r="O12" s="3380">
        <v>0.7</v>
      </c>
      <c r="P12" s="3380">
        <v>0.6</v>
      </c>
      <c r="Q12" s="3066">
        <v>365</v>
      </c>
      <c r="R12" s="3067">
        <f t="shared" si="0"/>
        <v>32</v>
      </c>
      <c r="S12" s="3021"/>
      <c r="T12" s="3021"/>
      <c r="U12" s="3021"/>
      <c r="V12" s="3029"/>
    </row>
    <row r="13" spans="1:22" s="3033" customFormat="1" ht="13.15" customHeight="1">
      <c r="A13" s="3076"/>
      <c r="B13" s="3079"/>
      <c r="C13" s="3080" t="s">
        <v>2864</v>
      </c>
      <c r="D13" s="3081">
        <f ca="1">'收益法-酒店'!C29</f>
        <v>4800</v>
      </c>
      <c r="E13" s="3082"/>
      <c r="F13" s="3071"/>
      <c r="G13" s="3072"/>
      <c r="H13" s="3028"/>
      <c r="I13" s="3029"/>
      <c r="J13" s="3590"/>
      <c r="K13" s="3592"/>
      <c r="L13" s="3063"/>
      <c r="M13" s="3064"/>
      <c r="N13" s="3040"/>
      <c r="O13" s="3065"/>
      <c r="P13" s="3065"/>
      <c r="Q13" s="3066">
        <v>365</v>
      </c>
      <c r="R13" s="3067">
        <f t="shared" si="0"/>
        <v>0</v>
      </c>
      <c r="S13" s="3021"/>
      <c r="T13" s="3021"/>
      <c r="U13" s="3021"/>
      <c r="V13" s="3029"/>
    </row>
    <row r="14" spans="1:22" s="3033" customFormat="1" ht="13.15" customHeight="1">
      <c r="A14" s="3076" t="s">
        <v>2865</v>
      </c>
      <c r="B14" s="3596" t="s">
        <v>2866</v>
      </c>
      <c r="C14" s="3597"/>
      <c r="D14" s="3077">
        <f>ROUND(E14*B5/10000,0)</f>
        <v>1</v>
      </c>
      <c r="E14" s="3383">
        <f>'数据-取费表'!B52</f>
        <v>1.5</v>
      </c>
      <c r="F14" s="3071" t="s">
        <v>2867</v>
      </c>
      <c r="G14" s="3072"/>
      <c r="H14" s="3028"/>
      <c r="I14" s="3029"/>
      <c r="J14" s="3590"/>
      <c r="K14" s="3593"/>
      <c r="L14" s="3083" t="s">
        <v>2868</v>
      </c>
      <c r="M14" s="3084">
        <f>SUM(M7:M13)</f>
        <v>84</v>
      </c>
      <c r="N14" s="3084">
        <f>ROUND((N7*M7+N8*M8+N9*M9+N10*M10+N11*M11+N12*M12+N13*M13)/M14,0)</f>
        <v>665</v>
      </c>
      <c r="O14" s="3085"/>
      <c r="P14" s="3085"/>
      <c r="Q14" s="3086"/>
      <c r="R14" s="3032">
        <f>SUM(R7:R13)</f>
        <v>1077</v>
      </c>
      <c r="S14" s="3021"/>
      <c r="T14" s="3021"/>
      <c r="U14" s="3021"/>
      <c r="V14" s="3029"/>
    </row>
    <row r="15" spans="1:22" s="3033" customFormat="1" ht="13.15" customHeight="1">
      <c r="A15" s="3076" t="s">
        <v>2869</v>
      </c>
      <c r="B15" s="3596" t="s">
        <v>2870</v>
      </c>
      <c r="C15" s="3597"/>
      <c r="D15" s="3077">
        <f>ROUND(D6*E15,0)</f>
        <v>65</v>
      </c>
      <c r="E15" s="3078">
        <v>5.5E-2</v>
      </c>
      <c r="F15" s="3071" t="s">
        <v>2871</v>
      </c>
      <c r="G15" s="3053"/>
      <c r="H15" s="3028"/>
      <c r="I15" s="3029"/>
      <c r="J15" s="3590">
        <v>2</v>
      </c>
      <c r="K15" s="3591" t="s">
        <v>2872</v>
      </c>
      <c r="L15" s="3063" t="s">
        <v>2873</v>
      </c>
      <c r="M15" s="3064" t="s">
        <v>2874</v>
      </c>
      <c r="N15" s="3064" t="s">
        <v>2875</v>
      </c>
      <c r="O15" s="3065" t="s">
        <v>2876</v>
      </c>
      <c r="P15" s="3065" t="s">
        <v>2845</v>
      </c>
      <c r="Q15" s="3040" t="s">
        <v>2877</v>
      </c>
      <c r="R15" s="3087" t="s">
        <v>2846</v>
      </c>
      <c r="S15" s="3021"/>
      <c r="T15" s="3021"/>
      <c r="U15" s="3021"/>
      <c r="V15" s="3029"/>
    </row>
    <row r="16" spans="1:22" s="3033" customFormat="1" ht="13.15" customHeight="1">
      <c r="A16" s="3076" t="s">
        <v>2878</v>
      </c>
      <c r="B16" s="3596" t="s">
        <v>2879</v>
      </c>
      <c r="C16" s="3597"/>
      <c r="D16" s="3088">
        <f>D6*E16</f>
        <v>0</v>
      </c>
      <c r="E16" s="3089"/>
      <c r="F16" s="3074" t="s">
        <v>2880</v>
      </c>
      <c r="G16" s="3053"/>
      <c r="H16" s="3028"/>
      <c r="I16" s="3029"/>
      <c r="J16" s="3590"/>
      <c r="K16" s="3592"/>
      <c r="L16" s="3063" t="s">
        <v>2881</v>
      </c>
      <c r="M16" s="3064"/>
      <c r="N16" s="3064"/>
      <c r="O16" s="3065"/>
      <c r="P16" s="3066">
        <v>365</v>
      </c>
      <c r="Q16" s="3040"/>
      <c r="R16" s="3087">
        <f>ROUND(M16*N16*O16*P16/10000,0)</f>
        <v>0</v>
      </c>
      <c r="S16" s="3021"/>
      <c r="T16" s="3021"/>
      <c r="U16" s="3021"/>
      <c r="V16" s="3029"/>
    </row>
    <row r="17" spans="1:22" s="3033" customFormat="1" ht="13.15" customHeight="1" thickBot="1">
      <c r="A17" s="3090">
        <v>4</v>
      </c>
      <c r="B17" s="3598" t="s">
        <v>2882</v>
      </c>
      <c r="C17" s="3599"/>
      <c r="D17" s="3091">
        <f>ROUND(D6*E17,0)</f>
        <v>119</v>
      </c>
      <c r="E17" s="3092">
        <v>0.1</v>
      </c>
      <c r="F17" s="3093" t="s">
        <v>2883</v>
      </c>
      <c r="G17" s="3053"/>
      <c r="H17" s="3028"/>
      <c r="I17" s="3029"/>
      <c r="J17" s="3590"/>
      <c r="K17" s="3592"/>
      <c r="L17" s="3063" t="s">
        <v>2884</v>
      </c>
      <c r="M17" s="3064"/>
      <c r="N17" s="3064"/>
      <c r="O17" s="3065"/>
      <c r="P17" s="3066">
        <v>365</v>
      </c>
      <c r="Q17" s="3040"/>
      <c r="R17" s="3087">
        <f>ROUND(M17*N17*O17*P17/10000,0)</f>
        <v>0</v>
      </c>
      <c r="S17" s="3021"/>
      <c r="T17" s="3021"/>
      <c r="U17" s="3021"/>
      <c r="V17" s="3029"/>
    </row>
    <row r="18" spans="1:22" s="3033" customFormat="1" ht="13.15" customHeight="1" thickBot="1">
      <c r="A18" s="3056" t="s">
        <v>2885</v>
      </c>
      <c r="B18" s="3057"/>
      <c r="C18" s="3057"/>
      <c r="D18" s="3094">
        <f>ROUND(D6*E18,0)</f>
        <v>59</v>
      </c>
      <c r="E18" s="3095">
        <v>0.05</v>
      </c>
      <c r="F18" s="3096" t="s">
        <v>2886</v>
      </c>
      <c r="G18" s="3053"/>
      <c r="H18" s="3028"/>
      <c r="I18" s="3029"/>
      <c r="J18" s="3590"/>
      <c r="K18" s="3592"/>
      <c r="L18" s="3063" t="s">
        <v>2887</v>
      </c>
      <c r="M18" s="3064"/>
      <c r="N18" s="3064"/>
      <c r="O18" s="3065"/>
      <c r="P18" s="3066">
        <v>365</v>
      </c>
      <c r="Q18" s="3040"/>
      <c r="R18" s="3087">
        <f>ROUND(M18*N18*O18*P18/10000,0)</f>
        <v>0</v>
      </c>
      <c r="S18" s="3021"/>
      <c r="T18" s="3021"/>
      <c r="U18" s="3021"/>
      <c r="V18" s="3029"/>
    </row>
    <row r="19" spans="1:22" s="3033" customFormat="1" ht="13.15" customHeight="1" thickBot="1">
      <c r="A19" s="3097" t="s">
        <v>2888</v>
      </c>
      <c r="B19" s="3051"/>
      <c r="C19" s="3051"/>
      <c r="D19" s="3051"/>
      <c r="E19" s="3051"/>
      <c r="F19" s="3052"/>
      <c r="G19" s="3072"/>
      <c r="H19" s="3028"/>
      <c r="I19" s="3029"/>
      <c r="J19" s="3590"/>
      <c r="K19" s="3593"/>
      <c r="L19" s="3083" t="s">
        <v>2868</v>
      </c>
      <c r="M19" s="3084"/>
      <c r="N19" s="3084">
        <f>SUM(N16:N18)</f>
        <v>0</v>
      </c>
      <c r="O19" s="3085"/>
      <c r="P19" s="3098" t="s">
        <v>2932</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90">
        <v>3</v>
      </c>
      <c r="K20" s="3591" t="s">
        <v>2889</v>
      </c>
      <c r="L20" s="3063" t="s">
        <v>2890</v>
      </c>
      <c r="M20" s="3064" t="s">
        <v>2891</v>
      </c>
      <c r="N20" s="3101" t="s">
        <v>2892</v>
      </c>
      <c r="O20" s="3065" t="s">
        <v>2893</v>
      </c>
      <c r="P20" s="3066" t="s">
        <v>2894</v>
      </c>
      <c r="Q20" s="3040" t="s">
        <v>2895</v>
      </c>
      <c r="R20" s="3087" t="s">
        <v>2896</v>
      </c>
      <c r="S20" s="3102"/>
      <c r="T20" s="3102"/>
      <c r="U20" s="3102"/>
      <c r="V20" s="3029"/>
    </row>
    <row r="21" spans="1:22" s="3033" customFormat="1" ht="13.15" customHeight="1">
      <c r="A21" s="3056"/>
      <c r="B21" s="3057"/>
      <c r="C21" s="3103" t="s">
        <v>2897</v>
      </c>
      <c r="D21" s="3104" t="s">
        <v>2898</v>
      </c>
      <c r="E21" s="3105" t="s">
        <v>2899</v>
      </c>
      <c r="F21" s="3100"/>
      <c r="G21" s="3072"/>
      <c r="H21" s="3028"/>
      <c r="I21" s="3029"/>
      <c r="J21" s="3590"/>
      <c r="K21" s="3592"/>
      <c r="L21" s="3063" t="s">
        <v>2900</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2901</v>
      </c>
      <c r="D22" s="3108" t="s">
        <v>2902</v>
      </c>
      <c r="E22" s="3109" t="s">
        <v>2903</v>
      </c>
      <c r="F22" s="3100"/>
      <c r="G22" s="3110"/>
      <c r="H22" s="3028"/>
      <c r="I22" s="3029"/>
      <c r="J22" s="3590"/>
      <c r="K22" s="3592"/>
      <c r="L22" s="3063" t="s">
        <v>2904</v>
      </c>
      <c r="M22" s="3064"/>
      <c r="N22" s="3064"/>
      <c r="O22" s="3065"/>
      <c r="P22" s="3066">
        <v>365</v>
      </c>
      <c r="Q22" s="3040"/>
      <c r="R22" s="3106">
        <f>ROUND(M22*N22*O22*P22/10000,0)</f>
        <v>0</v>
      </c>
      <c r="S22" s="3102"/>
      <c r="T22" s="3102"/>
      <c r="U22" s="3102"/>
      <c r="V22" s="3029"/>
    </row>
    <row r="23" spans="1:22" s="3033" customFormat="1" ht="13.15" customHeight="1">
      <c r="A23" s="3111">
        <v>1</v>
      </c>
      <c r="B23" s="3112" t="s">
        <v>2905</v>
      </c>
      <c r="C23" s="3113">
        <f>D6</f>
        <v>1185</v>
      </c>
      <c r="D23" s="3114">
        <f>C23*(1+D24)</f>
        <v>1185</v>
      </c>
      <c r="E23" s="3115">
        <f>D23*(1+E24)</f>
        <v>1185</v>
      </c>
      <c r="F23" s="3116"/>
      <c r="G23" s="3117">
        <f>C23*10000/365/B4</f>
        <v>5.5835175128440344</v>
      </c>
      <c r="H23" s="3028"/>
      <c r="I23" s="3029"/>
      <c r="J23" s="3590"/>
      <c r="K23" s="3592"/>
      <c r="L23" s="3063" t="s">
        <v>2906</v>
      </c>
      <c r="M23" s="3064"/>
      <c r="N23" s="3064"/>
      <c r="O23" s="3065"/>
      <c r="P23" s="3066">
        <v>365</v>
      </c>
      <c r="Q23" s="3040"/>
      <c r="R23" s="3106">
        <f>ROUND(M23*N23*O23*P23/10000,0)</f>
        <v>0</v>
      </c>
      <c r="S23" s="3021"/>
      <c r="T23" s="3021"/>
      <c r="U23" s="3021"/>
      <c r="V23" s="3029"/>
    </row>
    <row r="24" spans="1:22" s="3033" customFormat="1" ht="13.15" customHeight="1">
      <c r="A24" s="3118"/>
      <c r="B24" s="3119" t="s">
        <v>2907</v>
      </c>
      <c r="C24" s="3120"/>
      <c r="D24" s="3121">
        <v>0</v>
      </c>
      <c r="E24" s="3122">
        <v>0</v>
      </c>
      <c r="F24" s="3123"/>
      <c r="G24" s="3117"/>
      <c r="H24" s="3028"/>
      <c r="I24" s="3029"/>
      <c r="J24" s="3590"/>
      <c r="K24" s="3593"/>
      <c r="L24" s="3083" t="s">
        <v>2868</v>
      </c>
      <c r="M24" s="3084">
        <f>SUM(M21:M23)</f>
        <v>0</v>
      </c>
      <c r="N24" s="3084"/>
      <c r="O24" s="3085"/>
      <c r="P24" s="3098" t="s">
        <v>2932</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2908</v>
      </c>
      <c r="L25" s="3126"/>
      <c r="M25" s="3126"/>
      <c r="N25" s="3126"/>
      <c r="O25" s="3126"/>
      <c r="P25" s="3127"/>
      <c r="Q25" s="3128">
        <v>0.1</v>
      </c>
      <c r="R25" s="3099">
        <f>ROUND(R14*Q25,0)</f>
        <v>108</v>
      </c>
      <c r="S25" s="3021"/>
      <c r="T25" s="3021"/>
      <c r="U25" s="3021"/>
      <c r="V25" s="3129"/>
    </row>
    <row r="26" spans="1:22" s="3130" customFormat="1" ht="13.15" customHeight="1">
      <c r="A26" s="3111">
        <v>2</v>
      </c>
      <c r="B26" s="3112" t="s">
        <v>2909</v>
      </c>
      <c r="C26" s="3113">
        <f ca="1">D7</f>
        <v>699</v>
      </c>
      <c r="D26" s="3114">
        <f>D23*D27</f>
        <v>0</v>
      </c>
      <c r="E26" s="3115">
        <f>E23*E27</f>
        <v>0</v>
      </c>
      <c r="F26" s="3116"/>
      <c r="G26" s="3117"/>
      <c r="H26" s="3028"/>
      <c r="I26" s="3029"/>
      <c r="J26" s="3600">
        <v>5</v>
      </c>
      <c r="K26" s="3131" t="s">
        <v>2910</v>
      </c>
      <c r="L26" s="3132"/>
      <c r="M26" s="3133"/>
      <c r="N26" s="3134" t="s">
        <v>2911</v>
      </c>
      <c r="O26" s="3134" t="s">
        <v>2912</v>
      </c>
      <c r="P26" s="3135" t="s">
        <v>2913</v>
      </c>
      <c r="Q26" s="3135" t="s">
        <v>2914</v>
      </c>
      <c r="R26" s="3038" t="s">
        <v>2846</v>
      </c>
      <c r="S26" s="3136"/>
      <c r="T26" s="3136"/>
      <c r="U26" s="3136"/>
      <c r="V26" s="3129"/>
    </row>
    <row r="27" spans="1:22" s="3033" customFormat="1" ht="13.15" customHeight="1">
      <c r="A27" s="3118"/>
      <c r="B27" s="3119" t="s">
        <v>2915</v>
      </c>
      <c r="C27" s="3137">
        <f ca="1">E7</f>
        <v>0.58945147679324894</v>
      </c>
      <c r="D27" s="3121"/>
      <c r="E27" s="3122"/>
      <c r="F27" s="3123"/>
      <c r="G27" s="3117"/>
      <c r="H27" s="3138"/>
      <c r="I27" s="3129"/>
      <c r="J27" s="3601"/>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2916</v>
      </c>
      <c r="F28" s="3123"/>
      <c r="G28" s="3110"/>
      <c r="H28" s="3138"/>
      <c r="I28" s="3129"/>
      <c r="J28" s="3144">
        <v>6</v>
      </c>
      <c r="K28" s="3145" t="s">
        <v>2917</v>
      </c>
      <c r="L28" s="3146" t="s">
        <v>2918</v>
      </c>
      <c r="M28" s="3147"/>
      <c r="N28" s="3146" t="s">
        <v>2919</v>
      </c>
      <c r="O28" s="3148"/>
      <c r="P28" s="3146" t="s">
        <v>2920</v>
      </c>
      <c r="Q28" s="3149">
        <v>1.4999999999999999E-2</v>
      </c>
      <c r="R28" s="3150"/>
      <c r="S28" s="3102"/>
      <c r="T28" s="3102"/>
      <c r="U28" s="3102"/>
      <c r="V28" s="3129"/>
    </row>
    <row r="29" spans="1:22" s="3130" customFormat="1" ht="13.15" customHeight="1">
      <c r="A29" s="3111">
        <v>3</v>
      </c>
      <c r="B29" s="3112" t="s">
        <v>2921</v>
      </c>
      <c r="C29" s="3113">
        <f>C23*C30</f>
        <v>59.25</v>
      </c>
      <c r="D29" s="3114">
        <f>D23*C30</f>
        <v>59.25</v>
      </c>
      <c r="E29" s="3115">
        <f>E23*C30</f>
        <v>59.25</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2915</v>
      </c>
      <c r="C30" s="3137">
        <f>E18</f>
        <v>0.05</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2922</v>
      </c>
      <c r="K31" s="3019"/>
      <c r="L31" s="3019"/>
      <c r="M31" s="3019"/>
      <c r="N31" s="3019"/>
      <c r="O31" s="3019"/>
      <c r="P31" s="3019"/>
      <c r="Q31" s="3019"/>
      <c r="R31" s="3020"/>
      <c r="S31" s="3102"/>
      <c r="T31" s="3021"/>
      <c r="U31" s="3021"/>
      <c r="V31" s="3129"/>
    </row>
    <row r="32" spans="1:22" s="3130" customFormat="1" ht="13.15" customHeight="1">
      <c r="A32" s="3111">
        <v>4</v>
      </c>
      <c r="B32" s="3112" t="s">
        <v>2923</v>
      </c>
      <c r="C32" s="3113">
        <f ca="1">C23-C26-C29</f>
        <v>426.75</v>
      </c>
      <c r="D32" s="3114">
        <f>D23-D26-D29</f>
        <v>1125.75</v>
      </c>
      <c r="E32" s="3115">
        <f>E23-E26-E29</f>
        <v>1125.75</v>
      </c>
      <c r="F32" s="3116"/>
      <c r="G32" s="3110">
        <f>G23*0.4</f>
        <v>2.233407005137614</v>
      </c>
      <c r="H32" s="3028">
        <v>2.5</v>
      </c>
      <c r="I32" s="3029"/>
      <c r="J32" s="3583" t="s">
        <v>2822</v>
      </c>
      <c r="K32" s="3584"/>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f>H32*0.8</f>
        <v>2</v>
      </c>
      <c r="I33" s="3129"/>
      <c r="J33" s="3585" t="s">
        <v>2832</v>
      </c>
      <c r="K33" s="3586"/>
      <c r="L33" s="3036"/>
      <c r="M33" s="3036"/>
      <c r="N33" s="3036"/>
      <c r="O33" s="3036"/>
      <c r="P33" s="3036"/>
      <c r="Q33" s="3037"/>
      <c r="R33" s="3156">
        <f>SUM(L33:Q33)</f>
        <v>0</v>
      </c>
      <c r="S33" s="3102"/>
      <c r="T33" s="3021"/>
      <c r="U33" s="3021"/>
      <c r="V33" s="3029"/>
    </row>
    <row r="34" spans="1:23" s="3033" customFormat="1" ht="13.15" customHeight="1">
      <c r="A34" s="3111">
        <v>5</v>
      </c>
      <c r="B34" s="3112" t="s">
        <v>2924</v>
      </c>
      <c r="C34" s="3157">
        <v>5.5E-2</v>
      </c>
      <c r="D34" s="3158">
        <f>C34</f>
        <v>5.5E-2</v>
      </c>
      <c r="E34" s="3159">
        <f>C34</f>
        <v>5.5E-2</v>
      </c>
      <c r="F34" s="3116"/>
      <c r="G34" s="3110"/>
      <c r="H34" s="3138"/>
      <c r="I34" s="3129"/>
      <c r="J34" s="3585" t="s">
        <v>2834</v>
      </c>
      <c r="K34" s="358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2925</v>
      </c>
      <c r="C35" s="3161">
        <v>0</v>
      </c>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2926</v>
      </c>
      <c r="C36" s="3167">
        <f>项目基本情况!I15</f>
        <v>34.08</v>
      </c>
      <c r="D36" s="3168"/>
      <c r="E36" s="3169"/>
      <c r="F36" s="3170">
        <f>C36+D36+E36</f>
        <v>34.08</v>
      </c>
      <c r="G36" s="3110"/>
      <c r="H36" s="3028"/>
      <c r="I36" s="3029"/>
      <c r="J36" s="3590">
        <v>1</v>
      </c>
      <c r="K36" s="3591" t="s">
        <v>2927</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90"/>
      <c r="K37" s="3592"/>
      <c r="L37" s="3063"/>
      <c r="M37" s="3064"/>
      <c r="N37" s="3040"/>
      <c r="O37" s="3065"/>
      <c r="P37" s="3065"/>
      <c r="Q37" s="3066"/>
      <c r="R37" s="3067"/>
      <c r="S37" s="3102"/>
      <c r="T37" s="3021" t="s">
        <v>2849</v>
      </c>
      <c r="U37" s="3021"/>
      <c r="V37" s="3029"/>
    </row>
    <row r="38" spans="1:23" s="3033" customFormat="1" ht="13.15" customHeight="1">
      <c r="A38" s="3111">
        <v>8</v>
      </c>
      <c r="B38" s="3112"/>
      <c r="C38" s="3069">
        <f ca="1">ROUND(C32*(1-((1+C35)/(1+C34))^C36)/(C34-C35),0)</f>
        <v>6508</v>
      </c>
      <c r="D38" s="3069">
        <f>IF(D23=0,0,ROUND(D32*(1-((1+D35)/(1+D34))^D36)/(D34-D35),0))</f>
        <v>0</v>
      </c>
      <c r="E38" s="3069">
        <f>IF(E23=0,0,ROUND(E32*(1-((1+E35)/(1+E34))^E36)/(E34-E35),0))</f>
        <v>0</v>
      </c>
      <c r="F38" s="3116"/>
      <c r="G38" s="3110"/>
      <c r="H38" s="3028"/>
      <c r="I38" s="3029"/>
      <c r="J38" s="3590"/>
      <c r="K38" s="3592"/>
      <c r="L38" s="3063"/>
      <c r="M38" s="3064"/>
      <c r="N38" s="3040"/>
      <c r="O38" s="3065"/>
      <c r="P38" s="3065"/>
      <c r="Q38" s="3066"/>
      <c r="R38" s="3067"/>
      <c r="S38" s="3102"/>
      <c r="T38" s="3021" t="s">
        <v>2855</v>
      </c>
      <c r="U38" s="3021"/>
      <c r="V38" s="3029"/>
    </row>
    <row r="39" spans="1:23" s="3033" customFormat="1" ht="13.15" customHeight="1">
      <c r="A39" s="3111">
        <v>9</v>
      </c>
      <c r="B39" s="3112" t="s">
        <v>2928</v>
      </c>
      <c r="C39" s="3077">
        <f ca="1">C38</f>
        <v>6508</v>
      </c>
      <c r="D39" s="3112">
        <f>D38/(1+D34)^C36</f>
        <v>0</v>
      </c>
      <c r="E39" s="3112">
        <f>E38/(1+E34)^(C36+D36)</f>
        <v>0</v>
      </c>
      <c r="F39" s="3116"/>
      <c r="G39" s="3171"/>
      <c r="H39" s="3028"/>
      <c r="I39" s="3029"/>
      <c r="J39" s="3590"/>
      <c r="K39" s="3592"/>
      <c r="L39" s="3063"/>
      <c r="M39" s="3064"/>
      <c r="N39" s="3040"/>
      <c r="O39" s="3065"/>
      <c r="P39" s="3065"/>
      <c r="Q39" s="3066"/>
      <c r="R39" s="3067"/>
      <c r="S39" s="3102"/>
      <c r="T39" s="3021"/>
      <c r="U39" s="3021"/>
      <c r="V39" s="3029"/>
    </row>
    <row r="40" spans="1:23" s="3033" customFormat="1" ht="13.15" customHeight="1">
      <c r="A40" s="3172">
        <v>10</v>
      </c>
      <c r="B40" s="3112" t="s">
        <v>2929</v>
      </c>
      <c r="C40" s="3173">
        <f ca="1">C39+D39+E39</f>
        <v>6508</v>
      </c>
      <c r="D40" s="3174"/>
      <c r="E40" s="3174"/>
      <c r="F40" s="3175"/>
      <c r="G40" s="3110"/>
      <c r="H40" s="3028"/>
      <c r="I40" s="3029"/>
      <c r="J40" s="3590"/>
      <c r="K40" s="3593"/>
      <c r="L40" s="3083" t="s">
        <v>2868</v>
      </c>
      <c r="M40" s="3084"/>
      <c r="N40" s="3084"/>
      <c r="O40" s="3085"/>
      <c r="P40" s="3085"/>
      <c r="Q40" s="3086"/>
      <c r="R40" s="3032">
        <f>SUM(R37:R39)</f>
        <v>0</v>
      </c>
      <c r="S40" s="3102"/>
      <c r="T40" s="3021"/>
      <c r="U40" s="3021"/>
      <c r="V40" s="3029"/>
    </row>
    <row r="41" spans="1:23" s="3033" customFormat="1" ht="13.15" customHeight="1" thickBot="1">
      <c r="A41" s="3176">
        <v>11</v>
      </c>
      <c r="B41" s="3177" t="s">
        <v>2930</v>
      </c>
      <c r="C41" s="3177">
        <f ca="1">ROUND(C40*10000/B4,0)</f>
        <v>11193</v>
      </c>
      <c r="D41" s="3178"/>
      <c r="E41" s="3178"/>
      <c r="F41" s="3179"/>
      <c r="G41" s="3180"/>
      <c r="H41" s="3028"/>
      <c r="I41" s="3029"/>
      <c r="J41" s="3124">
        <v>2</v>
      </c>
      <c r="K41" s="3125" t="s">
        <v>2908</v>
      </c>
      <c r="L41" s="3126"/>
      <c r="M41" s="3126"/>
      <c r="N41" s="3126"/>
      <c r="O41" s="3126"/>
      <c r="P41" s="3127"/>
      <c r="Q41" s="3128"/>
      <c r="R41" s="3099">
        <f>ROUND(R40*Q41,0)</f>
        <v>0</v>
      </c>
      <c r="S41" s="3102"/>
      <c r="T41" s="3021"/>
      <c r="U41" s="3136"/>
      <c r="V41" s="3029"/>
    </row>
    <row r="42" spans="1:23" s="3033" customFormat="1" ht="13.15" customHeight="1">
      <c r="G42" s="3180"/>
      <c r="H42" s="3028"/>
      <c r="I42" s="3029"/>
      <c r="J42" s="3600">
        <v>3</v>
      </c>
      <c r="K42" s="3131" t="s">
        <v>2910</v>
      </c>
      <c r="L42" s="3132"/>
      <c r="M42" s="3133"/>
      <c r="N42" s="3134" t="s">
        <v>2911</v>
      </c>
      <c r="O42" s="3134" t="s">
        <v>2912</v>
      </c>
      <c r="P42" s="3135" t="s">
        <v>2913</v>
      </c>
      <c r="Q42" s="3135" t="s">
        <v>2914</v>
      </c>
      <c r="R42" s="3038" t="s">
        <v>2846</v>
      </c>
      <c r="S42" s="3136"/>
      <c r="T42" s="3136"/>
      <c r="U42" s="3021"/>
      <c r="V42" s="3029"/>
    </row>
    <row r="43" spans="1:23" ht="13.15" customHeight="1">
      <c r="A43" s="3033"/>
      <c r="B43" s="3033"/>
      <c r="C43" s="3033"/>
      <c r="D43" s="3033"/>
      <c r="E43" s="3033"/>
      <c r="F43" s="3033"/>
      <c r="I43" s="3016"/>
      <c r="J43" s="3601"/>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2917</v>
      </c>
      <c r="L44" s="3184" t="s">
        <v>2918</v>
      </c>
      <c r="M44" s="3147"/>
      <c r="N44" s="3184" t="s">
        <v>2919</v>
      </c>
      <c r="O44" s="3147"/>
      <c r="P44" s="3184" t="s">
        <v>2920</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23954</v>
      </c>
      <c r="C2" s="2008" t="s">
        <v>2099</v>
      </c>
      <c r="D2" s="2009" t="s">
        <v>2100</v>
      </c>
      <c r="E2" s="2782">
        <f>SUM(E6:E13)</f>
        <v>33133.130000000005</v>
      </c>
      <c r="F2" s="2885"/>
      <c r="G2" s="1624"/>
      <c r="H2" s="1624"/>
      <c r="I2" s="1624"/>
      <c r="J2" s="1624"/>
      <c r="K2" s="1624"/>
      <c r="L2" s="1624"/>
      <c r="M2" s="1624"/>
      <c r="N2" s="1624"/>
      <c r="O2" s="1624"/>
      <c r="P2" s="1624"/>
      <c r="Q2" s="1624"/>
      <c r="R2" s="1624"/>
      <c r="S2" s="1624"/>
    </row>
    <row r="3" spans="1:22" ht="15.75">
      <c r="A3" s="2006" t="s">
        <v>1119</v>
      </c>
      <c r="B3" s="2776">
        <f ca="1">ROUND(B2*10000/E2,0)</f>
        <v>7230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602" t="s">
        <v>2102</v>
      </c>
      <c r="C5" s="3603"/>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17446</v>
      </c>
      <c r="C6" s="2008" t="s">
        <v>2099</v>
      </c>
      <c r="D6" s="2887"/>
      <c r="E6" s="2781">
        <f>IF(OR(A6=0,F6="否"),0,'数据-取费表'!K6+'数据-取费表'!S6)</f>
        <v>27136.58</v>
      </c>
      <c r="F6" s="2012" t="s">
        <v>2105</v>
      </c>
      <c r="G6" s="1624"/>
      <c r="H6" s="1624"/>
      <c r="I6" s="1624"/>
      <c r="J6" s="1624"/>
      <c r="K6" s="1624"/>
      <c r="L6" s="1624"/>
      <c r="M6" s="1624"/>
      <c r="N6" s="1624"/>
      <c r="O6" s="1624"/>
      <c r="P6" s="1624"/>
      <c r="Q6" s="1624"/>
      <c r="R6" s="1624"/>
      <c r="S6" s="1624"/>
    </row>
    <row r="7" spans="1:22">
      <c r="A7" s="2779" t="str">
        <f>'数据-取费表'!AN7</f>
        <v>收益法-酒店模型</v>
      </c>
      <c r="B7" s="2777">
        <f ca="1">IF(F7="是",'数据-取费表'!AO7,0)</f>
        <v>6508</v>
      </c>
      <c r="C7" s="2008" t="s">
        <v>2099</v>
      </c>
      <c r="D7" s="2887"/>
      <c r="E7" s="2781">
        <f>IF(OR(A7=0,F7="否"),0,'数据-取费表'!K7+'数据-取费表'!S7)</f>
        <v>5996.5499999999993</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33133.130000000005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622" t="s">
        <v>2116</v>
      </c>
      <c r="D4" s="3623"/>
      <c r="E4" s="3624" t="s">
        <v>2117</v>
      </c>
      <c r="F4" s="3625"/>
      <c r="G4" s="3622" t="s">
        <v>2118</v>
      </c>
      <c r="H4" s="3623"/>
      <c r="I4" s="3622" t="s">
        <v>2119</v>
      </c>
      <c r="J4" s="3623"/>
      <c r="K4" s="2025" t="s">
        <v>2120</v>
      </c>
      <c r="L4" s="2893"/>
      <c r="M4" s="2894"/>
      <c r="N4" s="2894"/>
      <c r="O4" s="2894"/>
      <c r="P4" s="3626" t="s">
        <v>2121</v>
      </c>
      <c r="Q4" s="3627"/>
      <c r="R4" s="3609" t="s">
        <v>2117</v>
      </c>
      <c r="S4" s="3610"/>
      <c r="T4" s="3609" t="s">
        <v>2118</v>
      </c>
      <c r="U4" s="3610"/>
      <c r="V4" s="3634" t="s">
        <v>2119</v>
      </c>
      <c r="W4" s="3634"/>
      <c r="X4" s="1489"/>
      <c r="Y4" s="3609" t="s">
        <v>2121</v>
      </c>
      <c r="Z4" s="3610"/>
      <c r="AA4" s="3604" t="s">
        <v>2117</v>
      </c>
      <c r="AB4" s="3604" t="s">
        <v>2118</v>
      </c>
      <c r="AC4" s="3604" t="s">
        <v>2119</v>
      </c>
    </row>
    <row r="5" spans="1:29" ht="15">
      <c r="A5" s="363"/>
      <c r="B5" s="364"/>
      <c r="C5" s="3615" t="s">
        <v>2122</v>
      </c>
      <c r="D5" s="3616"/>
      <c r="E5" s="3613" t="s">
        <v>2123</v>
      </c>
      <c r="F5" s="3614"/>
      <c r="G5" s="3615" t="s">
        <v>2124</v>
      </c>
      <c r="H5" s="3616"/>
      <c r="I5" s="3615" t="s">
        <v>2125</v>
      </c>
      <c r="J5" s="3616"/>
      <c r="K5" s="2026"/>
      <c r="L5" s="2893"/>
      <c r="M5" s="2894"/>
      <c r="N5" s="2894"/>
      <c r="O5" s="2894"/>
      <c r="P5" s="3628"/>
      <c r="Q5" s="3629"/>
      <c r="R5" s="3611"/>
      <c r="S5" s="3612"/>
      <c r="T5" s="3611"/>
      <c r="U5" s="3612"/>
      <c r="V5" s="3634"/>
      <c r="W5" s="3634"/>
      <c r="X5" s="1489"/>
      <c r="Y5" s="3611"/>
      <c r="Z5" s="3612"/>
      <c r="AA5" s="3605"/>
      <c r="AB5" s="3605"/>
      <c r="AC5" s="3605"/>
    </row>
    <row r="6" spans="1:29" ht="15.75" thickBot="1">
      <c r="A6" s="365"/>
      <c r="B6" s="366"/>
      <c r="C6" s="3617" t="s">
        <v>2126</v>
      </c>
      <c r="D6" s="3618"/>
      <c r="E6" s="3619" t="s">
        <v>2126</v>
      </c>
      <c r="F6" s="3620"/>
      <c r="G6" s="3617" t="s">
        <v>2126</v>
      </c>
      <c r="H6" s="3618"/>
      <c r="I6" s="3617" t="s">
        <v>2126</v>
      </c>
      <c r="J6" s="3618"/>
      <c r="K6" s="2026" t="s">
        <v>2127</v>
      </c>
      <c r="L6" s="2893"/>
      <c r="M6" s="2894"/>
      <c r="N6" s="2894"/>
      <c r="O6" s="2894"/>
      <c r="P6" s="3630"/>
      <c r="Q6" s="3631"/>
      <c r="R6" s="3611"/>
      <c r="S6" s="3612"/>
      <c r="T6" s="3632"/>
      <c r="U6" s="3633"/>
      <c r="V6" s="3634"/>
      <c r="W6" s="3634"/>
      <c r="X6" s="1489"/>
      <c r="Y6" s="3632"/>
      <c r="Z6" s="3633"/>
      <c r="AA6" s="3606"/>
      <c r="AB6" s="3606"/>
      <c r="AC6" s="3606"/>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607" t="s">
        <v>2129</v>
      </c>
      <c r="Q7" s="3635"/>
      <c r="R7" s="709" t="s">
        <v>23</v>
      </c>
      <c r="S7" s="710">
        <f t="shared" ref="S7:S15" si="0">F7</f>
        <v>0</v>
      </c>
      <c r="T7" s="709" t="s">
        <v>23</v>
      </c>
      <c r="U7" s="710">
        <f t="shared" ref="U7:U15" si="1">H7</f>
        <v>0</v>
      </c>
      <c r="V7" s="709" t="s">
        <v>23</v>
      </c>
      <c r="W7" s="710">
        <f t="shared" ref="W7:W15" si="2">J7</f>
        <v>0</v>
      </c>
      <c r="X7" s="711"/>
      <c r="Y7" s="3607" t="s">
        <v>2129</v>
      </c>
      <c r="Z7" s="3608"/>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607" t="s">
        <v>2132</v>
      </c>
      <c r="Q8" s="3608"/>
      <c r="R8" s="709" t="s">
        <v>23</v>
      </c>
      <c r="S8" s="710">
        <f t="shared" si="0"/>
        <v>0</v>
      </c>
      <c r="T8" s="709" t="s">
        <v>23</v>
      </c>
      <c r="U8" s="710">
        <f t="shared" si="1"/>
        <v>0</v>
      </c>
      <c r="V8" s="709" t="s">
        <v>23</v>
      </c>
      <c r="W8" s="710">
        <f t="shared" si="2"/>
        <v>0</v>
      </c>
      <c r="X8" s="711"/>
      <c r="Y8" s="3607" t="s">
        <v>2132</v>
      </c>
      <c r="Z8" s="3608"/>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621"/>
      <c r="Q11" s="1477" t="str">
        <f t="shared" si="6"/>
        <v>容积率</v>
      </c>
      <c r="R11" s="709" t="s">
        <v>21</v>
      </c>
      <c r="S11" s="710" t="e">
        <f t="shared" si="0"/>
        <v>#N/A</v>
      </c>
      <c r="T11" s="709" t="s">
        <v>21</v>
      </c>
      <c r="U11" s="710" t="e">
        <f t="shared" si="1"/>
        <v>#N/A</v>
      </c>
      <c r="V11" s="709" t="s">
        <v>21</v>
      </c>
      <c r="W11" s="710" t="e">
        <f t="shared" si="2"/>
        <v>#N/A</v>
      </c>
      <c r="X11" s="711"/>
      <c r="Y11" s="3551"/>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621"/>
      <c r="Q12" s="1477">
        <f t="shared" si="6"/>
        <v>111</v>
      </c>
      <c r="R12" s="709" t="s">
        <v>21</v>
      </c>
      <c r="S12" s="710">
        <f t="shared" si="0"/>
        <v>100</v>
      </c>
      <c r="T12" s="709" t="s">
        <v>21</v>
      </c>
      <c r="U12" s="710">
        <f t="shared" si="1"/>
        <v>100</v>
      </c>
      <c r="V12" s="709" t="s">
        <v>21</v>
      </c>
      <c r="W12" s="710">
        <f t="shared" si="2"/>
        <v>100</v>
      </c>
      <c r="X12" s="711"/>
      <c r="Y12" s="3551"/>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621"/>
      <c r="Q13" s="1477">
        <f t="shared" si="6"/>
        <v>111</v>
      </c>
      <c r="R13" s="709" t="s">
        <v>21</v>
      </c>
      <c r="S13" s="710">
        <f t="shared" si="0"/>
        <v>100</v>
      </c>
      <c r="T13" s="709" t="s">
        <v>21</v>
      </c>
      <c r="U13" s="710">
        <f t="shared" si="1"/>
        <v>100</v>
      </c>
      <c r="V13" s="709" t="s">
        <v>21</v>
      </c>
      <c r="W13" s="710">
        <f t="shared" si="2"/>
        <v>100</v>
      </c>
      <c r="X13" s="711"/>
      <c r="Y13" s="3551"/>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621"/>
      <c r="Q14" s="1477">
        <f t="shared" si="6"/>
        <v>111</v>
      </c>
      <c r="R14" s="709" t="s">
        <v>21</v>
      </c>
      <c r="S14" s="710">
        <f t="shared" si="0"/>
        <v>100</v>
      </c>
      <c r="T14" s="709" t="s">
        <v>21</v>
      </c>
      <c r="U14" s="710">
        <f t="shared" si="1"/>
        <v>100</v>
      </c>
      <c r="V14" s="709" t="s">
        <v>21</v>
      </c>
      <c r="W14" s="710">
        <f t="shared" si="2"/>
        <v>100</v>
      </c>
      <c r="X14" s="711"/>
      <c r="Y14" s="3551"/>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48" t="s">
        <v>2140</v>
      </c>
      <c r="Q15" s="1486" t="str">
        <f t="shared" si="6"/>
        <v>居住社区成熟度</v>
      </c>
      <c r="R15" s="713" t="s">
        <v>21</v>
      </c>
      <c r="S15" s="714">
        <f t="shared" si="0"/>
        <v>100</v>
      </c>
      <c r="T15" s="713" t="s">
        <v>21</v>
      </c>
      <c r="U15" s="714">
        <f t="shared" si="1"/>
        <v>100</v>
      </c>
      <c r="V15" s="713" t="s">
        <v>21</v>
      </c>
      <c r="W15" s="714">
        <f t="shared" si="2"/>
        <v>100</v>
      </c>
      <c r="X15" s="1489"/>
      <c r="Y15" s="3641"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49"/>
      <c r="Q16" s="1486"/>
      <c r="R16" s="713"/>
      <c r="S16" s="714"/>
      <c r="T16" s="713"/>
      <c r="U16" s="714"/>
      <c r="V16" s="713"/>
      <c r="W16" s="714"/>
      <c r="X16" s="1489"/>
      <c r="Y16" s="3642"/>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49"/>
      <c r="Q17" s="1486" t="str">
        <f>B17</f>
        <v>交通便捷度</v>
      </c>
      <c r="R17" s="713" t="s">
        <v>21</v>
      </c>
      <c r="S17" s="714">
        <f>F17</f>
        <v>100</v>
      </c>
      <c r="T17" s="713" t="s">
        <v>21</v>
      </c>
      <c r="U17" s="714">
        <f>H17</f>
        <v>100</v>
      </c>
      <c r="V17" s="713" t="s">
        <v>21</v>
      </c>
      <c r="W17" s="714">
        <f>J17</f>
        <v>100</v>
      </c>
      <c r="X17" s="1489"/>
      <c r="Y17" s="3642"/>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49"/>
      <c r="Q18" s="1486"/>
      <c r="R18" s="713"/>
      <c r="S18" s="714"/>
      <c r="T18" s="713"/>
      <c r="U18" s="714"/>
      <c r="V18" s="713"/>
      <c r="W18" s="714"/>
      <c r="X18" s="1489"/>
      <c r="Y18" s="3642"/>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49"/>
      <c r="Q19" s="1486" t="str">
        <f>B19</f>
        <v>公共配套设施</v>
      </c>
      <c r="R19" s="713" t="s">
        <v>21</v>
      </c>
      <c r="S19" s="714">
        <f>F19</f>
        <v>100</v>
      </c>
      <c r="T19" s="713" t="s">
        <v>21</v>
      </c>
      <c r="U19" s="714">
        <f>H19</f>
        <v>100</v>
      </c>
      <c r="V19" s="713" t="s">
        <v>21</v>
      </c>
      <c r="W19" s="714">
        <f>J19</f>
        <v>100</v>
      </c>
      <c r="X19" s="1489"/>
      <c r="Y19" s="3642"/>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49"/>
      <c r="Q20" s="1486"/>
      <c r="R20" s="713"/>
      <c r="S20" s="714"/>
      <c r="T20" s="713"/>
      <c r="U20" s="714"/>
      <c r="V20" s="713"/>
      <c r="W20" s="714"/>
      <c r="X20" s="1489"/>
      <c r="Y20" s="3642"/>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49"/>
      <c r="Q21" s="1486" t="str">
        <f>B21</f>
        <v>基础设施水平</v>
      </c>
      <c r="R21" s="713" t="s">
        <v>17</v>
      </c>
      <c r="S21" s="714">
        <f>F21</f>
        <v>100</v>
      </c>
      <c r="T21" s="713" t="s">
        <v>17</v>
      </c>
      <c r="U21" s="714">
        <f>H21</f>
        <v>100</v>
      </c>
      <c r="V21" s="713" t="s">
        <v>17</v>
      </c>
      <c r="W21" s="714">
        <f>J21</f>
        <v>100</v>
      </c>
      <c r="X21" s="1489"/>
      <c r="Y21" s="3642"/>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49"/>
      <c r="Q22" s="1486"/>
      <c r="R22" s="713"/>
      <c r="S22" s="714"/>
      <c r="T22" s="713"/>
      <c r="U22" s="714"/>
      <c r="V22" s="713"/>
      <c r="W22" s="714"/>
      <c r="X22" s="1489"/>
      <c r="Y22" s="3642"/>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49"/>
      <c r="Q23" s="1486" t="str">
        <f>B23</f>
        <v>自然及人文环境</v>
      </c>
      <c r="R23" s="713" t="s">
        <v>21</v>
      </c>
      <c r="S23" s="714">
        <f>F23</f>
        <v>100</v>
      </c>
      <c r="T23" s="713" t="s">
        <v>21</v>
      </c>
      <c r="U23" s="714">
        <f>H23</f>
        <v>100</v>
      </c>
      <c r="V23" s="713" t="s">
        <v>21</v>
      </c>
      <c r="W23" s="714">
        <f>J23</f>
        <v>100</v>
      </c>
      <c r="X23" s="1489"/>
      <c r="Y23" s="3642"/>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49"/>
      <c r="Q24" s="1486"/>
      <c r="R24" s="713"/>
      <c r="S24" s="714"/>
      <c r="T24" s="713"/>
      <c r="U24" s="714"/>
      <c r="V24" s="713"/>
      <c r="W24" s="714"/>
      <c r="X24" s="1489"/>
      <c r="Y24" s="3642"/>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49"/>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642"/>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49"/>
      <c r="Q26" s="1486" t="str">
        <f t="shared" si="11"/>
        <v>朝向</v>
      </c>
      <c r="R26" s="713" t="s">
        <v>21</v>
      </c>
      <c r="S26" s="714">
        <f t="shared" si="12"/>
        <v>100</v>
      </c>
      <c r="T26" s="713" t="s">
        <v>21</v>
      </c>
      <c r="U26" s="714">
        <f t="shared" si="13"/>
        <v>100</v>
      </c>
      <c r="V26" s="713" t="s">
        <v>21</v>
      </c>
      <c r="W26" s="714">
        <f t="shared" si="14"/>
        <v>100</v>
      </c>
      <c r="X26" s="1489"/>
      <c r="Y26" s="3642"/>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49"/>
      <c r="Q27" s="1477">
        <f t="shared" si="11"/>
        <v>111</v>
      </c>
      <c r="R27" s="709" t="s">
        <v>21</v>
      </c>
      <c r="S27" s="710">
        <f t="shared" si="12"/>
        <v>100</v>
      </c>
      <c r="T27" s="709" t="s">
        <v>21</v>
      </c>
      <c r="U27" s="710">
        <f t="shared" si="13"/>
        <v>100</v>
      </c>
      <c r="V27" s="709" t="s">
        <v>21</v>
      </c>
      <c r="W27" s="710">
        <f t="shared" si="14"/>
        <v>100</v>
      </c>
      <c r="X27" s="711"/>
      <c r="Y27" s="3642"/>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49"/>
      <c r="Q28" s="1486">
        <f t="shared" si="11"/>
        <v>111</v>
      </c>
      <c r="R28" s="713" t="s">
        <v>21</v>
      </c>
      <c r="S28" s="714">
        <f t="shared" si="12"/>
        <v>100</v>
      </c>
      <c r="T28" s="713" t="s">
        <v>21</v>
      </c>
      <c r="U28" s="714">
        <f t="shared" si="13"/>
        <v>100</v>
      </c>
      <c r="V28" s="713" t="s">
        <v>21</v>
      </c>
      <c r="W28" s="714">
        <f t="shared" si="14"/>
        <v>100</v>
      </c>
      <c r="X28" s="1489"/>
      <c r="Y28" s="3642"/>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49"/>
      <c r="Q29" s="1486">
        <f t="shared" si="11"/>
        <v>111</v>
      </c>
      <c r="R29" s="713" t="s">
        <v>21</v>
      </c>
      <c r="S29" s="714">
        <f t="shared" si="12"/>
        <v>100</v>
      </c>
      <c r="T29" s="713" t="s">
        <v>21</v>
      </c>
      <c r="U29" s="714">
        <f t="shared" si="13"/>
        <v>100</v>
      </c>
      <c r="V29" s="713" t="s">
        <v>21</v>
      </c>
      <c r="W29" s="714">
        <f t="shared" si="14"/>
        <v>100</v>
      </c>
      <c r="X29" s="1489"/>
      <c r="Y29" s="3642"/>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49"/>
      <c r="Q30" s="1486">
        <f t="shared" si="11"/>
        <v>111</v>
      </c>
      <c r="R30" s="713" t="s">
        <v>21</v>
      </c>
      <c r="S30" s="714">
        <f t="shared" si="12"/>
        <v>100</v>
      </c>
      <c r="T30" s="713" t="s">
        <v>21</v>
      </c>
      <c r="U30" s="714">
        <f t="shared" si="13"/>
        <v>100</v>
      </c>
      <c r="V30" s="713" t="s">
        <v>21</v>
      </c>
      <c r="W30" s="714">
        <f t="shared" si="14"/>
        <v>100</v>
      </c>
      <c r="X30" s="1489"/>
      <c r="Y30" s="3642"/>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49"/>
      <c r="Q31" s="1486">
        <f t="shared" si="11"/>
        <v>111</v>
      </c>
      <c r="R31" s="713" t="s">
        <v>21</v>
      </c>
      <c r="S31" s="714">
        <f t="shared" si="12"/>
        <v>100</v>
      </c>
      <c r="T31" s="713" t="s">
        <v>21</v>
      </c>
      <c r="U31" s="714">
        <f t="shared" si="13"/>
        <v>100</v>
      </c>
      <c r="V31" s="713" t="s">
        <v>21</v>
      </c>
      <c r="W31" s="714">
        <f t="shared" si="14"/>
        <v>100</v>
      </c>
      <c r="X31" s="1489"/>
      <c r="Y31" s="3642"/>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643" t="s">
        <v>2145</v>
      </c>
      <c r="Q32" s="1486" t="str">
        <f t="shared" si="11"/>
        <v>建筑类型</v>
      </c>
      <c r="R32" s="713" t="s">
        <v>21</v>
      </c>
      <c r="S32" s="714">
        <f t="shared" si="12"/>
        <v>100</v>
      </c>
      <c r="T32" s="713" t="s">
        <v>21</v>
      </c>
      <c r="U32" s="714">
        <f t="shared" si="13"/>
        <v>100</v>
      </c>
      <c r="V32" s="713" t="s">
        <v>21</v>
      </c>
      <c r="W32" s="714">
        <f t="shared" si="14"/>
        <v>100</v>
      </c>
      <c r="X32" s="1489"/>
      <c r="Y32" s="3646"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644"/>
      <c r="Q33" s="715" t="str">
        <f t="shared" si="11"/>
        <v>项目建筑规模</v>
      </c>
      <c r="R33" s="716" t="s">
        <v>21</v>
      </c>
      <c r="S33" s="717" t="e">
        <f t="shared" si="12"/>
        <v>#N/A</v>
      </c>
      <c r="T33" s="716" t="s">
        <v>21</v>
      </c>
      <c r="U33" s="717" t="e">
        <f t="shared" si="13"/>
        <v>#N/A</v>
      </c>
      <c r="V33" s="716" t="s">
        <v>21</v>
      </c>
      <c r="W33" s="717" t="e">
        <f t="shared" si="14"/>
        <v>#N/A</v>
      </c>
      <c r="X33" s="718"/>
      <c r="Y33" s="3646"/>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644"/>
      <c r="Q34" s="1486" t="str">
        <f t="shared" si="11"/>
        <v>建筑结构</v>
      </c>
      <c r="R34" s="713" t="s">
        <v>21</v>
      </c>
      <c r="S34" s="714">
        <f t="shared" si="12"/>
        <v>100</v>
      </c>
      <c r="T34" s="713" t="s">
        <v>21</v>
      </c>
      <c r="U34" s="714">
        <f t="shared" si="13"/>
        <v>100</v>
      </c>
      <c r="V34" s="713" t="s">
        <v>21</v>
      </c>
      <c r="W34" s="714">
        <f t="shared" si="14"/>
        <v>100</v>
      </c>
      <c r="X34" s="1489"/>
      <c r="Y34" s="3646"/>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644"/>
      <c r="Q35" s="1486" t="str">
        <f t="shared" si="11"/>
        <v>建筑品质</v>
      </c>
      <c r="R35" s="713" t="s">
        <v>21</v>
      </c>
      <c r="S35" s="714">
        <f t="shared" si="12"/>
        <v>100</v>
      </c>
      <c r="T35" s="713" t="s">
        <v>21</v>
      </c>
      <c r="U35" s="714">
        <f t="shared" si="13"/>
        <v>100</v>
      </c>
      <c r="V35" s="713" t="s">
        <v>21</v>
      </c>
      <c r="W35" s="714">
        <f t="shared" si="14"/>
        <v>100</v>
      </c>
      <c r="X35" s="1489"/>
      <c r="Y35" s="3646"/>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644"/>
      <c r="Q36" s="1486" t="str">
        <f t="shared" si="11"/>
        <v>公共部分装修</v>
      </c>
      <c r="R36" s="713" t="s">
        <v>21</v>
      </c>
      <c r="S36" s="714">
        <f t="shared" si="12"/>
        <v>100</v>
      </c>
      <c r="T36" s="713" t="s">
        <v>21</v>
      </c>
      <c r="U36" s="714">
        <f t="shared" si="13"/>
        <v>100</v>
      </c>
      <c r="V36" s="713" t="s">
        <v>21</v>
      </c>
      <c r="W36" s="714">
        <f t="shared" si="14"/>
        <v>100</v>
      </c>
      <c r="X36" s="1489"/>
      <c r="Y36" s="3646"/>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644"/>
      <c r="Q37" s="1477" t="str">
        <f t="shared" si="11"/>
        <v>成新度</v>
      </c>
      <c r="R37" s="709" t="s">
        <v>21</v>
      </c>
      <c r="S37" s="710" t="e">
        <f t="shared" si="12"/>
        <v>#N/A</v>
      </c>
      <c r="T37" s="709" t="s">
        <v>21</v>
      </c>
      <c r="U37" s="710" t="e">
        <f t="shared" si="13"/>
        <v>#N/A</v>
      </c>
      <c r="V37" s="709" t="s">
        <v>21</v>
      </c>
      <c r="W37" s="710" t="e">
        <f t="shared" si="14"/>
        <v>#N/A</v>
      </c>
      <c r="X37" s="711"/>
      <c r="Y37" s="3646"/>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644" t="s">
        <v>2145</v>
      </c>
      <c r="Q38" s="1486" t="str">
        <f t="shared" si="11"/>
        <v>物业管理</v>
      </c>
      <c r="R38" s="713" t="s">
        <v>21</v>
      </c>
      <c r="S38" s="714">
        <f t="shared" si="12"/>
        <v>100</v>
      </c>
      <c r="T38" s="713" t="s">
        <v>21</v>
      </c>
      <c r="U38" s="714">
        <f t="shared" si="13"/>
        <v>100</v>
      </c>
      <c r="V38" s="713" t="s">
        <v>21</v>
      </c>
      <c r="W38" s="714">
        <f t="shared" si="14"/>
        <v>100</v>
      </c>
      <c r="X38" s="1489"/>
      <c r="Y38" s="3646"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644"/>
      <c r="Q39" s="1486" t="str">
        <f t="shared" si="11"/>
        <v>市政基础设施</v>
      </c>
      <c r="R39" s="713" t="s">
        <v>21</v>
      </c>
      <c r="S39" s="714">
        <f t="shared" si="12"/>
        <v>100</v>
      </c>
      <c r="T39" s="713" t="s">
        <v>21</v>
      </c>
      <c r="U39" s="714">
        <f t="shared" si="13"/>
        <v>100</v>
      </c>
      <c r="V39" s="713" t="s">
        <v>21</v>
      </c>
      <c r="W39" s="714">
        <f t="shared" si="14"/>
        <v>100</v>
      </c>
      <c r="X39" s="1489"/>
      <c r="Y39" s="3646"/>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644"/>
      <c r="Q40" s="1486" t="str">
        <f t="shared" si="11"/>
        <v>房型</v>
      </c>
      <c r="R40" s="713" t="s">
        <v>21</v>
      </c>
      <c r="S40" s="714">
        <f t="shared" si="12"/>
        <v>100</v>
      </c>
      <c r="T40" s="713" t="s">
        <v>21</v>
      </c>
      <c r="U40" s="714">
        <f t="shared" si="13"/>
        <v>100</v>
      </c>
      <c r="V40" s="713" t="s">
        <v>21</v>
      </c>
      <c r="W40" s="714">
        <f t="shared" si="14"/>
        <v>100</v>
      </c>
      <c r="X40" s="1489"/>
      <c r="Y40" s="3646"/>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644"/>
      <c r="Q41" s="715" t="str">
        <f t="shared" si="11"/>
        <v>单套/主力户型建筑面积</v>
      </c>
      <c r="R41" s="716" t="s">
        <v>21</v>
      </c>
      <c r="S41" s="717">
        <f t="shared" si="12"/>
        <v>100</v>
      </c>
      <c r="T41" s="716" t="s">
        <v>21</v>
      </c>
      <c r="U41" s="717">
        <f t="shared" si="13"/>
        <v>100</v>
      </c>
      <c r="V41" s="716" t="s">
        <v>21</v>
      </c>
      <c r="W41" s="717">
        <f t="shared" si="14"/>
        <v>100</v>
      </c>
      <c r="X41" s="718"/>
      <c r="Y41" s="3646"/>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644"/>
      <c r="Q42" s="1486" t="str">
        <f t="shared" si="11"/>
        <v>内部装修</v>
      </c>
      <c r="R42" s="713" t="s">
        <v>21</v>
      </c>
      <c r="S42" s="714">
        <f t="shared" si="12"/>
        <v>100</v>
      </c>
      <c r="T42" s="713" t="s">
        <v>21</v>
      </c>
      <c r="U42" s="714">
        <f t="shared" si="13"/>
        <v>100</v>
      </c>
      <c r="V42" s="713" t="s">
        <v>21</v>
      </c>
      <c r="W42" s="714">
        <f t="shared" si="14"/>
        <v>100</v>
      </c>
      <c r="X42" s="1489"/>
      <c r="Y42" s="3646"/>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644"/>
      <c r="Q43" s="1486" t="str">
        <f t="shared" si="11"/>
        <v>内部装修维护情况</v>
      </c>
      <c r="R43" s="713" t="s">
        <v>21</v>
      </c>
      <c r="S43" s="714">
        <f t="shared" si="12"/>
        <v>100</v>
      </c>
      <c r="T43" s="713" t="s">
        <v>21</v>
      </c>
      <c r="U43" s="714">
        <f t="shared" si="13"/>
        <v>100</v>
      </c>
      <c r="V43" s="713" t="s">
        <v>21</v>
      </c>
      <c r="W43" s="714">
        <f t="shared" si="14"/>
        <v>100</v>
      </c>
      <c r="X43" s="1489"/>
      <c r="Y43" s="3646"/>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644"/>
      <c r="Q44" s="1477">
        <f t="shared" si="11"/>
        <v>111</v>
      </c>
      <c r="R44" s="709" t="s">
        <v>21</v>
      </c>
      <c r="S44" s="710">
        <f t="shared" si="12"/>
        <v>100</v>
      </c>
      <c r="T44" s="709" t="s">
        <v>21</v>
      </c>
      <c r="U44" s="710">
        <f t="shared" si="13"/>
        <v>100</v>
      </c>
      <c r="V44" s="709" t="s">
        <v>21</v>
      </c>
      <c r="W44" s="710">
        <f t="shared" si="14"/>
        <v>100</v>
      </c>
      <c r="X44" s="711"/>
      <c r="Y44" s="3646"/>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644"/>
      <c r="Q45" s="1486">
        <f t="shared" si="11"/>
        <v>111</v>
      </c>
      <c r="R45" s="713" t="s">
        <v>21</v>
      </c>
      <c r="S45" s="714">
        <f t="shared" si="12"/>
        <v>100</v>
      </c>
      <c r="T45" s="713" t="s">
        <v>21</v>
      </c>
      <c r="U45" s="714">
        <f t="shared" si="13"/>
        <v>100</v>
      </c>
      <c r="V45" s="713" t="s">
        <v>21</v>
      </c>
      <c r="W45" s="714">
        <f t="shared" si="14"/>
        <v>100</v>
      </c>
      <c r="X45" s="1489"/>
      <c r="Y45" s="3646"/>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45"/>
      <c r="Q46" s="1486">
        <f t="shared" si="11"/>
        <v>111</v>
      </c>
      <c r="R46" s="713" t="s">
        <v>20</v>
      </c>
      <c r="S46" s="714">
        <f t="shared" si="12"/>
        <v>100</v>
      </c>
      <c r="T46" s="713" t="s">
        <v>20</v>
      </c>
      <c r="U46" s="714">
        <f t="shared" si="13"/>
        <v>100</v>
      </c>
      <c r="V46" s="713" t="s">
        <v>20</v>
      </c>
      <c r="W46" s="714">
        <f t="shared" si="14"/>
        <v>100</v>
      </c>
      <c r="X46" s="1489"/>
      <c r="Y46" s="3647"/>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639" t="str">
        <f>A47</f>
        <v>成交单价（元/平方米）</v>
      </c>
      <c r="Q47" s="3639"/>
      <c r="R47" s="3640">
        <f>E47</f>
        <v>0</v>
      </c>
      <c r="S47" s="3640"/>
      <c r="T47" s="3640">
        <f>G47</f>
        <v>0</v>
      </c>
      <c r="U47" s="3640"/>
      <c r="V47" s="3640">
        <f>I47</f>
        <v>0</v>
      </c>
      <c r="W47" s="3640"/>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636" t="str">
        <f>A49</f>
        <v>估价对象XX用房的比较价值（楼面单价，元/平方米）</v>
      </c>
      <c r="Q49" s="3637"/>
      <c r="R49" s="3638" t="e">
        <f>IF(F1="售价",ROUND(IF(D48="简单平均",AVERAGE(R48:V48),R48*F48+T48*H48+V48*J48),0),ROUND(IF(D48="简单平均",AVERAGE(R48:V48),R48*F48+T48*H48+V48*J48),1))</f>
        <v>#DIV/0!</v>
      </c>
      <c r="S49" s="3638"/>
      <c r="T49" s="3638"/>
      <c r="U49" s="3638"/>
      <c r="V49" s="3638"/>
      <c r="W49" s="3638"/>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622" t="s">
        <v>2226</v>
      </c>
      <c r="D4" s="3623"/>
      <c r="E4" s="3624" t="s">
        <v>2227</v>
      </c>
      <c r="F4" s="3625"/>
      <c r="G4" s="3622" t="s">
        <v>2228</v>
      </c>
      <c r="H4" s="3623"/>
      <c r="I4" s="3622" t="s">
        <v>2229</v>
      </c>
      <c r="J4" s="3623"/>
      <c r="K4" s="566" t="s">
        <v>2230</v>
      </c>
      <c r="L4" s="2893"/>
      <c r="M4" s="2894"/>
      <c r="N4" s="2894"/>
      <c r="O4" s="2894"/>
      <c r="P4" s="3626" t="s">
        <v>2231</v>
      </c>
      <c r="Q4" s="3627"/>
      <c r="R4" s="3609" t="s">
        <v>2227</v>
      </c>
      <c r="S4" s="3610"/>
      <c r="T4" s="3609" t="s">
        <v>2228</v>
      </c>
      <c r="U4" s="3610"/>
      <c r="V4" s="3634" t="s">
        <v>2229</v>
      </c>
      <c r="W4" s="3634"/>
      <c r="X4" s="1489"/>
      <c r="Y4" s="3609" t="s">
        <v>2231</v>
      </c>
      <c r="Z4" s="3610"/>
      <c r="AA4" s="3604" t="s">
        <v>2227</v>
      </c>
      <c r="AB4" s="3634" t="s">
        <v>2228</v>
      </c>
      <c r="AC4" s="3604" t="s">
        <v>2229</v>
      </c>
    </row>
    <row r="5" spans="1:29" ht="15">
      <c r="A5" s="363"/>
      <c r="B5" s="364"/>
      <c r="C5" s="3615" t="s">
        <v>2122</v>
      </c>
      <c r="D5" s="3616"/>
      <c r="E5" s="3613" t="s">
        <v>2123</v>
      </c>
      <c r="F5" s="3614"/>
      <c r="G5" s="3615" t="s">
        <v>2124</v>
      </c>
      <c r="H5" s="3616"/>
      <c r="I5" s="3615" t="s">
        <v>2125</v>
      </c>
      <c r="J5" s="3616"/>
      <c r="K5" s="566"/>
      <c r="L5" s="2893"/>
      <c r="M5" s="2894"/>
      <c r="N5" s="2894"/>
      <c r="O5" s="2894"/>
      <c r="P5" s="3628"/>
      <c r="Q5" s="3629"/>
      <c r="R5" s="3611"/>
      <c r="S5" s="3612"/>
      <c r="T5" s="3611"/>
      <c r="U5" s="3612"/>
      <c r="V5" s="3634"/>
      <c r="W5" s="3634"/>
      <c r="X5" s="1489"/>
      <c r="Y5" s="3611"/>
      <c r="Z5" s="3612"/>
      <c r="AA5" s="3605"/>
      <c r="AB5" s="3634"/>
      <c r="AC5" s="3605"/>
    </row>
    <row r="6" spans="1:29" ht="15.75" thickBot="1">
      <c r="A6" s="365"/>
      <c r="B6" s="366"/>
      <c r="C6" s="3617" t="s">
        <v>2126</v>
      </c>
      <c r="D6" s="3618"/>
      <c r="E6" s="3619" t="s">
        <v>2126</v>
      </c>
      <c r="F6" s="3620"/>
      <c r="G6" s="3617" t="s">
        <v>2126</v>
      </c>
      <c r="H6" s="3618"/>
      <c r="I6" s="3617" t="s">
        <v>2126</v>
      </c>
      <c r="J6" s="3618"/>
      <c r="K6" s="566" t="s">
        <v>2127</v>
      </c>
      <c r="L6" s="2893"/>
      <c r="M6" s="2894"/>
      <c r="N6" s="2894"/>
      <c r="O6" s="2894"/>
      <c r="P6" s="3630"/>
      <c r="Q6" s="3631"/>
      <c r="R6" s="3611"/>
      <c r="S6" s="3612"/>
      <c r="T6" s="3632"/>
      <c r="U6" s="3633"/>
      <c r="V6" s="3634"/>
      <c r="W6" s="3634"/>
      <c r="X6" s="1489"/>
      <c r="Y6" s="3632"/>
      <c r="Z6" s="3633"/>
      <c r="AA6" s="3606"/>
      <c r="AB6" s="3634"/>
      <c r="AC6" s="3606"/>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567"/>
      <c r="L7" s="2895"/>
      <c r="M7" s="2896"/>
      <c r="N7" s="2896"/>
      <c r="O7" s="2896"/>
      <c r="P7" s="3607" t="s">
        <v>2129</v>
      </c>
      <c r="Q7" s="3635"/>
      <c r="R7" s="709" t="s">
        <v>17</v>
      </c>
      <c r="S7" s="710">
        <f t="shared" ref="S7:S15" si="0">F7</f>
        <v>0</v>
      </c>
      <c r="T7" s="709" t="s">
        <v>17</v>
      </c>
      <c r="U7" s="710">
        <f t="shared" ref="U7:U15" si="1">H7</f>
        <v>0</v>
      </c>
      <c r="V7" s="709" t="s">
        <v>17</v>
      </c>
      <c r="W7" s="710">
        <f t="shared" ref="W7:W15" si="2">J7</f>
        <v>0</v>
      </c>
      <c r="X7" s="711"/>
      <c r="Y7" s="3607" t="s">
        <v>2129</v>
      </c>
      <c r="Z7" s="3608"/>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607" t="s">
        <v>2132</v>
      </c>
      <c r="Q8" s="3608"/>
      <c r="R8" s="709" t="s">
        <v>17</v>
      </c>
      <c r="S8" s="710">
        <f t="shared" si="0"/>
        <v>0</v>
      </c>
      <c r="T8" s="709" t="s">
        <v>17</v>
      </c>
      <c r="U8" s="710">
        <f t="shared" si="1"/>
        <v>0</v>
      </c>
      <c r="V8" s="709" t="s">
        <v>17</v>
      </c>
      <c r="W8" s="710">
        <f t="shared" si="2"/>
        <v>0</v>
      </c>
      <c r="X8" s="711"/>
      <c r="Y8" s="3607" t="s">
        <v>2132</v>
      </c>
      <c r="Z8" s="3608"/>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621"/>
      <c r="Q11" s="1477" t="str">
        <f t="shared" si="6"/>
        <v>容积率</v>
      </c>
      <c r="R11" s="709" t="s">
        <v>17</v>
      </c>
      <c r="S11" s="710" t="e">
        <f t="shared" si="0"/>
        <v>#N/A</v>
      </c>
      <c r="T11" s="709" t="s">
        <v>17</v>
      </c>
      <c r="U11" s="710" t="e">
        <f t="shared" si="1"/>
        <v>#N/A</v>
      </c>
      <c r="V11" s="709" t="s">
        <v>17</v>
      </c>
      <c r="W11" s="710" t="e">
        <f t="shared" si="2"/>
        <v>#N/A</v>
      </c>
      <c r="X11" s="711"/>
      <c r="Y11" s="3551"/>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621"/>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621"/>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621"/>
      <c r="Q14" s="1477">
        <f t="shared" si="6"/>
        <v>111</v>
      </c>
      <c r="R14" s="709" t="s">
        <v>17</v>
      </c>
      <c r="S14" s="710">
        <f t="shared" si="0"/>
        <v>100</v>
      </c>
      <c r="T14" s="709" t="s">
        <v>17</v>
      </c>
      <c r="U14" s="710">
        <f t="shared" si="1"/>
        <v>100</v>
      </c>
      <c r="V14" s="709" t="s">
        <v>17</v>
      </c>
      <c r="W14" s="710">
        <f t="shared" si="2"/>
        <v>100</v>
      </c>
      <c r="X14" s="711"/>
      <c r="Y14" s="3551"/>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48" t="s">
        <v>2140</v>
      </c>
      <c r="Q15" s="1486" t="str">
        <f t="shared" si="6"/>
        <v>商业繁华度</v>
      </c>
      <c r="R15" s="713" t="s">
        <v>17</v>
      </c>
      <c r="S15" s="714">
        <f t="shared" si="0"/>
        <v>100</v>
      </c>
      <c r="T15" s="713" t="s">
        <v>17</v>
      </c>
      <c r="U15" s="714">
        <f t="shared" si="1"/>
        <v>100</v>
      </c>
      <c r="V15" s="713" t="s">
        <v>17</v>
      </c>
      <c r="W15" s="714">
        <f t="shared" si="2"/>
        <v>100</v>
      </c>
      <c r="X15" s="1489"/>
      <c r="Y15" s="3641"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49"/>
      <c r="Q16" s="1486"/>
      <c r="R16" s="713"/>
      <c r="S16" s="714"/>
      <c r="T16" s="713"/>
      <c r="U16" s="714"/>
      <c r="V16" s="713"/>
      <c r="W16" s="714"/>
      <c r="X16" s="1489"/>
      <c r="Y16" s="3642"/>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49"/>
      <c r="Q17" s="1486" t="str">
        <f>B17</f>
        <v>交通便捷度</v>
      </c>
      <c r="R17" s="713" t="s">
        <v>17</v>
      </c>
      <c r="S17" s="714">
        <f>F17</f>
        <v>100</v>
      </c>
      <c r="T17" s="713" t="s">
        <v>17</v>
      </c>
      <c r="U17" s="714">
        <f>H17</f>
        <v>100</v>
      </c>
      <c r="V17" s="713" t="s">
        <v>17</v>
      </c>
      <c r="W17" s="714">
        <f>J17</f>
        <v>100</v>
      </c>
      <c r="X17" s="1489"/>
      <c r="Y17" s="3642"/>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49"/>
      <c r="Q18" s="1486"/>
      <c r="R18" s="713"/>
      <c r="S18" s="714"/>
      <c r="T18" s="713"/>
      <c r="U18" s="714"/>
      <c r="V18" s="713"/>
      <c r="W18" s="714"/>
      <c r="X18" s="1489"/>
      <c r="Y18" s="3642"/>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49"/>
      <c r="Q19" s="1486" t="str">
        <f>B19</f>
        <v>公共配套设施</v>
      </c>
      <c r="R19" s="713" t="s">
        <v>17</v>
      </c>
      <c r="S19" s="714">
        <f>F19</f>
        <v>100</v>
      </c>
      <c r="T19" s="713" t="s">
        <v>17</v>
      </c>
      <c r="U19" s="714">
        <f>H19</f>
        <v>100</v>
      </c>
      <c r="V19" s="713" t="s">
        <v>17</v>
      </c>
      <c r="W19" s="714">
        <f>J19</f>
        <v>100</v>
      </c>
      <c r="X19" s="1489"/>
      <c r="Y19" s="3642"/>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49"/>
      <c r="Q20" s="1486"/>
      <c r="R20" s="713"/>
      <c r="S20" s="714"/>
      <c r="T20" s="713"/>
      <c r="U20" s="714"/>
      <c r="V20" s="713"/>
      <c r="W20" s="714"/>
      <c r="X20" s="1489"/>
      <c r="Y20" s="3642"/>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49"/>
      <c r="Q21" s="1486" t="str">
        <f>B21</f>
        <v>基础设施水平</v>
      </c>
      <c r="R21" s="713" t="s">
        <v>17</v>
      </c>
      <c r="S21" s="714">
        <f>F21</f>
        <v>100</v>
      </c>
      <c r="T21" s="713" t="s">
        <v>17</v>
      </c>
      <c r="U21" s="714">
        <f>H21</f>
        <v>100</v>
      </c>
      <c r="V21" s="713" t="s">
        <v>17</v>
      </c>
      <c r="W21" s="714">
        <f>J21</f>
        <v>100</v>
      </c>
      <c r="X21" s="1489"/>
      <c r="Y21" s="3642"/>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49"/>
      <c r="Q22" s="1486"/>
      <c r="R22" s="713"/>
      <c r="S22" s="714"/>
      <c r="T22" s="713"/>
      <c r="U22" s="714"/>
      <c r="V22" s="713"/>
      <c r="W22" s="714"/>
      <c r="X22" s="1489"/>
      <c r="Y22" s="3642"/>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49"/>
      <c r="Q23" s="1486" t="str">
        <f>B23</f>
        <v>自然及人文环境</v>
      </c>
      <c r="R23" s="713" t="s">
        <v>17</v>
      </c>
      <c r="S23" s="714">
        <f>F23</f>
        <v>100</v>
      </c>
      <c r="T23" s="713" t="s">
        <v>17</v>
      </c>
      <c r="U23" s="714">
        <f>H23</f>
        <v>100</v>
      </c>
      <c r="V23" s="713" t="s">
        <v>17</v>
      </c>
      <c r="W23" s="714">
        <f>J23</f>
        <v>100</v>
      </c>
      <c r="X23" s="1489"/>
      <c r="Y23" s="3642"/>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49"/>
      <c r="Q24" s="1486"/>
      <c r="R24" s="713"/>
      <c r="S24" s="714"/>
      <c r="T24" s="713"/>
      <c r="U24" s="714"/>
      <c r="V24" s="713"/>
      <c r="W24" s="714"/>
      <c r="X24" s="1489"/>
      <c r="Y24" s="3642"/>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49"/>
      <c r="Q25" s="1486" t="str">
        <f t="shared" ref="Q25:Q46" si="11">B25</f>
        <v>临街状况</v>
      </c>
      <c r="R25" s="713" t="s">
        <v>17</v>
      </c>
      <c r="S25" s="714">
        <f>F25</f>
        <v>100</v>
      </c>
      <c r="T25" s="713" t="s">
        <v>17</v>
      </c>
      <c r="U25" s="714">
        <f>H25</f>
        <v>100</v>
      </c>
      <c r="V25" s="713" t="s">
        <v>17</v>
      </c>
      <c r="W25" s="714">
        <f>J25</f>
        <v>100</v>
      </c>
      <c r="X25" s="1489"/>
      <c r="Y25" s="3642"/>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49"/>
      <c r="Q26" s="1486" t="str">
        <f t="shared" si="11"/>
        <v>平面位置/可视性</v>
      </c>
      <c r="R26" s="713" t="s">
        <v>17</v>
      </c>
      <c r="S26" s="714">
        <f>F26</f>
        <v>100</v>
      </c>
      <c r="T26" s="713" t="s">
        <v>17</v>
      </c>
      <c r="U26" s="714">
        <f>H26</f>
        <v>100</v>
      </c>
      <c r="V26" s="713" t="s">
        <v>17</v>
      </c>
      <c r="W26" s="714">
        <f>J26</f>
        <v>100</v>
      </c>
      <c r="X26" s="1489"/>
      <c r="Y26" s="3642"/>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49"/>
      <c r="Q27" s="1477" t="str">
        <f t="shared" si="11"/>
        <v>人流量</v>
      </c>
      <c r="R27" s="709" t="s">
        <v>17</v>
      </c>
      <c r="S27" s="710">
        <f>F27</f>
        <v>100</v>
      </c>
      <c r="T27" s="709" t="s">
        <v>17</v>
      </c>
      <c r="U27" s="710">
        <f>H27</f>
        <v>100</v>
      </c>
      <c r="V27" s="709" t="s">
        <v>17</v>
      </c>
      <c r="W27" s="710">
        <f>J27</f>
        <v>100</v>
      </c>
      <c r="X27" s="711"/>
      <c r="Y27" s="3642"/>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49"/>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642"/>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49"/>
      <c r="Q29" s="1486">
        <f t="shared" si="11"/>
        <v>111</v>
      </c>
      <c r="R29" s="713" t="s">
        <v>17</v>
      </c>
      <c r="S29" s="714">
        <f t="shared" si="12"/>
        <v>100</v>
      </c>
      <c r="T29" s="713" t="s">
        <v>17</v>
      </c>
      <c r="U29" s="714">
        <f t="shared" si="13"/>
        <v>100</v>
      </c>
      <c r="V29" s="713" t="s">
        <v>17</v>
      </c>
      <c r="W29" s="714">
        <f t="shared" si="14"/>
        <v>100</v>
      </c>
      <c r="X29" s="1489"/>
      <c r="Y29" s="3642"/>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49"/>
      <c r="Q30" s="1486">
        <f t="shared" si="11"/>
        <v>111</v>
      </c>
      <c r="R30" s="713" t="s">
        <v>17</v>
      </c>
      <c r="S30" s="714">
        <f t="shared" si="12"/>
        <v>100</v>
      </c>
      <c r="T30" s="713" t="s">
        <v>17</v>
      </c>
      <c r="U30" s="714">
        <f t="shared" si="13"/>
        <v>100</v>
      </c>
      <c r="V30" s="713" t="s">
        <v>17</v>
      </c>
      <c r="W30" s="714">
        <f t="shared" si="14"/>
        <v>100</v>
      </c>
      <c r="X30" s="1489"/>
      <c r="Y30" s="3642"/>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49"/>
      <c r="Q31" s="1486">
        <f t="shared" si="11"/>
        <v>111</v>
      </c>
      <c r="R31" s="713" t="s">
        <v>17</v>
      </c>
      <c r="S31" s="714">
        <f t="shared" si="12"/>
        <v>100</v>
      </c>
      <c r="T31" s="713" t="s">
        <v>17</v>
      </c>
      <c r="U31" s="714">
        <f t="shared" si="13"/>
        <v>100</v>
      </c>
      <c r="V31" s="713" t="s">
        <v>17</v>
      </c>
      <c r="W31" s="714">
        <f t="shared" si="14"/>
        <v>100</v>
      </c>
      <c r="X31" s="1489"/>
      <c r="Y31" s="3642"/>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643" t="s">
        <v>2145</v>
      </c>
      <c r="Q32" s="1486" t="str">
        <f t="shared" si="11"/>
        <v>商业类型</v>
      </c>
      <c r="R32" s="713" t="s">
        <v>17</v>
      </c>
      <c r="S32" s="714">
        <f t="shared" si="12"/>
        <v>100</v>
      </c>
      <c r="T32" s="713" t="s">
        <v>17</v>
      </c>
      <c r="U32" s="714">
        <f t="shared" si="13"/>
        <v>100</v>
      </c>
      <c r="V32" s="713" t="s">
        <v>17</v>
      </c>
      <c r="W32" s="714">
        <f t="shared" si="14"/>
        <v>100</v>
      </c>
      <c r="X32" s="1489"/>
      <c r="Y32" s="3646"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644"/>
      <c r="Q33" s="715" t="str">
        <f t="shared" si="11"/>
        <v>项目建筑规模</v>
      </c>
      <c r="R33" s="716" t="s">
        <v>17</v>
      </c>
      <c r="S33" s="717" t="e">
        <f t="shared" si="12"/>
        <v>#N/A</v>
      </c>
      <c r="T33" s="716" t="s">
        <v>17</v>
      </c>
      <c r="U33" s="717" t="e">
        <f t="shared" si="13"/>
        <v>#N/A</v>
      </c>
      <c r="V33" s="716" t="s">
        <v>17</v>
      </c>
      <c r="W33" s="717" t="e">
        <f t="shared" si="14"/>
        <v>#N/A</v>
      </c>
      <c r="X33" s="718"/>
      <c r="Y33" s="3646"/>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644"/>
      <c r="Q34" s="1486" t="str">
        <f t="shared" si="11"/>
        <v>建筑结构</v>
      </c>
      <c r="R34" s="713" t="s">
        <v>17</v>
      </c>
      <c r="S34" s="714">
        <f t="shared" si="12"/>
        <v>100</v>
      </c>
      <c r="T34" s="713" t="s">
        <v>17</v>
      </c>
      <c r="U34" s="714">
        <f t="shared" si="13"/>
        <v>100</v>
      </c>
      <c r="V34" s="713" t="s">
        <v>17</v>
      </c>
      <c r="W34" s="714">
        <f t="shared" si="14"/>
        <v>100</v>
      </c>
      <c r="X34" s="1489"/>
      <c r="Y34" s="3646"/>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644"/>
      <c r="Q35" s="1486" t="str">
        <f t="shared" si="11"/>
        <v>公共部分装修</v>
      </c>
      <c r="R35" s="713" t="s">
        <v>17</v>
      </c>
      <c r="S35" s="714">
        <f t="shared" si="12"/>
        <v>100</v>
      </c>
      <c r="T35" s="713" t="s">
        <v>17</v>
      </c>
      <c r="U35" s="714">
        <f t="shared" si="13"/>
        <v>100</v>
      </c>
      <c r="V35" s="713" t="s">
        <v>17</v>
      </c>
      <c r="W35" s="714">
        <f t="shared" si="14"/>
        <v>100</v>
      </c>
      <c r="X35" s="1489"/>
      <c r="Y35" s="3646"/>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644"/>
      <c r="Q36" s="1486" t="str">
        <f t="shared" si="11"/>
        <v>成新度</v>
      </c>
      <c r="R36" s="713" t="s">
        <v>17</v>
      </c>
      <c r="S36" s="714" t="e">
        <f t="shared" si="12"/>
        <v>#N/A</v>
      </c>
      <c r="T36" s="713" t="s">
        <v>17</v>
      </c>
      <c r="U36" s="714" t="e">
        <f t="shared" si="13"/>
        <v>#N/A</v>
      </c>
      <c r="V36" s="713" t="s">
        <v>17</v>
      </c>
      <c r="W36" s="714" t="e">
        <f t="shared" si="14"/>
        <v>#N/A</v>
      </c>
      <c r="X36" s="1489"/>
      <c r="Y36" s="3646"/>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644"/>
      <c r="Q37" s="1477" t="str">
        <f t="shared" si="11"/>
        <v>市政基础设施</v>
      </c>
      <c r="R37" s="709" t="s">
        <v>17</v>
      </c>
      <c r="S37" s="710">
        <f t="shared" si="12"/>
        <v>100</v>
      </c>
      <c r="T37" s="709" t="s">
        <v>17</v>
      </c>
      <c r="U37" s="710">
        <f t="shared" si="13"/>
        <v>100</v>
      </c>
      <c r="V37" s="709" t="s">
        <v>17</v>
      </c>
      <c r="W37" s="710">
        <f t="shared" si="14"/>
        <v>100</v>
      </c>
      <c r="X37" s="711"/>
      <c r="Y37" s="3646"/>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644" t="s">
        <v>2145</v>
      </c>
      <c r="Q38" s="1486" t="str">
        <f t="shared" si="11"/>
        <v>业态</v>
      </c>
      <c r="R38" s="713" t="s">
        <v>17</v>
      </c>
      <c r="S38" s="714">
        <f t="shared" si="12"/>
        <v>100</v>
      </c>
      <c r="T38" s="713" t="s">
        <v>17</v>
      </c>
      <c r="U38" s="714">
        <f t="shared" si="13"/>
        <v>100</v>
      </c>
      <c r="V38" s="713" t="s">
        <v>17</v>
      </c>
      <c r="W38" s="714">
        <f t="shared" si="14"/>
        <v>100</v>
      </c>
      <c r="X38" s="1489"/>
      <c r="Y38" s="3646"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644"/>
      <c r="Q39" s="1486" t="str">
        <f t="shared" si="11"/>
        <v>层高</v>
      </c>
      <c r="R39" s="713" t="s">
        <v>17</v>
      </c>
      <c r="S39" s="714">
        <f t="shared" si="12"/>
        <v>100</v>
      </c>
      <c r="T39" s="713" t="s">
        <v>17</v>
      </c>
      <c r="U39" s="714">
        <f t="shared" si="13"/>
        <v>100</v>
      </c>
      <c r="V39" s="713" t="s">
        <v>17</v>
      </c>
      <c r="W39" s="714">
        <f t="shared" si="14"/>
        <v>100</v>
      </c>
      <c r="X39" s="1489"/>
      <c r="Y39" s="3646"/>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644"/>
      <c r="Q40" s="1486" t="str">
        <f t="shared" si="11"/>
        <v>单套建筑面积</v>
      </c>
      <c r="R40" s="713" t="s">
        <v>17</v>
      </c>
      <c r="S40" s="714">
        <f t="shared" si="12"/>
        <v>100</v>
      </c>
      <c r="T40" s="713" t="s">
        <v>17</v>
      </c>
      <c r="U40" s="714">
        <f t="shared" si="13"/>
        <v>100</v>
      </c>
      <c r="V40" s="713" t="s">
        <v>17</v>
      </c>
      <c r="W40" s="714">
        <f t="shared" si="14"/>
        <v>100</v>
      </c>
      <c r="X40" s="1489"/>
      <c r="Y40" s="3646"/>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644"/>
      <c r="Q41" s="715" t="str">
        <f t="shared" si="11"/>
        <v>进深比</v>
      </c>
      <c r="R41" s="716" t="s">
        <v>17</v>
      </c>
      <c r="S41" s="717">
        <f t="shared" si="12"/>
        <v>100</v>
      </c>
      <c r="T41" s="716" t="s">
        <v>17</v>
      </c>
      <c r="U41" s="717">
        <f t="shared" si="13"/>
        <v>100</v>
      </c>
      <c r="V41" s="716" t="s">
        <v>17</v>
      </c>
      <c r="W41" s="717">
        <f t="shared" si="14"/>
        <v>100</v>
      </c>
      <c r="X41" s="718"/>
      <c r="Y41" s="3646"/>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644"/>
      <c r="Q42" s="1486" t="str">
        <f t="shared" si="11"/>
        <v>内部装修</v>
      </c>
      <c r="R42" s="713" t="s">
        <v>17</v>
      </c>
      <c r="S42" s="714">
        <f t="shared" si="12"/>
        <v>100</v>
      </c>
      <c r="T42" s="713" t="s">
        <v>17</v>
      </c>
      <c r="U42" s="714">
        <f t="shared" si="13"/>
        <v>100</v>
      </c>
      <c r="V42" s="713" t="s">
        <v>17</v>
      </c>
      <c r="W42" s="714">
        <f t="shared" si="14"/>
        <v>100</v>
      </c>
      <c r="X42" s="1489"/>
      <c r="Y42" s="3646"/>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644"/>
      <c r="Q43" s="1486" t="str">
        <f t="shared" si="11"/>
        <v>内部装修维护情况</v>
      </c>
      <c r="R43" s="713" t="s">
        <v>17</v>
      </c>
      <c r="S43" s="714">
        <f t="shared" si="12"/>
        <v>100</v>
      </c>
      <c r="T43" s="713" t="s">
        <v>17</v>
      </c>
      <c r="U43" s="714">
        <f t="shared" si="13"/>
        <v>100</v>
      </c>
      <c r="V43" s="713" t="s">
        <v>17</v>
      </c>
      <c r="W43" s="714">
        <f t="shared" si="14"/>
        <v>100</v>
      </c>
      <c r="X43" s="1489"/>
      <c r="Y43" s="3646"/>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644"/>
      <c r="Q44" s="1477">
        <f t="shared" si="11"/>
        <v>111</v>
      </c>
      <c r="R44" s="709" t="s">
        <v>17</v>
      </c>
      <c r="S44" s="710">
        <f t="shared" si="12"/>
        <v>100</v>
      </c>
      <c r="T44" s="709" t="s">
        <v>17</v>
      </c>
      <c r="U44" s="710">
        <f t="shared" si="13"/>
        <v>100</v>
      </c>
      <c r="V44" s="709" t="s">
        <v>17</v>
      </c>
      <c r="W44" s="710">
        <f t="shared" si="14"/>
        <v>100</v>
      </c>
      <c r="X44" s="711"/>
      <c r="Y44" s="3646"/>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644"/>
      <c r="Q45" s="1486">
        <f t="shared" si="11"/>
        <v>111</v>
      </c>
      <c r="R45" s="713" t="s">
        <v>17</v>
      </c>
      <c r="S45" s="714">
        <f t="shared" si="12"/>
        <v>100</v>
      </c>
      <c r="T45" s="713" t="s">
        <v>17</v>
      </c>
      <c r="U45" s="714">
        <f t="shared" si="13"/>
        <v>100</v>
      </c>
      <c r="V45" s="713" t="s">
        <v>17</v>
      </c>
      <c r="W45" s="714">
        <f t="shared" si="14"/>
        <v>100</v>
      </c>
      <c r="X45" s="1489"/>
      <c r="Y45" s="3646"/>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45"/>
      <c r="Q46" s="1486">
        <f t="shared" si="11"/>
        <v>111</v>
      </c>
      <c r="R46" s="713" t="s">
        <v>17</v>
      </c>
      <c r="S46" s="714">
        <f t="shared" si="12"/>
        <v>100</v>
      </c>
      <c r="T46" s="713" t="s">
        <v>17</v>
      </c>
      <c r="U46" s="714">
        <f t="shared" si="13"/>
        <v>100</v>
      </c>
      <c r="V46" s="713" t="s">
        <v>17</v>
      </c>
      <c r="W46" s="714">
        <f t="shared" si="14"/>
        <v>100</v>
      </c>
      <c r="X46" s="1489"/>
      <c r="Y46" s="3647"/>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639" t="str">
        <f>A47</f>
        <v>成交单价（元/平方米）</v>
      </c>
      <c r="Q47" s="3639"/>
      <c r="R47" s="3634">
        <f>E47</f>
        <v>0</v>
      </c>
      <c r="S47" s="3634"/>
      <c r="T47" s="3634">
        <f>G47</f>
        <v>0</v>
      </c>
      <c r="U47" s="3634"/>
      <c r="V47" s="3634">
        <f>I47</f>
        <v>0</v>
      </c>
      <c r="W47" s="3634"/>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636" t="str">
        <f>A49</f>
        <v>估价对象XX用房的比较价值（楼面单价，元/平方米）</v>
      </c>
      <c r="Q49" s="3637"/>
      <c r="R49" s="3638" t="e">
        <f>IF(F1="售价",ROUND(IF(D48="简单平均",AVERAGE(R48:V48),R48*F48+T48*H48+V48*J48),0),ROUND(IF(D48="简单平均",AVERAGE(R48:V48),R48*F48+T48*H48+V48*J48),1))</f>
        <v>#DIV/0!</v>
      </c>
      <c r="S49" s="3638"/>
      <c r="T49" s="3638"/>
      <c r="U49" s="3638"/>
      <c r="V49" s="3638"/>
      <c r="W49" s="3638"/>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2022年11月9日（评估专业人员实地查勘之日）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622" t="s">
        <v>2226</v>
      </c>
      <c r="D4" s="3623"/>
      <c r="E4" s="3624" t="s">
        <v>2227</v>
      </c>
      <c r="F4" s="3625"/>
      <c r="G4" s="3622" t="s">
        <v>2228</v>
      </c>
      <c r="H4" s="3623"/>
      <c r="I4" s="3622" t="s">
        <v>2229</v>
      </c>
      <c r="J4" s="3623"/>
      <c r="K4" s="566" t="s">
        <v>2230</v>
      </c>
      <c r="L4" s="2893"/>
      <c r="M4" s="2894"/>
      <c r="N4" s="2894"/>
      <c r="O4" s="2894"/>
      <c r="P4" s="3656" t="s">
        <v>2231</v>
      </c>
      <c r="Q4" s="3657"/>
      <c r="R4" s="3651" t="s">
        <v>2227</v>
      </c>
      <c r="S4" s="3652"/>
      <c r="T4" s="3651" t="s">
        <v>2228</v>
      </c>
      <c r="U4" s="3652"/>
      <c r="V4" s="3660" t="s">
        <v>2229</v>
      </c>
      <c r="W4" s="3660"/>
      <c r="X4" s="2094"/>
      <c r="Y4" s="3651" t="s">
        <v>2231</v>
      </c>
      <c r="Z4" s="3652"/>
      <c r="AA4" s="3650" t="s">
        <v>2227</v>
      </c>
      <c r="AB4" s="3650" t="s">
        <v>2228</v>
      </c>
      <c r="AC4" s="3653" t="s">
        <v>2229</v>
      </c>
    </row>
    <row r="5" spans="1:29" ht="15">
      <c r="A5" s="363"/>
      <c r="B5" s="364"/>
      <c r="C5" s="3615" t="s">
        <v>2122</v>
      </c>
      <c r="D5" s="3616"/>
      <c r="E5" s="3613" t="s">
        <v>2123</v>
      </c>
      <c r="F5" s="3614"/>
      <c r="G5" s="3615" t="s">
        <v>2124</v>
      </c>
      <c r="H5" s="3616"/>
      <c r="I5" s="3615" t="s">
        <v>2125</v>
      </c>
      <c r="J5" s="3616"/>
      <c r="K5" s="566"/>
      <c r="L5" s="2893"/>
      <c r="M5" s="2894"/>
      <c r="N5" s="2894"/>
      <c r="O5" s="2894"/>
      <c r="P5" s="3658"/>
      <c r="Q5" s="3629"/>
      <c r="R5" s="3611"/>
      <c r="S5" s="3612"/>
      <c r="T5" s="3611"/>
      <c r="U5" s="3612"/>
      <c r="V5" s="3634"/>
      <c r="W5" s="3634"/>
      <c r="X5" s="1489"/>
      <c r="Y5" s="3611"/>
      <c r="Z5" s="3612"/>
      <c r="AA5" s="3605"/>
      <c r="AB5" s="3605"/>
      <c r="AC5" s="3654"/>
    </row>
    <row r="6" spans="1:29" ht="15.75" thickBot="1">
      <c r="A6" s="365"/>
      <c r="B6" s="366"/>
      <c r="C6" s="3617" t="s">
        <v>2126</v>
      </c>
      <c r="D6" s="3618"/>
      <c r="E6" s="3619" t="s">
        <v>2126</v>
      </c>
      <c r="F6" s="3620"/>
      <c r="G6" s="3617" t="s">
        <v>2126</v>
      </c>
      <c r="H6" s="3618"/>
      <c r="I6" s="3617" t="s">
        <v>2126</v>
      </c>
      <c r="J6" s="3618"/>
      <c r="K6" s="566" t="s">
        <v>2127</v>
      </c>
      <c r="L6" s="2893"/>
      <c r="M6" s="2894"/>
      <c r="N6" s="2894"/>
      <c r="O6" s="2894"/>
      <c r="P6" s="3659"/>
      <c r="Q6" s="3631"/>
      <c r="R6" s="3611"/>
      <c r="S6" s="3612"/>
      <c r="T6" s="3632"/>
      <c r="U6" s="3633"/>
      <c r="V6" s="3634"/>
      <c r="W6" s="3634"/>
      <c r="X6" s="1489"/>
      <c r="Y6" s="3632"/>
      <c r="Z6" s="3633"/>
      <c r="AA6" s="3606"/>
      <c r="AB6" s="3606"/>
      <c r="AC6" s="3655"/>
    </row>
    <row r="7" spans="1:29" s="112" customFormat="1" ht="15.75" thickBot="1">
      <c r="A7" s="367" t="s">
        <v>2128</v>
      </c>
      <c r="B7" s="368"/>
      <c r="C7" s="369">
        <f>'数据-取费表'!B2</f>
        <v>44874</v>
      </c>
      <c r="D7" s="370">
        <v>100</v>
      </c>
      <c r="E7" s="371"/>
      <c r="F7" s="372">
        <f>SUMIF(59:59,YEAR(E7)&amp;"-"&amp;MONTH(E7),60:60)</f>
        <v>0</v>
      </c>
      <c r="G7" s="371"/>
      <c r="H7" s="370">
        <f>SUMIF(59:59,YEAR(G7)&amp;"-"&amp;MONTH(G7),60:60)</f>
        <v>0</v>
      </c>
      <c r="I7" s="371"/>
      <c r="J7" s="370">
        <f>SUMIF(59:59,YEAR(I7)&amp;"-"&amp;MONTH(I7),60:60)</f>
        <v>0</v>
      </c>
      <c r="K7" s="567"/>
      <c r="L7" s="2895"/>
      <c r="M7" s="2896"/>
      <c r="N7" s="2896"/>
      <c r="O7" s="2896"/>
      <c r="P7" s="3661" t="s">
        <v>2129</v>
      </c>
      <c r="Q7" s="3635"/>
      <c r="R7" s="709" t="s">
        <v>17</v>
      </c>
      <c r="S7" s="710">
        <f t="shared" ref="S7:S15" si="0">F7</f>
        <v>0</v>
      </c>
      <c r="T7" s="709" t="s">
        <v>17</v>
      </c>
      <c r="U7" s="710">
        <f t="shared" ref="U7:U15" si="1">H7</f>
        <v>0</v>
      </c>
      <c r="V7" s="709" t="s">
        <v>17</v>
      </c>
      <c r="W7" s="710">
        <f t="shared" ref="W7:W15" si="2">J7</f>
        <v>0</v>
      </c>
      <c r="X7" s="711"/>
      <c r="Y7" s="3607" t="s">
        <v>2129</v>
      </c>
      <c r="Z7" s="3608"/>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661" t="s">
        <v>2132</v>
      </c>
      <c r="Q8" s="3608"/>
      <c r="R8" s="709" t="s">
        <v>17</v>
      </c>
      <c r="S8" s="710">
        <f t="shared" si="0"/>
        <v>0</v>
      </c>
      <c r="T8" s="709" t="s">
        <v>17</v>
      </c>
      <c r="U8" s="710">
        <f t="shared" si="1"/>
        <v>0</v>
      </c>
      <c r="V8" s="709" t="s">
        <v>17</v>
      </c>
      <c r="W8" s="710">
        <f t="shared" si="2"/>
        <v>0</v>
      </c>
      <c r="X8" s="711"/>
      <c r="Y8" s="3607" t="s">
        <v>2132</v>
      </c>
      <c r="Z8" s="3608"/>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621"/>
      <c r="Q11" s="1477" t="str">
        <f t="shared" si="6"/>
        <v>容积率</v>
      </c>
      <c r="R11" s="709" t="s">
        <v>17</v>
      </c>
      <c r="S11" s="710" t="e">
        <f t="shared" si="0"/>
        <v>#N/A</v>
      </c>
      <c r="T11" s="709" t="s">
        <v>17</v>
      </c>
      <c r="U11" s="710" t="e">
        <f t="shared" si="1"/>
        <v>#N/A</v>
      </c>
      <c r="V11" s="709" t="s">
        <v>17</v>
      </c>
      <c r="W11" s="710" t="e">
        <f t="shared" si="2"/>
        <v>#N/A</v>
      </c>
      <c r="X11" s="711"/>
      <c r="Y11" s="3551"/>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621"/>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621"/>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621"/>
      <c r="Q14" s="1477">
        <f t="shared" si="6"/>
        <v>111</v>
      </c>
      <c r="R14" s="709" t="s">
        <v>17</v>
      </c>
      <c r="S14" s="710">
        <f t="shared" si="0"/>
        <v>100</v>
      </c>
      <c r="T14" s="709" t="s">
        <v>17</v>
      </c>
      <c r="U14" s="710">
        <f t="shared" si="1"/>
        <v>100</v>
      </c>
      <c r="V14" s="709" t="s">
        <v>17</v>
      </c>
      <c r="W14" s="710">
        <f t="shared" si="2"/>
        <v>100</v>
      </c>
      <c r="X14" s="711"/>
      <c r="Y14" s="3551"/>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648" t="s">
        <v>2140</v>
      </c>
      <c r="Q15" s="1486" t="str">
        <f t="shared" si="6"/>
        <v>办公集聚程度</v>
      </c>
      <c r="R15" s="713" t="s">
        <v>17</v>
      </c>
      <c r="S15" s="714">
        <f t="shared" si="0"/>
        <v>100</v>
      </c>
      <c r="T15" s="713" t="s">
        <v>17</v>
      </c>
      <c r="U15" s="714">
        <f t="shared" si="1"/>
        <v>100</v>
      </c>
      <c r="V15" s="713" t="s">
        <v>17</v>
      </c>
      <c r="W15" s="714">
        <f t="shared" si="2"/>
        <v>100</v>
      </c>
      <c r="X15" s="1489"/>
      <c r="Y15" s="3641"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649"/>
      <c r="Q16" s="1486"/>
      <c r="R16" s="713"/>
      <c r="S16" s="714"/>
      <c r="T16" s="713"/>
      <c r="U16" s="714"/>
      <c r="V16" s="713"/>
      <c r="W16" s="714"/>
      <c r="X16" s="1489"/>
      <c r="Y16" s="3642"/>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649"/>
      <c r="Q17" s="1486" t="str">
        <f>B17</f>
        <v>交通便捷度</v>
      </c>
      <c r="R17" s="713" t="s">
        <v>17</v>
      </c>
      <c r="S17" s="714">
        <f>F17</f>
        <v>100</v>
      </c>
      <c r="T17" s="713" t="s">
        <v>17</v>
      </c>
      <c r="U17" s="714">
        <f>H17</f>
        <v>100</v>
      </c>
      <c r="V17" s="713" t="s">
        <v>17</v>
      </c>
      <c r="W17" s="714">
        <f>J17</f>
        <v>100</v>
      </c>
      <c r="X17" s="1489"/>
      <c r="Y17" s="3642"/>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649"/>
      <c r="Q18" s="1486"/>
      <c r="R18" s="713"/>
      <c r="S18" s="714"/>
      <c r="T18" s="713"/>
      <c r="U18" s="714"/>
      <c r="V18" s="713"/>
      <c r="W18" s="714"/>
      <c r="X18" s="1489"/>
      <c r="Y18" s="3642"/>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649"/>
      <c r="Q19" s="1486" t="str">
        <f>B19</f>
        <v>公共配套设施</v>
      </c>
      <c r="R19" s="713" t="s">
        <v>17</v>
      </c>
      <c r="S19" s="714">
        <f>F19</f>
        <v>100</v>
      </c>
      <c r="T19" s="713" t="s">
        <v>17</v>
      </c>
      <c r="U19" s="714">
        <f>H19</f>
        <v>100</v>
      </c>
      <c r="V19" s="713" t="s">
        <v>17</v>
      </c>
      <c r="W19" s="714">
        <f>J19</f>
        <v>100</v>
      </c>
      <c r="X19" s="1489"/>
      <c r="Y19" s="3642"/>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649"/>
      <c r="Q20" s="1486"/>
      <c r="R20" s="713"/>
      <c r="S20" s="714"/>
      <c r="T20" s="713"/>
      <c r="U20" s="714"/>
      <c r="V20" s="713"/>
      <c r="W20" s="714"/>
      <c r="X20" s="1489"/>
      <c r="Y20" s="3642"/>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649"/>
      <c r="Q21" s="1486" t="str">
        <f>B21</f>
        <v>基础设施水平</v>
      </c>
      <c r="R21" s="713" t="s">
        <v>17</v>
      </c>
      <c r="S21" s="714">
        <f>F21</f>
        <v>100</v>
      </c>
      <c r="T21" s="713" t="s">
        <v>17</v>
      </c>
      <c r="U21" s="714">
        <f>H21</f>
        <v>100</v>
      </c>
      <c r="V21" s="713" t="s">
        <v>17</v>
      </c>
      <c r="W21" s="714">
        <f>J21</f>
        <v>100</v>
      </c>
      <c r="X21" s="1489"/>
      <c r="Y21" s="3642"/>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649"/>
      <c r="Q22" s="1486"/>
      <c r="R22" s="713"/>
      <c r="S22" s="714"/>
      <c r="T22" s="713"/>
      <c r="U22" s="714"/>
      <c r="V22" s="713"/>
      <c r="W22" s="714"/>
      <c r="X22" s="1489"/>
      <c r="Y22" s="3642"/>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649"/>
      <c r="Q23" s="1486" t="str">
        <f>B23</f>
        <v>环境质量</v>
      </c>
      <c r="R23" s="713" t="s">
        <v>17</v>
      </c>
      <c r="S23" s="714">
        <f>F23</f>
        <v>100</v>
      </c>
      <c r="T23" s="713" t="s">
        <v>17</v>
      </c>
      <c r="U23" s="714">
        <f>H23</f>
        <v>100</v>
      </c>
      <c r="V23" s="713" t="s">
        <v>17</v>
      </c>
      <c r="W23" s="714">
        <f>J23</f>
        <v>100</v>
      </c>
      <c r="X23" s="1489"/>
      <c r="Y23" s="3642"/>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649"/>
      <c r="Q24" s="1486"/>
      <c r="R24" s="713"/>
      <c r="S24" s="714"/>
      <c r="T24" s="713"/>
      <c r="U24" s="714"/>
      <c r="V24" s="713"/>
      <c r="W24" s="714"/>
      <c r="X24" s="1489"/>
      <c r="Y24" s="3642"/>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49"/>
      <c r="Q25" s="1486" t="str">
        <f>B25</f>
        <v>毗邻道路的类型与等级</v>
      </c>
      <c r="R25" s="713" t="s">
        <v>17</v>
      </c>
      <c r="S25" s="714">
        <f>F25</f>
        <v>100</v>
      </c>
      <c r="T25" s="713" t="s">
        <v>17</v>
      </c>
      <c r="U25" s="714">
        <f>H25</f>
        <v>100</v>
      </c>
      <c r="V25" s="713" t="s">
        <v>17</v>
      </c>
      <c r="W25" s="714">
        <f>J25</f>
        <v>100</v>
      </c>
      <c r="X25" s="1489"/>
      <c r="Y25" s="3642"/>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649"/>
      <c r="Q26" s="1486"/>
      <c r="R26" s="713"/>
      <c r="S26" s="714"/>
      <c r="T26" s="713"/>
      <c r="U26" s="714"/>
      <c r="V26" s="713"/>
      <c r="W26" s="714"/>
      <c r="X26" s="1489"/>
      <c r="Y26" s="3642"/>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49"/>
      <c r="Q27" s="1486" t="str">
        <f t="shared" ref="Q27:Q47" si="11">B27</f>
        <v>楼层</v>
      </c>
      <c r="R27" s="713" t="s">
        <v>17</v>
      </c>
      <c r="S27" s="714">
        <f>F27</f>
        <v>100</v>
      </c>
      <c r="T27" s="713" t="s">
        <v>17</v>
      </c>
      <c r="U27" s="714">
        <f>H27</f>
        <v>100</v>
      </c>
      <c r="V27" s="713" t="s">
        <v>17</v>
      </c>
      <c r="W27" s="714">
        <f>J27</f>
        <v>100</v>
      </c>
      <c r="X27" s="1489"/>
      <c r="Y27" s="3642"/>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49"/>
      <c r="Q28" s="1477" t="str">
        <f t="shared" si="11"/>
        <v>朝向</v>
      </c>
      <c r="R28" s="709" t="s">
        <v>17</v>
      </c>
      <c r="S28" s="710">
        <f>F28</f>
        <v>100</v>
      </c>
      <c r="T28" s="709" t="s">
        <v>17</v>
      </c>
      <c r="U28" s="710">
        <f>H28</f>
        <v>100</v>
      </c>
      <c r="V28" s="709" t="s">
        <v>17</v>
      </c>
      <c r="W28" s="710">
        <f>J28</f>
        <v>100</v>
      </c>
      <c r="X28" s="711"/>
      <c r="Y28" s="3642"/>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49"/>
      <c r="Q29" s="1486">
        <f t="shared" si="11"/>
        <v>111</v>
      </c>
      <c r="R29" s="713" t="s">
        <v>17</v>
      </c>
      <c r="S29" s="714">
        <f t="shared" ref="S29:S47" si="12">F29</f>
        <v>100</v>
      </c>
      <c r="T29" s="713" t="s">
        <v>17</v>
      </c>
      <c r="U29" s="714">
        <f t="shared" ref="U29:U47" si="13">H29</f>
        <v>100</v>
      </c>
      <c r="V29" s="713" t="s">
        <v>17</v>
      </c>
      <c r="W29" s="714">
        <f t="shared" ref="W29:W47" si="14">J29</f>
        <v>100</v>
      </c>
      <c r="X29" s="1489"/>
      <c r="Y29" s="3642"/>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49"/>
      <c r="Q30" s="1486">
        <f t="shared" si="11"/>
        <v>111</v>
      </c>
      <c r="R30" s="713" t="s">
        <v>17</v>
      </c>
      <c r="S30" s="714">
        <f t="shared" si="12"/>
        <v>100</v>
      </c>
      <c r="T30" s="713" t="s">
        <v>17</v>
      </c>
      <c r="U30" s="714">
        <f t="shared" si="13"/>
        <v>100</v>
      </c>
      <c r="V30" s="713" t="s">
        <v>17</v>
      </c>
      <c r="W30" s="714">
        <f t="shared" si="14"/>
        <v>100</v>
      </c>
      <c r="X30" s="1489"/>
      <c r="Y30" s="3642"/>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49"/>
      <c r="Q31" s="1486">
        <f t="shared" si="11"/>
        <v>111</v>
      </c>
      <c r="R31" s="713" t="s">
        <v>17</v>
      </c>
      <c r="S31" s="714">
        <f t="shared" si="12"/>
        <v>100</v>
      </c>
      <c r="T31" s="713" t="s">
        <v>17</v>
      </c>
      <c r="U31" s="714">
        <f t="shared" si="13"/>
        <v>100</v>
      </c>
      <c r="V31" s="713" t="s">
        <v>17</v>
      </c>
      <c r="W31" s="714">
        <f t="shared" si="14"/>
        <v>100</v>
      </c>
      <c r="X31" s="1489"/>
      <c r="Y31" s="3642"/>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49"/>
      <c r="Q32" s="1486">
        <f t="shared" si="11"/>
        <v>111</v>
      </c>
      <c r="R32" s="713" t="s">
        <v>17</v>
      </c>
      <c r="S32" s="714">
        <f t="shared" si="12"/>
        <v>100</v>
      </c>
      <c r="T32" s="713" t="s">
        <v>17</v>
      </c>
      <c r="U32" s="714">
        <f t="shared" si="13"/>
        <v>100</v>
      </c>
      <c r="V32" s="713" t="s">
        <v>17</v>
      </c>
      <c r="W32" s="714">
        <f t="shared" si="14"/>
        <v>100</v>
      </c>
      <c r="X32" s="1489"/>
      <c r="Y32" s="3642"/>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43" t="s">
        <v>2145</v>
      </c>
      <c r="Q33" s="1486" t="str">
        <f t="shared" si="11"/>
        <v>建筑类型</v>
      </c>
      <c r="R33" s="713" t="s">
        <v>17</v>
      </c>
      <c r="S33" s="714">
        <f t="shared" si="12"/>
        <v>100</v>
      </c>
      <c r="T33" s="713" t="s">
        <v>17</v>
      </c>
      <c r="U33" s="714">
        <f t="shared" si="13"/>
        <v>100</v>
      </c>
      <c r="V33" s="713" t="s">
        <v>17</v>
      </c>
      <c r="W33" s="714">
        <f t="shared" si="14"/>
        <v>100</v>
      </c>
      <c r="X33" s="1489"/>
      <c r="Y33" s="3646"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644"/>
      <c r="Q34" s="715" t="str">
        <f t="shared" si="11"/>
        <v>项目建筑规模</v>
      </c>
      <c r="R34" s="716" t="s">
        <v>17</v>
      </c>
      <c r="S34" s="717" t="e">
        <f t="shared" si="12"/>
        <v>#N/A</v>
      </c>
      <c r="T34" s="716" t="s">
        <v>17</v>
      </c>
      <c r="U34" s="717" t="e">
        <f t="shared" si="13"/>
        <v>#N/A</v>
      </c>
      <c r="V34" s="716" t="s">
        <v>17</v>
      </c>
      <c r="W34" s="717" t="e">
        <f t="shared" si="14"/>
        <v>#N/A</v>
      </c>
      <c r="X34" s="718"/>
      <c r="Y34" s="3646"/>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644"/>
      <c r="Q35" s="1486" t="str">
        <f t="shared" si="11"/>
        <v>建筑结构</v>
      </c>
      <c r="R35" s="713" t="s">
        <v>17</v>
      </c>
      <c r="S35" s="714">
        <f t="shared" si="12"/>
        <v>100</v>
      </c>
      <c r="T35" s="713" t="s">
        <v>17</v>
      </c>
      <c r="U35" s="714">
        <f t="shared" si="13"/>
        <v>100</v>
      </c>
      <c r="V35" s="713" t="s">
        <v>17</v>
      </c>
      <c r="W35" s="714">
        <f t="shared" si="14"/>
        <v>100</v>
      </c>
      <c r="X35" s="1489"/>
      <c r="Y35" s="3646"/>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644"/>
      <c r="Q36" s="1486" t="str">
        <f t="shared" si="11"/>
        <v>公共部分装修</v>
      </c>
      <c r="R36" s="713" t="s">
        <v>17</v>
      </c>
      <c r="S36" s="714">
        <f t="shared" si="12"/>
        <v>100</v>
      </c>
      <c r="T36" s="713" t="s">
        <v>17</v>
      </c>
      <c r="U36" s="714">
        <f t="shared" si="13"/>
        <v>100</v>
      </c>
      <c r="V36" s="713" t="s">
        <v>17</v>
      </c>
      <c r="W36" s="714">
        <f t="shared" si="14"/>
        <v>100</v>
      </c>
      <c r="X36" s="1489"/>
      <c r="Y36" s="3646"/>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644"/>
      <c r="Q37" s="1486" t="str">
        <f t="shared" si="11"/>
        <v>成新度</v>
      </c>
      <c r="R37" s="713" t="s">
        <v>17</v>
      </c>
      <c r="S37" s="714" t="e">
        <f t="shared" si="12"/>
        <v>#N/A</v>
      </c>
      <c r="T37" s="713" t="s">
        <v>17</v>
      </c>
      <c r="U37" s="714" t="e">
        <f t="shared" si="13"/>
        <v>#N/A</v>
      </c>
      <c r="V37" s="713" t="s">
        <v>17</v>
      </c>
      <c r="W37" s="714" t="e">
        <f t="shared" si="14"/>
        <v>#N/A</v>
      </c>
      <c r="X37" s="1489"/>
      <c r="Y37" s="3646"/>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644"/>
      <c r="Q38" s="1477" t="str">
        <f t="shared" si="11"/>
        <v>写字楼等级</v>
      </c>
      <c r="R38" s="709" t="s">
        <v>17</v>
      </c>
      <c r="S38" s="710">
        <f t="shared" si="12"/>
        <v>100</v>
      </c>
      <c r="T38" s="709" t="s">
        <v>17</v>
      </c>
      <c r="U38" s="710">
        <f t="shared" si="13"/>
        <v>100</v>
      </c>
      <c r="V38" s="709" t="s">
        <v>17</v>
      </c>
      <c r="W38" s="710">
        <f t="shared" si="14"/>
        <v>100</v>
      </c>
      <c r="X38" s="711"/>
      <c r="Y38" s="3646"/>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644" t="s">
        <v>2145</v>
      </c>
      <c r="Q39" s="1486" t="str">
        <f t="shared" si="11"/>
        <v>物业管理</v>
      </c>
      <c r="R39" s="713" t="s">
        <v>17</v>
      </c>
      <c r="S39" s="714">
        <f t="shared" si="12"/>
        <v>100</v>
      </c>
      <c r="T39" s="713" t="s">
        <v>17</v>
      </c>
      <c r="U39" s="714">
        <f t="shared" si="13"/>
        <v>100</v>
      </c>
      <c r="V39" s="713" t="s">
        <v>17</v>
      </c>
      <c r="W39" s="714">
        <f t="shared" si="14"/>
        <v>100</v>
      </c>
      <c r="X39" s="1489"/>
      <c r="Y39" s="3646"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644"/>
      <c r="Q40" s="1486" t="str">
        <f t="shared" si="11"/>
        <v>市政基础设施</v>
      </c>
      <c r="R40" s="713" t="s">
        <v>17</v>
      </c>
      <c r="S40" s="714">
        <f t="shared" si="12"/>
        <v>100</v>
      </c>
      <c r="T40" s="713" t="s">
        <v>17</v>
      </c>
      <c r="U40" s="714">
        <f t="shared" si="13"/>
        <v>100</v>
      </c>
      <c r="V40" s="713" t="s">
        <v>17</v>
      </c>
      <c r="W40" s="714">
        <f t="shared" si="14"/>
        <v>100</v>
      </c>
      <c r="X40" s="1489"/>
      <c r="Y40" s="3646"/>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44"/>
      <c r="Q41" s="1486" t="str">
        <f t="shared" si="11"/>
        <v>层高</v>
      </c>
      <c r="R41" s="713" t="s">
        <v>17</v>
      </c>
      <c r="S41" s="714">
        <f t="shared" si="12"/>
        <v>100</v>
      </c>
      <c r="T41" s="713" t="s">
        <v>17</v>
      </c>
      <c r="U41" s="714">
        <f t="shared" si="13"/>
        <v>100</v>
      </c>
      <c r="V41" s="713" t="s">
        <v>17</v>
      </c>
      <c r="W41" s="714">
        <f t="shared" si="14"/>
        <v>100</v>
      </c>
      <c r="X41" s="1489"/>
      <c r="Y41" s="3646"/>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44"/>
      <c r="Q42" s="715" t="str">
        <f t="shared" si="11"/>
        <v>单套建筑面积</v>
      </c>
      <c r="R42" s="716" t="s">
        <v>17</v>
      </c>
      <c r="S42" s="717">
        <f t="shared" si="12"/>
        <v>100</v>
      </c>
      <c r="T42" s="716" t="s">
        <v>17</v>
      </c>
      <c r="U42" s="717">
        <f t="shared" si="13"/>
        <v>100</v>
      </c>
      <c r="V42" s="716" t="s">
        <v>17</v>
      </c>
      <c r="W42" s="717">
        <f t="shared" si="14"/>
        <v>100</v>
      </c>
      <c r="X42" s="718"/>
      <c r="Y42" s="3646"/>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644"/>
      <c r="Q43" s="1486" t="str">
        <f t="shared" si="11"/>
        <v>内部装修</v>
      </c>
      <c r="R43" s="713" t="s">
        <v>17</v>
      </c>
      <c r="S43" s="714">
        <f t="shared" si="12"/>
        <v>100</v>
      </c>
      <c r="T43" s="713" t="s">
        <v>17</v>
      </c>
      <c r="U43" s="714">
        <f t="shared" si="13"/>
        <v>100</v>
      </c>
      <c r="V43" s="713" t="s">
        <v>17</v>
      </c>
      <c r="W43" s="714">
        <f t="shared" si="14"/>
        <v>100</v>
      </c>
      <c r="X43" s="1489"/>
      <c r="Y43" s="3646"/>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644"/>
      <c r="Q44" s="1486" t="str">
        <f t="shared" si="11"/>
        <v>内部装修维护情况</v>
      </c>
      <c r="R44" s="713" t="s">
        <v>17</v>
      </c>
      <c r="S44" s="714">
        <f t="shared" si="12"/>
        <v>100</v>
      </c>
      <c r="T44" s="713" t="s">
        <v>17</v>
      </c>
      <c r="U44" s="714">
        <f t="shared" si="13"/>
        <v>100</v>
      </c>
      <c r="V44" s="713" t="s">
        <v>17</v>
      </c>
      <c r="W44" s="714">
        <f t="shared" si="14"/>
        <v>100</v>
      </c>
      <c r="X44" s="1489"/>
      <c r="Y44" s="3646"/>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644"/>
      <c r="Q45" s="1477">
        <f t="shared" si="11"/>
        <v>111</v>
      </c>
      <c r="R45" s="709" t="s">
        <v>17</v>
      </c>
      <c r="S45" s="710">
        <f t="shared" si="12"/>
        <v>100</v>
      </c>
      <c r="T45" s="709" t="s">
        <v>17</v>
      </c>
      <c r="U45" s="710">
        <f t="shared" si="13"/>
        <v>100</v>
      </c>
      <c r="V45" s="709" t="s">
        <v>17</v>
      </c>
      <c r="W45" s="710">
        <f t="shared" si="14"/>
        <v>100</v>
      </c>
      <c r="X45" s="711"/>
      <c r="Y45" s="3646"/>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44"/>
      <c r="Q46" s="1486">
        <f t="shared" si="11"/>
        <v>111</v>
      </c>
      <c r="R46" s="713" t="s">
        <v>17</v>
      </c>
      <c r="S46" s="714">
        <f t="shared" si="12"/>
        <v>100</v>
      </c>
      <c r="T46" s="713" t="s">
        <v>17</v>
      </c>
      <c r="U46" s="714">
        <f t="shared" si="13"/>
        <v>100</v>
      </c>
      <c r="V46" s="713" t="s">
        <v>17</v>
      </c>
      <c r="W46" s="714">
        <f t="shared" si="14"/>
        <v>100</v>
      </c>
      <c r="X46" s="1489"/>
      <c r="Y46" s="3646"/>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45"/>
      <c r="Q47" s="1486">
        <f t="shared" si="11"/>
        <v>111</v>
      </c>
      <c r="R47" s="713" t="s">
        <v>17</v>
      </c>
      <c r="S47" s="714">
        <f t="shared" si="12"/>
        <v>100</v>
      </c>
      <c r="T47" s="713" t="s">
        <v>17</v>
      </c>
      <c r="U47" s="714">
        <f t="shared" si="13"/>
        <v>100</v>
      </c>
      <c r="V47" s="713" t="s">
        <v>17</v>
      </c>
      <c r="W47" s="714">
        <f t="shared" si="14"/>
        <v>100</v>
      </c>
      <c r="X47" s="1489"/>
      <c r="Y47" s="3647"/>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621" t="str">
        <f>A48</f>
        <v>成交单价（元/平方米）</v>
      </c>
      <c r="Q48" s="3639"/>
      <c r="R48" s="3640">
        <f>E48</f>
        <v>0</v>
      </c>
      <c r="S48" s="3640"/>
      <c r="T48" s="3640">
        <f>G48</f>
        <v>0</v>
      </c>
      <c r="U48" s="3640"/>
      <c r="V48" s="3640">
        <f>I48</f>
        <v>0</v>
      </c>
      <c r="W48" s="3640"/>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621"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662" t="str">
        <f>A50</f>
        <v>估价对象XX用房的比较价值（楼面单价，元/平方米）</v>
      </c>
      <c r="Q50" s="3663"/>
      <c r="R50" s="3664" t="e">
        <f>IF(F1="售价",ROUND(IF(D49="简单平均",AVERAGE(R49:V49),R49*F49+T49*H49+V49*J49),0),ROUND(IF(D49="简单平均",AVERAGE(R49:V49),R49*F49+T49*H49+V49*J49),1))</f>
        <v>#DIV/0!</v>
      </c>
      <c r="S50" s="3664"/>
      <c r="T50" s="3664"/>
      <c r="U50" s="3664"/>
      <c r="V50" s="3664"/>
      <c r="W50" s="366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33133.130000000005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622" t="s">
        <v>2226</v>
      </c>
      <c r="D4" s="3623"/>
      <c r="E4" s="3624" t="s">
        <v>2227</v>
      </c>
      <c r="F4" s="3625"/>
      <c r="G4" s="3622" t="s">
        <v>2228</v>
      </c>
      <c r="H4" s="3623"/>
      <c r="I4" s="3622" t="s">
        <v>2229</v>
      </c>
      <c r="J4" s="3623"/>
      <c r="K4" s="566" t="s">
        <v>2230</v>
      </c>
      <c r="L4" s="1024"/>
      <c r="M4" s="1025"/>
      <c r="N4" s="1025"/>
      <c r="O4" s="1025"/>
      <c r="P4" s="3626" t="s">
        <v>2231</v>
      </c>
      <c r="Q4" s="3627"/>
      <c r="R4" s="3609" t="s">
        <v>2227</v>
      </c>
      <c r="S4" s="3610"/>
      <c r="T4" s="3609" t="s">
        <v>2228</v>
      </c>
      <c r="U4" s="3610"/>
      <c r="V4" s="3634" t="s">
        <v>2229</v>
      </c>
      <c r="W4" s="3634"/>
      <c r="X4" s="1489"/>
      <c r="Y4" s="3609" t="s">
        <v>2231</v>
      </c>
      <c r="Z4" s="3610"/>
      <c r="AA4" s="3604" t="s">
        <v>2227</v>
      </c>
      <c r="AB4" s="3605" t="s">
        <v>2228</v>
      </c>
      <c r="AC4" s="3604" t="s">
        <v>2229</v>
      </c>
    </row>
    <row r="5" spans="1:29" ht="15">
      <c r="A5" s="363"/>
      <c r="B5" s="364"/>
      <c r="C5" s="3615" t="s">
        <v>2122</v>
      </c>
      <c r="D5" s="3616"/>
      <c r="E5" s="3613" t="s">
        <v>2123</v>
      </c>
      <c r="F5" s="3614"/>
      <c r="G5" s="3615" t="s">
        <v>2124</v>
      </c>
      <c r="H5" s="3616"/>
      <c r="I5" s="3615" t="s">
        <v>2125</v>
      </c>
      <c r="J5" s="3616"/>
      <c r="K5" s="566"/>
      <c r="L5" s="1024"/>
      <c r="M5" s="1025"/>
      <c r="N5" s="1025"/>
      <c r="O5" s="1025"/>
      <c r="P5" s="3628"/>
      <c r="Q5" s="3629"/>
      <c r="R5" s="3611"/>
      <c r="S5" s="3612"/>
      <c r="T5" s="3611"/>
      <c r="U5" s="3612"/>
      <c r="V5" s="3634"/>
      <c r="W5" s="3634"/>
      <c r="X5" s="1489"/>
      <c r="Y5" s="3611"/>
      <c r="Z5" s="3612"/>
      <c r="AA5" s="3605"/>
      <c r="AB5" s="3605"/>
      <c r="AC5" s="3605"/>
    </row>
    <row r="6" spans="1:29" ht="15.75" thickBot="1">
      <c r="A6" s="365"/>
      <c r="B6" s="366"/>
      <c r="C6" s="3617" t="s">
        <v>2126</v>
      </c>
      <c r="D6" s="3618"/>
      <c r="E6" s="3619" t="s">
        <v>2126</v>
      </c>
      <c r="F6" s="3620"/>
      <c r="G6" s="3617" t="s">
        <v>2126</v>
      </c>
      <c r="H6" s="3618"/>
      <c r="I6" s="3617" t="s">
        <v>2126</v>
      </c>
      <c r="J6" s="3618"/>
      <c r="K6" s="566" t="s">
        <v>2127</v>
      </c>
      <c r="L6" s="1024"/>
      <c r="M6" s="1025"/>
      <c r="N6" s="1025"/>
      <c r="O6" s="1025"/>
      <c r="P6" s="3630"/>
      <c r="Q6" s="3631"/>
      <c r="R6" s="3611"/>
      <c r="S6" s="3612"/>
      <c r="T6" s="3632"/>
      <c r="U6" s="3633"/>
      <c r="V6" s="3634"/>
      <c r="W6" s="3634"/>
      <c r="X6" s="1489"/>
      <c r="Y6" s="3632"/>
      <c r="Z6" s="3633"/>
      <c r="AA6" s="3606"/>
      <c r="AB6" s="3606"/>
      <c r="AC6" s="3606"/>
    </row>
    <row r="7" spans="1:29" s="112" customFormat="1" ht="15.75" thickBot="1">
      <c r="A7" s="367" t="s">
        <v>2128</v>
      </c>
      <c r="B7" s="368"/>
      <c r="C7" s="369">
        <f>'数据-取费表'!B2</f>
        <v>44874</v>
      </c>
      <c r="D7" s="370">
        <v>100</v>
      </c>
      <c r="E7" s="371"/>
      <c r="F7" s="372">
        <f>SUMIF(52:52,YEAR(E7)&amp;"-"&amp;MONTH(E7),53:53)</f>
        <v>0</v>
      </c>
      <c r="G7" s="371"/>
      <c r="H7" s="370">
        <f>SUMIF(52:52,YEAR(G7)&amp;"-"&amp;MONTH(G7),53:53)</f>
        <v>0</v>
      </c>
      <c r="I7" s="371"/>
      <c r="J7" s="370">
        <f>SUMIF(52:52,YEAR(I7)&amp;"-"&amp;MONTH(I7),53:53)</f>
        <v>0</v>
      </c>
      <c r="K7" s="567"/>
      <c r="L7" s="1026"/>
      <c r="M7" s="1027"/>
      <c r="N7" s="1027"/>
      <c r="O7" s="1027"/>
      <c r="P7" s="3607" t="s">
        <v>2129</v>
      </c>
      <c r="Q7" s="3635"/>
      <c r="R7" s="709" t="s">
        <v>17</v>
      </c>
      <c r="S7" s="710">
        <f t="shared" ref="S7:S15" si="0">F7</f>
        <v>0</v>
      </c>
      <c r="T7" s="709" t="s">
        <v>17</v>
      </c>
      <c r="U7" s="710">
        <f t="shared" ref="U7:U15" si="1">H7</f>
        <v>0</v>
      </c>
      <c r="V7" s="709" t="s">
        <v>17</v>
      </c>
      <c r="W7" s="710">
        <f t="shared" ref="W7:W15" si="2">J7</f>
        <v>0</v>
      </c>
      <c r="X7" s="711"/>
      <c r="Y7" s="3607" t="s">
        <v>2129</v>
      </c>
      <c r="Z7" s="3608"/>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607" t="s">
        <v>2132</v>
      </c>
      <c r="Q8" s="3608"/>
      <c r="R8" s="709" t="s">
        <v>17</v>
      </c>
      <c r="S8" s="710">
        <f t="shared" si="0"/>
        <v>0</v>
      </c>
      <c r="T8" s="709" t="s">
        <v>17</v>
      </c>
      <c r="U8" s="710">
        <f t="shared" si="1"/>
        <v>0</v>
      </c>
      <c r="V8" s="709" t="s">
        <v>17</v>
      </c>
      <c r="W8" s="710">
        <f t="shared" si="2"/>
        <v>0</v>
      </c>
      <c r="X8" s="711"/>
      <c r="Y8" s="3607" t="s">
        <v>2132</v>
      </c>
      <c r="Z8" s="3608"/>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639"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639"/>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639"/>
      <c r="Q11" s="1477" t="str">
        <f t="shared" si="6"/>
        <v>容积率</v>
      </c>
      <c r="R11" s="709" t="s">
        <v>17</v>
      </c>
      <c r="S11" s="710" t="e">
        <f t="shared" si="0"/>
        <v>#N/A</v>
      </c>
      <c r="T11" s="709" t="s">
        <v>17</v>
      </c>
      <c r="U11" s="710" t="e">
        <f t="shared" si="1"/>
        <v>#N/A</v>
      </c>
      <c r="V11" s="709" t="s">
        <v>17</v>
      </c>
      <c r="W11" s="710" t="e">
        <f t="shared" si="2"/>
        <v>#N/A</v>
      </c>
      <c r="X11" s="711"/>
      <c r="Y11" s="3551"/>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639"/>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639"/>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639"/>
      <c r="Q14" s="1477">
        <f t="shared" si="6"/>
        <v>111</v>
      </c>
      <c r="R14" s="709" t="s">
        <v>17</v>
      </c>
      <c r="S14" s="710">
        <f t="shared" si="0"/>
        <v>100</v>
      </c>
      <c r="T14" s="709" t="s">
        <v>17</v>
      </c>
      <c r="U14" s="710">
        <f t="shared" si="1"/>
        <v>100</v>
      </c>
      <c r="V14" s="709" t="s">
        <v>17</v>
      </c>
      <c r="W14" s="710">
        <f t="shared" si="2"/>
        <v>100</v>
      </c>
      <c r="X14" s="711"/>
      <c r="Y14" s="3551"/>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641" t="s">
        <v>2140</v>
      </c>
      <c r="Q15" s="1486" t="str">
        <f t="shared" si="6"/>
        <v>产业集聚程度</v>
      </c>
      <c r="R15" s="713" t="s">
        <v>17</v>
      </c>
      <c r="S15" s="714">
        <f t="shared" si="0"/>
        <v>100</v>
      </c>
      <c r="T15" s="713" t="s">
        <v>17</v>
      </c>
      <c r="U15" s="714">
        <f t="shared" si="1"/>
        <v>100</v>
      </c>
      <c r="V15" s="713" t="s">
        <v>17</v>
      </c>
      <c r="W15" s="714">
        <f t="shared" si="2"/>
        <v>100</v>
      </c>
      <c r="X15" s="1489"/>
      <c r="Y15" s="3641"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642"/>
      <c r="Q16" s="1486"/>
      <c r="R16" s="713"/>
      <c r="S16" s="714"/>
      <c r="T16" s="713"/>
      <c r="U16" s="714"/>
      <c r="V16" s="713"/>
      <c r="W16" s="714"/>
      <c r="X16" s="1489"/>
      <c r="Y16" s="3642"/>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642"/>
      <c r="Q17" s="1486" t="str">
        <f>B17</f>
        <v>交通便捷度</v>
      </c>
      <c r="R17" s="713" t="s">
        <v>17</v>
      </c>
      <c r="S17" s="714">
        <f>F17</f>
        <v>100</v>
      </c>
      <c r="T17" s="713" t="s">
        <v>17</v>
      </c>
      <c r="U17" s="714">
        <f>H17</f>
        <v>100</v>
      </c>
      <c r="V17" s="713" t="s">
        <v>17</v>
      </c>
      <c r="W17" s="714">
        <f>J17</f>
        <v>100</v>
      </c>
      <c r="X17" s="1489"/>
      <c r="Y17" s="3642"/>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642"/>
      <c r="Q18" s="1486"/>
      <c r="R18" s="713"/>
      <c r="S18" s="714"/>
      <c r="T18" s="713"/>
      <c r="U18" s="714"/>
      <c r="V18" s="713"/>
      <c r="W18" s="714"/>
      <c r="X18" s="1489"/>
      <c r="Y18" s="3642"/>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642"/>
      <c r="Q19" s="1486" t="str">
        <f>B19</f>
        <v>公共配套设施</v>
      </c>
      <c r="R19" s="713" t="s">
        <v>17</v>
      </c>
      <c r="S19" s="714">
        <f>F19</f>
        <v>100</v>
      </c>
      <c r="T19" s="713" t="s">
        <v>17</v>
      </c>
      <c r="U19" s="714">
        <f>H19</f>
        <v>100</v>
      </c>
      <c r="V19" s="713" t="s">
        <v>17</v>
      </c>
      <c r="W19" s="714">
        <f>J19</f>
        <v>100</v>
      </c>
      <c r="X19" s="1489"/>
      <c r="Y19" s="3642"/>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642"/>
      <c r="Q20" s="1486"/>
      <c r="R20" s="713"/>
      <c r="S20" s="714"/>
      <c r="T20" s="713"/>
      <c r="U20" s="714"/>
      <c r="V20" s="713"/>
      <c r="W20" s="714"/>
      <c r="X20" s="1489"/>
      <c r="Y20" s="3642"/>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642"/>
      <c r="Q21" s="1486" t="str">
        <f>B21</f>
        <v>基础设施水平</v>
      </c>
      <c r="R21" s="713" t="s">
        <v>17</v>
      </c>
      <c r="S21" s="714">
        <f>F21</f>
        <v>100</v>
      </c>
      <c r="T21" s="713" t="s">
        <v>17</v>
      </c>
      <c r="U21" s="714">
        <f>H21</f>
        <v>100</v>
      </c>
      <c r="V21" s="713" t="s">
        <v>17</v>
      </c>
      <c r="W21" s="714">
        <f>J21</f>
        <v>100</v>
      </c>
      <c r="X21" s="1489"/>
      <c r="Y21" s="3642"/>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642"/>
      <c r="Q22" s="1486"/>
      <c r="R22" s="713"/>
      <c r="S22" s="714"/>
      <c r="T22" s="713"/>
      <c r="U22" s="714"/>
      <c r="V22" s="713"/>
      <c r="W22" s="714"/>
      <c r="X22" s="1489"/>
      <c r="Y22" s="3642"/>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642"/>
      <c r="Q23" s="1486" t="str">
        <f>B23</f>
        <v>环境质量</v>
      </c>
      <c r="R23" s="713" t="s">
        <v>17</v>
      </c>
      <c r="S23" s="714">
        <f>F23</f>
        <v>100</v>
      </c>
      <c r="T23" s="713" t="s">
        <v>17</v>
      </c>
      <c r="U23" s="714">
        <f>H23</f>
        <v>100</v>
      </c>
      <c r="V23" s="713" t="s">
        <v>17</v>
      </c>
      <c r="W23" s="714">
        <f>J23</f>
        <v>100</v>
      </c>
      <c r="X23" s="1489"/>
      <c r="Y23" s="3642"/>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642"/>
      <c r="Q24" s="1486"/>
      <c r="R24" s="713"/>
      <c r="S24" s="714"/>
      <c r="T24" s="713"/>
      <c r="U24" s="714"/>
      <c r="V24" s="713"/>
      <c r="W24" s="714"/>
      <c r="X24" s="1489"/>
      <c r="Y24" s="3642"/>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642"/>
      <c r="Q25" s="1486">
        <f>B25</f>
        <v>111</v>
      </c>
      <c r="R25" s="713" t="s">
        <v>17</v>
      </c>
      <c r="S25" s="714">
        <f>F25</f>
        <v>100</v>
      </c>
      <c r="T25" s="713" t="s">
        <v>17</v>
      </c>
      <c r="U25" s="714">
        <f>H25</f>
        <v>100</v>
      </c>
      <c r="V25" s="713" t="s">
        <v>17</v>
      </c>
      <c r="W25" s="714">
        <f>J25</f>
        <v>100</v>
      </c>
      <c r="X25" s="1489"/>
      <c r="Y25" s="3642"/>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642"/>
      <c r="Q26" s="1486">
        <f t="shared" ref="Q26:Q40" si="11">B26</f>
        <v>111</v>
      </c>
      <c r="R26" s="713" t="s">
        <v>17</v>
      </c>
      <c r="S26" s="714">
        <f>F26</f>
        <v>100</v>
      </c>
      <c r="T26" s="713" t="s">
        <v>17</v>
      </c>
      <c r="U26" s="714">
        <f>H26</f>
        <v>100</v>
      </c>
      <c r="V26" s="713" t="s">
        <v>17</v>
      </c>
      <c r="W26" s="714">
        <f>J26</f>
        <v>100</v>
      </c>
      <c r="X26" s="1489"/>
      <c r="Y26" s="3642"/>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642"/>
      <c r="Q27" s="1477">
        <f t="shared" si="11"/>
        <v>111</v>
      </c>
      <c r="R27" s="709" t="s">
        <v>17</v>
      </c>
      <c r="S27" s="710">
        <f>F27</f>
        <v>100</v>
      </c>
      <c r="T27" s="709" t="s">
        <v>17</v>
      </c>
      <c r="U27" s="710">
        <f>H27</f>
        <v>100</v>
      </c>
      <c r="V27" s="709" t="s">
        <v>17</v>
      </c>
      <c r="W27" s="710">
        <f>J27</f>
        <v>100</v>
      </c>
      <c r="X27" s="711"/>
      <c r="Y27" s="3642"/>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642"/>
      <c r="Q28" s="1486">
        <f t="shared" si="11"/>
        <v>111</v>
      </c>
      <c r="R28" s="713" t="s">
        <v>17</v>
      </c>
      <c r="S28" s="714">
        <f t="shared" ref="S28:S40" si="12">F28</f>
        <v>100</v>
      </c>
      <c r="T28" s="713" t="s">
        <v>17</v>
      </c>
      <c r="U28" s="714">
        <f t="shared" ref="U28:U40" si="13">H28</f>
        <v>100</v>
      </c>
      <c r="V28" s="713" t="s">
        <v>17</v>
      </c>
      <c r="W28" s="714">
        <f t="shared" ref="W28:W40" si="14">J28</f>
        <v>100</v>
      </c>
      <c r="X28" s="1489"/>
      <c r="Y28" s="3642"/>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65" t="s">
        <v>2145</v>
      </c>
      <c r="Q29" s="1486" t="str">
        <f t="shared" si="11"/>
        <v>建筑类型</v>
      </c>
      <c r="R29" s="713" t="s">
        <v>17</v>
      </c>
      <c r="S29" s="714">
        <f t="shared" si="12"/>
        <v>100</v>
      </c>
      <c r="T29" s="713" t="s">
        <v>17</v>
      </c>
      <c r="U29" s="714">
        <f t="shared" si="13"/>
        <v>100</v>
      </c>
      <c r="V29" s="713" t="s">
        <v>17</v>
      </c>
      <c r="W29" s="714">
        <f t="shared" si="14"/>
        <v>100</v>
      </c>
      <c r="X29" s="1489"/>
      <c r="Y29" s="3646"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46"/>
      <c r="Q30" s="715" t="str">
        <f t="shared" si="11"/>
        <v>项目建筑规模</v>
      </c>
      <c r="R30" s="716" t="s">
        <v>17</v>
      </c>
      <c r="S30" s="717" t="e">
        <f t="shared" si="12"/>
        <v>#N/A</v>
      </c>
      <c r="T30" s="716" t="s">
        <v>17</v>
      </c>
      <c r="U30" s="717" t="e">
        <f t="shared" si="13"/>
        <v>#N/A</v>
      </c>
      <c r="V30" s="716" t="s">
        <v>17</v>
      </c>
      <c r="W30" s="717" t="e">
        <f t="shared" si="14"/>
        <v>#N/A</v>
      </c>
      <c r="X30" s="718"/>
      <c r="Y30" s="3646"/>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46"/>
      <c r="Q31" s="1486" t="str">
        <f t="shared" si="11"/>
        <v>建筑结构</v>
      </c>
      <c r="R31" s="713" t="s">
        <v>17</v>
      </c>
      <c r="S31" s="714">
        <f t="shared" si="12"/>
        <v>100</v>
      </c>
      <c r="T31" s="713" t="s">
        <v>17</v>
      </c>
      <c r="U31" s="714">
        <f t="shared" si="13"/>
        <v>100</v>
      </c>
      <c r="V31" s="713" t="s">
        <v>17</v>
      </c>
      <c r="W31" s="714">
        <f t="shared" si="14"/>
        <v>100</v>
      </c>
      <c r="X31" s="1489"/>
      <c r="Y31" s="3646"/>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46"/>
      <c r="Q32" s="1486" t="str">
        <f t="shared" si="11"/>
        <v>公共部分装修</v>
      </c>
      <c r="R32" s="713" t="s">
        <v>17</v>
      </c>
      <c r="S32" s="714">
        <f t="shared" si="12"/>
        <v>100</v>
      </c>
      <c r="T32" s="713" t="s">
        <v>17</v>
      </c>
      <c r="U32" s="714">
        <f t="shared" si="13"/>
        <v>100</v>
      </c>
      <c r="V32" s="713" t="s">
        <v>17</v>
      </c>
      <c r="W32" s="714">
        <f t="shared" si="14"/>
        <v>100</v>
      </c>
      <c r="X32" s="1489"/>
      <c r="Y32" s="3646"/>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46"/>
      <c r="Q33" s="1486" t="str">
        <f t="shared" si="11"/>
        <v>成新度</v>
      </c>
      <c r="R33" s="713" t="s">
        <v>17</v>
      </c>
      <c r="S33" s="714" t="e">
        <f t="shared" si="12"/>
        <v>#N/A</v>
      </c>
      <c r="T33" s="713" t="s">
        <v>17</v>
      </c>
      <c r="U33" s="714" t="e">
        <f t="shared" si="13"/>
        <v>#N/A</v>
      </c>
      <c r="V33" s="713" t="s">
        <v>17</v>
      </c>
      <c r="W33" s="714" t="e">
        <f t="shared" si="14"/>
        <v>#N/A</v>
      </c>
      <c r="X33" s="1489"/>
      <c r="Y33" s="3646"/>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46"/>
      <c r="Q34" s="1477" t="str">
        <f t="shared" si="11"/>
        <v>物业管理</v>
      </c>
      <c r="R34" s="709" t="s">
        <v>17</v>
      </c>
      <c r="S34" s="710">
        <f t="shared" si="12"/>
        <v>100</v>
      </c>
      <c r="T34" s="709" t="s">
        <v>17</v>
      </c>
      <c r="U34" s="710">
        <f t="shared" si="13"/>
        <v>100</v>
      </c>
      <c r="V34" s="709" t="s">
        <v>17</v>
      </c>
      <c r="W34" s="710">
        <f t="shared" si="14"/>
        <v>100</v>
      </c>
      <c r="X34" s="711"/>
      <c r="Y34" s="3646"/>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46" t="s">
        <v>2145</v>
      </c>
      <c r="Q35" s="1486" t="str">
        <f t="shared" si="11"/>
        <v>市政基础设施</v>
      </c>
      <c r="R35" s="713" t="s">
        <v>17</v>
      </c>
      <c r="S35" s="714">
        <f t="shared" si="12"/>
        <v>100</v>
      </c>
      <c r="T35" s="713" t="s">
        <v>17</v>
      </c>
      <c r="U35" s="714">
        <f t="shared" si="13"/>
        <v>100</v>
      </c>
      <c r="V35" s="713" t="s">
        <v>17</v>
      </c>
      <c r="W35" s="714">
        <f t="shared" si="14"/>
        <v>100</v>
      </c>
      <c r="X35" s="1489"/>
      <c r="Y35" s="3646"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46"/>
      <c r="Q36" s="1486" t="str">
        <f t="shared" si="11"/>
        <v>内部装修</v>
      </c>
      <c r="R36" s="713" t="s">
        <v>17</v>
      </c>
      <c r="S36" s="714">
        <f t="shared" si="12"/>
        <v>100</v>
      </c>
      <c r="T36" s="713" t="s">
        <v>17</v>
      </c>
      <c r="U36" s="714">
        <f t="shared" si="13"/>
        <v>100</v>
      </c>
      <c r="V36" s="713" t="s">
        <v>17</v>
      </c>
      <c r="W36" s="714">
        <f t="shared" si="14"/>
        <v>100</v>
      </c>
      <c r="X36" s="1489"/>
      <c r="Y36" s="3646"/>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46"/>
      <c r="Q37" s="1486" t="str">
        <f t="shared" si="11"/>
        <v>内部装修状况</v>
      </c>
      <c r="R37" s="713" t="s">
        <v>17</v>
      </c>
      <c r="S37" s="714">
        <f t="shared" si="12"/>
        <v>100</v>
      </c>
      <c r="T37" s="713" t="s">
        <v>17</v>
      </c>
      <c r="U37" s="714">
        <f t="shared" si="13"/>
        <v>100</v>
      </c>
      <c r="V37" s="713" t="s">
        <v>17</v>
      </c>
      <c r="W37" s="714">
        <f t="shared" si="14"/>
        <v>100</v>
      </c>
      <c r="X37" s="1489"/>
      <c r="Y37" s="3646"/>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46"/>
      <c r="Q38" s="715">
        <f t="shared" si="11"/>
        <v>111</v>
      </c>
      <c r="R38" s="716" t="s">
        <v>17</v>
      </c>
      <c r="S38" s="717">
        <f t="shared" si="12"/>
        <v>100</v>
      </c>
      <c r="T38" s="716" t="s">
        <v>17</v>
      </c>
      <c r="U38" s="717">
        <f t="shared" si="13"/>
        <v>100</v>
      </c>
      <c r="V38" s="716" t="s">
        <v>17</v>
      </c>
      <c r="W38" s="717">
        <f t="shared" si="14"/>
        <v>100</v>
      </c>
      <c r="X38" s="718"/>
      <c r="Y38" s="3646"/>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46"/>
      <c r="Q39" s="1486">
        <f t="shared" si="11"/>
        <v>111</v>
      </c>
      <c r="R39" s="713" t="s">
        <v>17</v>
      </c>
      <c r="S39" s="714">
        <f t="shared" si="12"/>
        <v>100</v>
      </c>
      <c r="T39" s="713" t="s">
        <v>17</v>
      </c>
      <c r="U39" s="714">
        <f t="shared" si="13"/>
        <v>100</v>
      </c>
      <c r="V39" s="713" t="s">
        <v>17</v>
      </c>
      <c r="W39" s="714">
        <f t="shared" si="14"/>
        <v>100</v>
      </c>
      <c r="X39" s="1489"/>
      <c r="Y39" s="3646"/>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47"/>
      <c r="Q40" s="1486">
        <f t="shared" si="11"/>
        <v>111</v>
      </c>
      <c r="R40" s="713" t="s">
        <v>17</v>
      </c>
      <c r="S40" s="714">
        <f t="shared" si="12"/>
        <v>100</v>
      </c>
      <c r="T40" s="713" t="s">
        <v>17</v>
      </c>
      <c r="U40" s="714">
        <f t="shared" si="13"/>
        <v>100</v>
      </c>
      <c r="V40" s="713" t="s">
        <v>17</v>
      </c>
      <c r="W40" s="714">
        <f t="shared" si="14"/>
        <v>100</v>
      </c>
      <c r="X40" s="1489"/>
      <c r="Y40" s="3647"/>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639" t="str">
        <f>A41</f>
        <v>成交单价（元/平方米）</v>
      </c>
      <c r="Q41" s="3639"/>
      <c r="R41" s="3640">
        <f>E41</f>
        <v>0</v>
      </c>
      <c r="S41" s="3640"/>
      <c r="T41" s="3640">
        <f>G41</f>
        <v>0</v>
      </c>
      <c r="U41" s="3640"/>
      <c r="V41" s="3640">
        <f>I41</f>
        <v>0</v>
      </c>
      <c r="W41" s="3640"/>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636" t="str">
        <f>A43</f>
        <v>估价对象XX用房的比较价值（楼面单价，元/平方米）</v>
      </c>
      <c r="Q43" s="3637"/>
      <c r="R43" s="3638" t="e">
        <f>IF(F1="售价",ROUND(IF(D42="简单平均",AVERAGE(R42:V42),R42*F42+T42*H42+V42*J42),0),ROUND(IF(D42="简单平均",AVERAGE(R42:V42),R42*F42+T42*H42+V42*J42),1))</f>
        <v>#DIV/0!</v>
      </c>
      <c r="S43" s="3638"/>
      <c r="T43" s="3638"/>
      <c r="U43" s="3638"/>
      <c r="V43" s="3638"/>
      <c r="W43" s="3638"/>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622" t="s">
        <v>2226</v>
      </c>
      <c r="D4" s="3623"/>
      <c r="E4" s="3624" t="s">
        <v>2227</v>
      </c>
      <c r="F4" s="3625"/>
      <c r="G4" s="3622" t="s">
        <v>2228</v>
      </c>
      <c r="H4" s="3623"/>
      <c r="I4" s="3622" t="s">
        <v>2229</v>
      </c>
      <c r="J4" s="3623"/>
      <c r="K4" s="566" t="s">
        <v>2230</v>
      </c>
      <c r="L4" s="2893"/>
      <c r="M4" s="2894"/>
      <c r="N4" s="2894"/>
      <c r="O4" s="2894"/>
      <c r="P4" s="3626" t="s">
        <v>2231</v>
      </c>
      <c r="Q4" s="3627"/>
      <c r="R4" s="3609" t="s">
        <v>2227</v>
      </c>
      <c r="S4" s="3610"/>
      <c r="T4" s="3609" t="s">
        <v>2228</v>
      </c>
      <c r="U4" s="3610"/>
      <c r="V4" s="3634" t="s">
        <v>2229</v>
      </c>
      <c r="W4" s="3634"/>
      <c r="X4" s="1489"/>
      <c r="Y4" s="3609" t="s">
        <v>2231</v>
      </c>
      <c r="Z4" s="3610"/>
      <c r="AA4" s="3604" t="s">
        <v>2227</v>
      </c>
      <c r="AB4" s="3605" t="s">
        <v>2228</v>
      </c>
      <c r="AC4" s="3604" t="s">
        <v>2229</v>
      </c>
    </row>
    <row r="5" spans="1:29" ht="15">
      <c r="A5" s="363"/>
      <c r="B5" s="364"/>
      <c r="C5" s="3615" t="s">
        <v>2122</v>
      </c>
      <c r="D5" s="3616"/>
      <c r="E5" s="3613" t="s">
        <v>2123</v>
      </c>
      <c r="F5" s="3614"/>
      <c r="G5" s="3615" t="s">
        <v>2124</v>
      </c>
      <c r="H5" s="3616"/>
      <c r="I5" s="3615" t="s">
        <v>2125</v>
      </c>
      <c r="J5" s="3616"/>
      <c r="K5" s="566"/>
      <c r="L5" s="2893"/>
      <c r="M5" s="2894"/>
      <c r="N5" s="2894"/>
      <c r="O5" s="2894"/>
      <c r="P5" s="3628"/>
      <c r="Q5" s="3629"/>
      <c r="R5" s="3611"/>
      <c r="S5" s="3612"/>
      <c r="T5" s="3611"/>
      <c r="U5" s="3612"/>
      <c r="V5" s="3634"/>
      <c r="W5" s="3634"/>
      <c r="X5" s="1489"/>
      <c r="Y5" s="3611"/>
      <c r="Z5" s="3612"/>
      <c r="AA5" s="3605"/>
      <c r="AB5" s="3605"/>
      <c r="AC5" s="3605"/>
    </row>
    <row r="6" spans="1:29" ht="15.75" thickBot="1">
      <c r="A6" s="365"/>
      <c r="B6" s="366"/>
      <c r="C6" s="3617" t="s">
        <v>2126</v>
      </c>
      <c r="D6" s="3618"/>
      <c r="E6" s="3619" t="s">
        <v>2126</v>
      </c>
      <c r="F6" s="3620"/>
      <c r="G6" s="3617" t="s">
        <v>2126</v>
      </c>
      <c r="H6" s="3618"/>
      <c r="I6" s="3617" t="s">
        <v>2126</v>
      </c>
      <c r="J6" s="3618"/>
      <c r="K6" s="566" t="s">
        <v>2127</v>
      </c>
      <c r="L6" s="2893"/>
      <c r="M6" s="2894"/>
      <c r="N6" s="2894"/>
      <c r="O6" s="2894"/>
      <c r="P6" s="3630"/>
      <c r="Q6" s="3631"/>
      <c r="R6" s="3611"/>
      <c r="S6" s="3612"/>
      <c r="T6" s="3632"/>
      <c r="U6" s="3633"/>
      <c r="V6" s="3634"/>
      <c r="W6" s="3634"/>
      <c r="X6" s="1489"/>
      <c r="Y6" s="3632"/>
      <c r="Z6" s="3633"/>
      <c r="AA6" s="3606"/>
      <c r="AB6" s="3606"/>
      <c r="AC6" s="3606"/>
    </row>
    <row r="7" spans="1:29" s="112" customFormat="1" ht="15.75" thickBot="1">
      <c r="A7" s="367" t="s">
        <v>2128</v>
      </c>
      <c r="B7" s="368"/>
      <c r="C7" s="369">
        <f>'数据-取费表'!B2</f>
        <v>44874</v>
      </c>
      <c r="D7" s="370">
        <v>100</v>
      </c>
      <c r="E7" s="371"/>
      <c r="F7" s="372">
        <f>SUMIF(48:48,YEAR(E7)&amp;"-"&amp;MONTH(E7),49:49)</f>
        <v>0</v>
      </c>
      <c r="G7" s="371"/>
      <c r="H7" s="370">
        <f>SUMIF(48:48,YEAR(G7)&amp;"-"&amp;MONTH(G7),49:49)</f>
        <v>0</v>
      </c>
      <c r="I7" s="371"/>
      <c r="J7" s="370">
        <f>SUMIF(48:48,YEAR(I7)&amp;"-"&amp;MONTH(I7),49:49)</f>
        <v>0</v>
      </c>
      <c r="K7" s="567"/>
      <c r="L7" s="2895"/>
      <c r="M7" s="2896"/>
      <c r="N7" s="2896"/>
      <c r="O7" s="2896"/>
      <c r="P7" s="3607" t="s">
        <v>2129</v>
      </c>
      <c r="Q7" s="3635"/>
      <c r="R7" s="709" t="s">
        <v>17</v>
      </c>
      <c r="S7" s="710">
        <f t="shared" ref="S7:S14" si="0">F7</f>
        <v>0</v>
      </c>
      <c r="T7" s="709" t="s">
        <v>17</v>
      </c>
      <c r="U7" s="710">
        <f t="shared" ref="U7:U14" si="1">H7</f>
        <v>0</v>
      </c>
      <c r="V7" s="709" t="s">
        <v>17</v>
      </c>
      <c r="W7" s="710">
        <f t="shared" ref="W7:W14" si="2">J7</f>
        <v>0</v>
      </c>
      <c r="X7" s="711"/>
      <c r="Y7" s="3607" t="s">
        <v>2129</v>
      </c>
      <c r="Z7" s="3608"/>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607" t="s">
        <v>2132</v>
      </c>
      <c r="Q8" s="3608"/>
      <c r="R8" s="709" t="s">
        <v>17</v>
      </c>
      <c r="S8" s="710">
        <f t="shared" si="0"/>
        <v>0</v>
      </c>
      <c r="T8" s="709" t="s">
        <v>17</v>
      </c>
      <c r="U8" s="710">
        <f t="shared" si="1"/>
        <v>0</v>
      </c>
      <c r="V8" s="709" t="s">
        <v>17</v>
      </c>
      <c r="W8" s="710">
        <f t="shared" si="2"/>
        <v>0</v>
      </c>
      <c r="X8" s="711"/>
      <c r="Y8" s="3607" t="s">
        <v>2132</v>
      </c>
      <c r="Z8" s="3608"/>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639" t="s">
        <v>2135</v>
      </c>
      <c r="Q9" s="1477" t="str">
        <f t="shared" ref="Q9:Q14" si="6">B9</f>
        <v>用途</v>
      </c>
      <c r="R9" s="709" t="s">
        <v>17</v>
      </c>
      <c r="S9" s="710">
        <f t="shared" si="0"/>
        <v>100</v>
      </c>
      <c r="T9" s="709" t="s">
        <v>17</v>
      </c>
      <c r="U9" s="710">
        <f t="shared" si="1"/>
        <v>100</v>
      </c>
      <c r="V9" s="709" t="s">
        <v>17</v>
      </c>
      <c r="W9" s="710">
        <f t="shared" si="2"/>
        <v>100</v>
      </c>
      <c r="X9" s="711"/>
      <c r="Y9" s="3551"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639"/>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639"/>
      <c r="Q11" s="1477">
        <f t="shared" si="6"/>
        <v>111</v>
      </c>
      <c r="R11" s="709" t="s">
        <v>17</v>
      </c>
      <c r="S11" s="710">
        <f t="shared" si="0"/>
        <v>100</v>
      </c>
      <c r="T11" s="709" t="s">
        <v>17</v>
      </c>
      <c r="U11" s="710">
        <f t="shared" si="1"/>
        <v>100</v>
      </c>
      <c r="V11" s="709" t="s">
        <v>17</v>
      </c>
      <c r="W11" s="710">
        <f t="shared" si="2"/>
        <v>100</v>
      </c>
      <c r="X11" s="711"/>
      <c r="Y11" s="355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639"/>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639"/>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641" t="s">
        <v>2140</v>
      </c>
      <c r="Q14" s="1486" t="str">
        <f t="shared" si="6"/>
        <v>交通便捷度</v>
      </c>
      <c r="R14" s="713" t="s">
        <v>17</v>
      </c>
      <c r="S14" s="714">
        <f t="shared" si="0"/>
        <v>100</v>
      </c>
      <c r="T14" s="713" t="s">
        <v>17</v>
      </c>
      <c r="U14" s="714">
        <f t="shared" si="1"/>
        <v>100</v>
      </c>
      <c r="V14" s="713" t="s">
        <v>17</v>
      </c>
      <c r="W14" s="714">
        <f t="shared" si="2"/>
        <v>100</v>
      </c>
      <c r="X14" s="1489"/>
      <c r="Y14" s="3641"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642"/>
      <c r="Q15" s="1486"/>
      <c r="R15" s="713"/>
      <c r="S15" s="714"/>
      <c r="T15" s="713"/>
      <c r="U15" s="714"/>
      <c r="V15" s="713"/>
      <c r="W15" s="714"/>
      <c r="X15" s="1489"/>
      <c r="Y15" s="3642"/>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642"/>
      <c r="Q16" s="1486" t="str">
        <f>B16</f>
        <v>公共配套设施</v>
      </c>
      <c r="R16" s="713" t="s">
        <v>17</v>
      </c>
      <c r="S16" s="714">
        <f>F16</f>
        <v>100</v>
      </c>
      <c r="T16" s="713" t="s">
        <v>17</v>
      </c>
      <c r="U16" s="714">
        <f>H16</f>
        <v>100</v>
      </c>
      <c r="V16" s="713" t="s">
        <v>17</v>
      </c>
      <c r="W16" s="714">
        <f>J16</f>
        <v>100</v>
      </c>
      <c r="X16" s="1489"/>
      <c r="Y16" s="3642"/>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642"/>
      <c r="Q17" s="1486"/>
      <c r="R17" s="713"/>
      <c r="S17" s="714"/>
      <c r="T17" s="713"/>
      <c r="U17" s="714"/>
      <c r="V17" s="713"/>
      <c r="W17" s="714"/>
      <c r="X17" s="1489"/>
      <c r="Y17" s="3642"/>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642"/>
      <c r="Q18" s="1486" t="str">
        <f>B18</f>
        <v>基础设施水平</v>
      </c>
      <c r="R18" s="713" t="s">
        <v>17</v>
      </c>
      <c r="S18" s="714">
        <f>F18</f>
        <v>100</v>
      </c>
      <c r="T18" s="713" t="s">
        <v>17</v>
      </c>
      <c r="U18" s="714">
        <f>H18</f>
        <v>100</v>
      </c>
      <c r="V18" s="713" t="s">
        <v>17</v>
      </c>
      <c r="W18" s="714">
        <f>J18</f>
        <v>100</v>
      </c>
      <c r="X18" s="1489"/>
      <c r="Y18" s="3642"/>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642"/>
      <c r="Q19" s="1486"/>
      <c r="R19" s="713"/>
      <c r="S19" s="714"/>
      <c r="T19" s="713"/>
      <c r="U19" s="714"/>
      <c r="V19" s="713"/>
      <c r="W19" s="714"/>
      <c r="X19" s="1489"/>
      <c r="Y19" s="3642"/>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642"/>
      <c r="Q20" s="1486" t="str">
        <f>B20</f>
        <v>自然及人文环境</v>
      </c>
      <c r="R20" s="713" t="s">
        <v>17</v>
      </c>
      <c r="S20" s="714">
        <f>F20</f>
        <v>100</v>
      </c>
      <c r="T20" s="713" t="s">
        <v>17</v>
      </c>
      <c r="U20" s="714">
        <f>H20</f>
        <v>100</v>
      </c>
      <c r="V20" s="713" t="s">
        <v>17</v>
      </c>
      <c r="W20" s="714">
        <f>J20</f>
        <v>100</v>
      </c>
      <c r="X20" s="1489"/>
      <c r="Y20" s="3642"/>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642"/>
      <c r="Q21" s="1486"/>
      <c r="R21" s="713"/>
      <c r="S21" s="714"/>
      <c r="T21" s="713"/>
      <c r="U21" s="714"/>
      <c r="V21" s="713"/>
      <c r="W21" s="714"/>
      <c r="X21" s="1489"/>
      <c r="Y21" s="3642"/>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642"/>
      <c r="Q22" s="1486" t="str">
        <f>B22</f>
        <v>楼层</v>
      </c>
      <c r="R22" s="713" t="s">
        <v>17</v>
      </c>
      <c r="S22" s="714">
        <f>F22</f>
        <v>100</v>
      </c>
      <c r="T22" s="713" t="s">
        <v>17</v>
      </c>
      <c r="U22" s="714">
        <f>H22</f>
        <v>100</v>
      </c>
      <c r="V22" s="713" t="s">
        <v>17</v>
      </c>
      <c r="W22" s="714">
        <f>J22</f>
        <v>100</v>
      </c>
      <c r="X22" s="1489"/>
      <c r="Y22" s="3642"/>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642"/>
      <c r="Q23" s="1486">
        <f>B23</f>
        <v>111</v>
      </c>
      <c r="R23" s="713" t="s">
        <v>17</v>
      </c>
      <c r="S23" s="714">
        <f>F23</f>
        <v>100</v>
      </c>
      <c r="T23" s="713" t="s">
        <v>17</v>
      </c>
      <c r="U23" s="714">
        <f>H23</f>
        <v>100</v>
      </c>
      <c r="V23" s="713" t="s">
        <v>17</v>
      </c>
      <c r="W23" s="714">
        <f>J23</f>
        <v>100</v>
      </c>
      <c r="X23" s="1489"/>
      <c r="Y23" s="3642"/>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642"/>
      <c r="Q24" s="1486">
        <f t="shared" ref="Q24:Q36" si="11">B24</f>
        <v>111</v>
      </c>
      <c r="R24" s="713" t="s">
        <v>17</v>
      </c>
      <c r="S24" s="714">
        <f>F24</f>
        <v>100</v>
      </c>
      <c r="T24" s="713" t="s">
        <v>17</v>
      </c>
      <c r="U24" s="714">
        <f>H24</f>
        <v>100</v>
      </c>
      <c r="V24" s="713" t="s">
        <v>17</v>
      </c>
      <c r="W24" s="714">
        <f>J24</f>
        <v>100</v>
      </c>
      <c r="X24" s="1489"/>
      <c r="Y24" s="3642"/>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642"/>
      <c r="Q25" s="1477">
        <f t="shared" si="11"/>
        <v>111</v>
      </c>
      <c r="R25" s="709" t="s">
        <v>17</v>
      </c>
      <c r="S25" s="710">
        <f>F25</f>
        <v>100</v>
      </c>
      <c r="T25" s="709" t="s">
        <v>17</v>
      </c>
      <c r="U25" s="710">
        <f>H25</f>
        <v>100</v>
      </c>
      <c r="V25" s="709" t="s">
        <v>17</v>
      </c>
      <c r="W25" s="710">
        <f>J25</f>
        <v>100</v>
      </c>
      <c r="X25" s="711"/>
      <c r="Y25" s="3642"/>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6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46"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46"/>
      <c r="Q27" s="715" t="str">
        <f t="shared" si="11"/>
        <v>项目停车位配比</v>
      </c>
      <c r="R27" s="716" t="s">
        <v>17</v>
      </c>
      <c r="S27" s="717">
        <f t="shared" si="12"/>
        <v>100</v>
      </c>
      <c r="T27" s="716" t="s">
        <v>17</v>
      </c>
      <c r="U27" s="717">
        <f t="shared" si="13"/>
        <v>100</v>
      </c>
      <c r="V27" s="716" t="s">
        <v>17</v>
      </c>
      <c r="W27" s="717">
        <f t="shared" si="14"/>
        <v>100</v>
      </c>
      <c r="X27" s="718"/>
      <c r="Y27" s="3646"/>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46"/>
      <c r="Q28" s="1486" t="str">
        <f t="shared" si="11"/>
        <v>公共部分装修</v>
      </c>
      <c r="R28" s="713" t="s">
        <v>17</v>
      </c>
      <c r="S28" s="714">
        <f t="shared" si="12"/>
        <v>100</v>
      </c>
      <c r="T28" s="713" t="s">
        <v>17</v>
      </c>
      <c r="U28" s="714">
        <f t="shared" si="13"/>
        <v>100</v>
      </c>
      <c r="V28" s="713" t="s">
        <v>17</v>
      </c>
      <c r="W28" s="714">
        <f t="shared" si="14"/>
        <v>100</v>
      </c>
      <c r="X28" s="1489"/>
      <c r="Y28" s="3646"/>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46"/>
      <c r="Q29" s="1486" t="str">
        <f t="shared" si="11"/>
        <v>成新率</v>
      </c>
      <c r="R29" s="713" t="s">
        <v>17</v>
      </c>
      <c r="S29" s="714" t="e">
        <f t="shared" si="12"/>
        <v>#N/A</v>
      </c>
      <c r="T29" s="713" t="s">
        <v>17</v>
      </c>
      <c r="U29" s="714" t="e">
        <f t="shared" si="13"/>
        <v>#N/A</v>
      </c>
      <c r="V29" s="713" t="s">
        <v>17</v>
      </c>
      <c r="W29" s="714" t="e">
        <f t="shared" si="14"/>
        <v>#N/A</v>
      </c>
      <c r="X29" s="1489"/>
      <c r="Y29" s="3646"/>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46"/>
      <c r="Q30" s="1486" t="str">
        <f t="shared" si="11"/>
        <v>物业等级</v>
      </c>
      <c r="R30" s="713" t="s">
        <v>17</v>
      </c>
      <c r="S30" s="714">
        <f t="shared" si="12"/>
        <v>100</v>
      </c>
      <c r="T30" s="713" t="s">
        <v>17</v>
      </c>
      <c r="U30" s="714">
        <f t="shared" si="13"/>
        <v>100</v>
      </c>
      <c r="V30" s="713" t="s">
        <v>17</v>
      </c>
      <c r="W30" s="714">
        <f t="shared" si="14"/>
        <v>100</v>
      </c>
      <c r="X30" s="1489"/>
      <c r="Y30" s="3646"/>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46"/>
      <c r="Q31" s="1477" t="str">
        <f t="shared" si="11"/>
        <v>停车位面积</v>
      </c>
      <c r="R31" s="709" t="s">
        <v>17</v>
      </c>
      <c r="S31" s="710" t="e">
        <f t="shared" si="12"/>
        <v>#N/A</v>
      </c>
      <c r="T31" s="709" t="s">
        <v>17</v>
      </c>
      <c r="U31" s="710" t="e">
        <f t="shared" si="13"/>
        <v>#N/A</v>
      </c>
      <c r="V31" s="709" t="s">
        <v>17</v>
      </c>
      <c r="W31" s="710" t="e">
        <f t="shared" si="14"/>
        <v>#N/A</v>
      </c>
      <c r="X31" s="711"/>
      <c r="Y31" s="3646"/>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46" t="s">
        <v>2145</v>
      </c>
      <c r="Q32" s="1486" t="str">
        <f t="shared" si="11"/>
        <v>车位类型</v>
      </c>
      <c r="R32" s="713" t="s">
        <v>17</v>
      </c>
      <c r="S32" s="714">
        <f t="shared" si="12"/>
        <v>100</v>
      </c>
      <c r="T32" s="713" t="s">
        <v>17</v>
      </c>
      <c r="U32" s="714">
        <f t="shared" si="13"/>
        <v>100</v>
      </c>
      <c r="V32" s="713" t="s">
        <v>17</v>
      </c>
      <c r="W32" s="714">
        <f t="shared" si="14"/>
        <v>100</v>
      </c>
      <c r="X32" s="1489"/>
      <c r="Y32" s="3646"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46"/>
      <c r="Q33" s="1486" t="str">
        <f t="shared" si="11"/>
        <v>是否直接入户</v>
      </c>
      <c r="R33" s="713" t="s">
        <v>17</v>
      </c>
      <c r="S33" s="714">
        <f t="shared" si="12"/>
        <v>100</v>
      </c>
      <c r="T33" s="713" t="s">
        <v>17</v>
      </c>
      <c r="U33" s="714">
        <f t="shared" si="13"/>
        <v>100</v>
      </c>
      <c r="V33" s="713" t="s">
        <v>17</v>
      </c>
      <c r="W33" s="714">
        <f t="shared" si="14"/>
        <v>100</v>
      </c>
      <c r="X33" s="1489"/>
      <c r="Y33" s="3646"/>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46"/>
      <c r="Q34" s="1486">
        <f t="shared" si="11"/>
        <v>111</v>
      </c>
      <c r="R34" s="713" t="s">
        <v>17</v>
      </c>
      <c r="S34" s="714">
        <f t="shared" si="12"/>
        <v>100</v>
      </c>
      <c r="T34" s="713" t="s">
        <v>17</v>
      </c>
      <c r="U34" s="714">
        <f t="shared" si="13"/>
        <v>100</v>
      </c>
      <c r="V34" s="713" t="s">
        <v>17</v>
      </c>
      <c r="W34" s="714">
        <f t="shared" si="14"/>
        <v>100</v>
      </c>
      <c r="X34" s="1489"/>
      <c r="Y34" s="3646"/>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46"/>
      <c r="Q35" s="715">
        <f t="shared" si="11"/>
        <v>111</v>
      </c>
      <c r="R35" s="716" t="s">
        <v>17</v>
      </c>
      <c r="S35" s="717">
        <f t="shared" si="12"/>
        <v>100</v>
      </c>
      <c r="T35" s="716" t="s">
        <v>17</v>
      </c>
      <c r="U35" s="717">
        <f t="shared" si="13"/>
        <v>100</v>
      </c>
      <c r="V35" s="716" t="s">
        <v>17</v>
      </c>
      <c r="W35" s="717">
        <f t="shared" si="14"/>
        <v>100</v>
      </c>
      <c r="X35" s="718"/>
      <c r="Y35" s="3646"/>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46"/>
      <c r="Q36" s="1486">
        <f t="shared" si="11"/>
        <v>111</v>
      </c>
      <c r="R36" s="713" t="s">
        <v>17</v>
      </c>
      <c r="S36" s="714">
        <f t="shared" si="12"/>
        <v>100</v>
      </c>
      <c r="T36" s="713" t="s">
        <v>17</v>
      </c>
      <c r="U36" s="714">
        <f t="shared" si="13"/>
        <v>100</v>
      </c>
      <c r="V36" s="713" t="s">
        <v>17</v>
      </c>
      <c r="W36" s="714">
        <f t="shared" si="14"/>
        <v>100</v>
      </c>
      <c r="X36" s="1489"/>
      <c r="Y36" s="3646"/>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639" t="str">
        <f>A37</f>
        <v>成交单价</v>
      </c>
      <c r="Q37" s="3639"/>
      <c r="R37" s="3640">
        <f>E37</f>
        <v>0</v>
      </c>
      <c r="S37" s="3640"/>
      <c r="T37" s="3640">
        <f>G37</f>
        <v>0</v>
      </c>
      <c r="U37" s="3640"/>
      <c r="V37" s="3640">
        <f>I37</f>
        <v>0</v>
      </c>
      <c r="W37" s="3640"/>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636" t="str">
        <f>A39</f>
        <v>估价对象XX用房的比较价值（楼面单价，元/平方米）</v>
      </c>
      <c r="Q39" s="3637"/>
      <c r="R39" s="3666" t="e">
        <f>IF(F1="售价",ROUND(IF(D38="简单平均",AVERAGE(R38:W38),R38*F38+T38*H38+V38*J38),0),ROUND(IF(D38="简单平均",AVERAGE(R38:V38),R38*F38+T38*H38+V38*J38),1))</f>
        <v>#DIV/0!</v>
      </c>
      <c r="S39" s="3666"/>
      <c r="T39" s="3666"/>
      <c r="U39" s="3666"/>
      <c r="V39" s="3666"/>
      <c r="W39" s="366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2" t="s">
        <v>2226</v>
      </c>
      <c r="D4" s="3623"/>
      <c r="E4" s="3624" t="s">
        <v>2227</v>
      </c>
      <c r="F4" s="3625"/>
      <c r="G4" s="3622" t="s">
        <v>2228</v>
      </c>
      <c r="H4" s="3623"/>
      <c r="I4" s="3622" t="s">
        <v>2229</v>
      </c>
      <c r="J4" s="3623"/>
      <c r="K4" s="566" t="s">
        <v>2230</v>
      </c>
      <c r="L4" s="2893"/>
      <c r="M4" s="2894"/>
      <c r="N4" s="2894"/>
      <c r="O4" s="2894"/>
      <c r="P4" s="3626" t="s">
        <v>2231</v>
      </c>
      <c r="Q4" s="3627"/>
      <c r="R4" s="3609" t="s">
        <v>2227</v>
      </c>
      <c r="S4" s="3610"/>
      <c r="T4" s="3609" t="s">
        <v>2228</v>
      </c>
      <c r="U4" s="3610"/>
      <c r="V4" s="3634" t="s">
        <v>2229</v>
      </c>
      <c r="W4" s="3634"/>
      <c r="X4" s="1489"/>
      <c r="Y4" s="3609" t="s">
        <v>2231</v>
      </c>
      <c r="Z4" s="3610"/>
      <c r="AA4" s="3604" t="s">
        <v>2227</v>
      </c>
      <c r="AB4" s="3605" t="s">
        <v>2228</v>
      </c>
      <c r="AC4" s="3604" t="s">
        <v>2229</v>
      </c>
    </row>
    <row r="5" spans="1:29" ht="15">
      <c r="A5" s="363"/>
      <c r="B5" s="364"/>
      <c r="C5" s="3615" t="s">
        <v>2122</v>
      </c>
      <c r="D5" s="3616"/>
      <c r="E5" s="3613" t="s">
        <v>2123</v>
      </c>
      <c r="F5" s="3614"/>
      <c r="G5" s="3615" t="s">
        <v>2124</v>
      </c>
      <c r="H5" s="3616"/>
      <c r="I5" s="3615" t="s">
        <v>2125</v>
      </c>
      <c r="J5" s="3616"/>
      <c r="K5" s="566"/>
      <c r="L5" s="2893"/>
      <c r="M5" s="2894"/>
      <c r="N5" s="2894"/>
      <c r="O5" s="2894"/>
      <c r="P5" s="3628"/>
      <c r="Q5" s="3629"/>
      <c r="R5" s="3611"/>
      <c r="S5" s="3612"/>
      <c r="T5" s="3611"/>
      <c r="U5" s="3612"/>
      <c r="V5" s="3634"/>
      <c r="W5" s="3634"/>
      <c r="X5" s="1489"/>
      <c r="Y5" s="3611"/>
      <c r="Z5" s="3612"/>
      <c r="AA5" s="3605"/>
      <c r="AB5" s="3605"/>
      <c r="AC5" s="3605"/>
    </row>
    <row r="6" spans="1:29" ht="15.75" thickBot="1">
      <c r="A6" s="365"/>
      <c r="B6" s="366"/>
      <c r="C6" s="3617" t="s">
        <v>2126</v>
      </c>
      <c r="D6" s="3618"/>
      <c r="E6" s="3619" t="s">
        <v>2126</v>
      </c>
      <c r="F6" s="3620"/>
      <c r="G6" s="3617" t="s">
        <v>2126</v>
      </c>
      <c r="H6" s="3618"/>
      <c r="I6" s="3617" t="s">
        <v>2126</v>
      </c>
      <c r="J6" s="3618"/>
      <c r="K6" s="566" t="s">
        <v>2127</v>
      </c>
      <c r="L6" s="2893"/>
      <c r="M6" s="2894"/>
      <c r="N6" s="2894"/>
      <c r="O6" s="2894"/>
      <c r="P6" s="3630"/>
      <c r="Q6" s="3631"/>
      <c r="R6" s="3611"/>
      <c r="S6" s="3612"/>
      <c r="T6" s="3632"/>
      <c r="U6" s="3633"/>
      <c r="V6" s="3634"/>
      <c r="W6" s="3634"/>
      <c r="X6" s="1489"/>
      <c r="Y6" s="3632"/>
      <c r="Z6" s="3633"/>
      <c r="AA6" s="3606"/>
      <c r="AB6" s="3606"/>
      <c r="AC6" s="3606"/>
    </row>
    <row r="7" spans="1:29" s="112" customFormat="1" ht="15.75" thickBot="1">
      <c r="A7" s="367" t="s">
        <v>2128</v>
      </c>
      <c r="B7" s="368"/>
      <c r="C7" s="369">
        <f>'数据-取费表'!B2</f>
        <v>44874</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607" t="s">
        <v>2129</v>
      </c>
      <c r="Q7" s="3635"/>
      <c r="R7" s="709" t="s">
        <v>17</v>
      </c>
      <c r="S7" s="710">
        <f t="shared" ref="S7:S14" si="0">F7</f>
        <v>0</v>
      </c>
      <c r="T7" s="709" t="s">
        <v>17</v>
      </c>
      <c r="U7" s="710">
        <f t="shared" ref="U7:U14" si="1">H7</f>
        <v>0</v>
      </c>
      <c r="V7" s="709" t="s">
        <v>17</v>
      </c>
      <c r="W7" s="710">
        <f t="shared" ref="W7:W14" si="2">J7</f>
        <v>0</v>
      </c>
      <c r="X7" s="711"/>
      <c r="Y7" s="3607" t="s">
        <v>2129</v>
      </c>
      <c r="Z7" s="3608"/>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607" t="s">
        <v>2132</v>
      </c>
      <c r="Q8" s="3608"/>
      <c r="R8" s="709" t="s">
        <v>17</v>
      </c>
      <c r="S8" s="710">
        <f t="shared" si="0"/>
        <v>0</v>
      </c>
      <c r="T8" s="709" t="s">
        <v>17</v>
      </c>
      <c r="U8" s="710">
        <f t="shared" si="1"/>
        <v>0</v>
      </c>
      <c r="V8" s="709" t="s">
        <v>17</v>
      </c>
      <c r="W8" s="710">
        <f t="shared" si="2"/>
        <v>0</v>
      </c>
      <c r="X8" s="711"/>
      <c r="Y8" s="3607" t="s">
        <v>2132</v>
      </c>
      <c r="Z8" s="3608"/>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639" t="s">
        <v>2135</v>
      </c>
      <c r="Q9" s="1477" t="str">
        <f t="shared" ref="Q9:Q14" si="6">B9</f>
        <v>用途</v>
      </c>
      <c r="R9" s="709" t="s">
        <v>17</v>
      </c>
      <c r="S9" s="710">
        <f t="shared" si="0"/>
        <v>100</v>
      </c>
      <c r="T9" s="709" t="s">
        <v>17</v>
      </c>
      <c r="U9" s="710">
        <f t="shared" si="1"/>
        <v>100</v>
      </c>
      <c r="V9" s="709" t="s">
        <v>17</v>
      </c>
      <c r="W9" s="710">
        <f t="shared" si="2"/>
        <v>100</v>
      </c>
      <c r="X9" s="711"/>
      <c r="Y9" s="3551"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639"/>
      <c r="Q10" s="1477" t="str">
        <f t="shared" si="6"/>
        <v>土地使用年限（年）</v>
      </c>
      <c r="R10" s="709" t="s">
        <v>17</v>
      </c>
      <c r="S10" s="710">
        <f t="shared" si="0"/>
        <v>100</v>
      </c>
      <c r="T10" s="709" t="s">
        <v>17</v>
      </c>
      <c r="U10" s="710">
        <f t="shared" si="1"/>
        <v>100</v>
      </c>
      <c r="V10" s="709" t="s">
        <v>17</v>
      </c>
      <c r="W10" s="710">
        <f t="shared" si="2"/>
        <v>100</v>
      </c>
      <c r="X10" s="711"/>
      <c r="Y10" s="3551"/>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639"/>
      <c r="Q11" s="1477">
        <f t="shared" si="6"/>
        <v>111</v>
      </c>
      <c r="R11" s="709" t="s">
        <v>17</v>
      </c>
      <c r="S11" s="710">
        <f t="shared" si="0"/>
        <v>100</v>
      </c>
      <c r="T11" s="709" t="s">
        <v>17</v>
      </c>
      <c r="U11" s="710">
        <f t="shared" si="1"/>
        <v>100</v>
      </c>
      <c r="V11" s="709" t="s">
        <v>17</v>
      </c>
      <c r="W11" s="710">
        <f t="shared" si="2"/>
        <v>100</v>
      </c>
      <c r="X11" s="711"/>
      <c r="Y11" s="3551"/>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639"/>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639"/>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641" t="s">
        <v>2140</v>
      </c>
      <c r="Q14" s="1486" t="str">
        <f t="shared" si="6"/>
        <v>交通便捷度</v>
      </c>
      <c r="R14" s="713" t="s">
        <v>17</v>
      </c>
      <c r="S14" s="714">
        <f t="shared" si="0"/>
        <v>100</v>
      </c>
      <c r="T14" s="713" t="s">
        <v>17</v>
      </c>
      <c r="U14" s="714">
        <f t="shared" si="1"/>
        <v>100</v>
      </c>
      <c r="V14" s="713" t="s">
        <v>17</v>
      </c>
      <c r="W14" s="714">
        <f t="shared" si="2"/>
        <v>100</v>
      </c>
      <c r="X14" s="1489"/>
      <c r="Y14" s="3641"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642"/>
      <c r="Q15" s="1486"/>
      <c r="R15" s="713"/>
      <c r="S15" s="714"/>
      <c r="T15" s="713"/>
      <c r="U15" s="714"/>
      <c r="V15" s="713"/>
      <c r="W15" s="714"/>
      <c r="X15" s="1489"/>
      <c r="Y15" s="3642"/>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642"/>
      <c r="Q16" s="1486" t="str">
        <f>B16</f>
        <v>公共配套设施</v>
      </c>
      <c r="R16" s="713" t="s">
        <v>17</v>
      </c>
      <c r="S16" s="714">
        <f>F16</f>
        <v>100</v>
      </c>
      <c r="T16" s="713" t="s">
        <v>17</v>
      </c>
      <c r="U16" s="714">
        <f>H16</f>
        <v>100</v>
      </c>
      <c r="V16" s="713" t="s">
        <v>17</v>
      </c>
      <c r="W16" s="714">
        <f>J16</f>
        <v>100</v>
      </c>
      <c r="X16" s="1489"/>
      <c r="Y16" s="3642"/>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642"/>
      <c r="Q17" s="1486"/>
      <c r="R17" s="713"/>
      <c r="S17" s="714"/>
      <c r="T17" s="713"/>
      <c r="U17" s="714"/>
      <c r="V17" s="713"/>
      <c r="W17" s="714"/>
      <c r="X17" s="1489"/>
      <c r="Y17" s="3642"/>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642"/>
      <c r="Q18" s="1486" t="str">
        <f>B18</f>
        <v>基础设施水平</v>
      </c>
      <c r="R18" s="713" t="s">
        <v>17</v>
      </c>
      <c r="S18" s="714">
        <f>F18</f>
        <v>100</v>
      </c>
      <c r="T18" s="713" t="s">
        <v>17</v>
      </c>
      <c r="U18" s="714">
        <f>H18</f>
        <v>100</v>
      </c>
      <c r="V18" s="713" t="s">
        <v>17</v>
      </c>
      <c r="W18" s="714">
        <f>J18</f>
        <v>100</v>
      </c>
      <c r="X18" s="1489"/>
      <c r="Y18" s="3642"/>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642"/>
      <c r="Q19" s="1486"/>
      <c r="R19" s="713"/>
      <c r="S19" s="714"/>
      <c r="T19" s="713"/>
      <c r="U19" s="714"/>
      <c r="V19" s="713"/>
      <c r="W19" s="714"/>
      <c r="X19" s="1489"/>
      <c r="Y19" s="3642"/>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642"/>
      <c r="Q20" s="1486" t="str">
        <f>B20</f>
        <v>自然及人文环境</v>
      </c>
      <c r="R20" s="713" t="s">
        <v>17</v>
      </c>
      <c r="S20" s="714">
        <f>F20</f>
        <v>100</v>
      </c>
      <c r="T20" s="713" t="s">
        <v>17</v>
      </c>
      <c r="U20" s="714">
        <f>H20</f>
        <v>100</v>
      </c>
      <c r="V20" s="713" t="s">
        <v>17</v>
      </c>
      <c r="W20" s="714">
        <f>J20</f>
        <v>100</v>
      </c>
      <c r="X20" s="1489"/>
      <c r="Y20" s="3642"/>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642"/>
      <c r="Q21" s="1486"/>
      <c r="R21" s="713"/>
      <c r="S21" s="714"/>
      <c r="T21" s="713"/>
      <c r="U21" s="714"/>
      <c r="V21" s="713"/>
      <c r="W21" s="714"/>
      <c r="X21" s="1489"/>
      <c r="Y21" s="3642"/>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642"/>
      <c r="Q22" s="1486" t="str">
        <f>B22</f>
        <v>楼层</v>
      </c>
      <c r="R22" s="713" t="s">
        <v>17</v>
      </c>
      <c r="S22" s="714">
        <f>F22</f>
        <v>100</v>
      </c>
      <c r="T22" s="713" t="s">
        <v>17</v>
      </c>
      <c r="U22" s="714">
        <f>H22</f>
        <v>100</v>
      </c>
      <c r="V22" s="713" t="s">
        <v>17</v>
      </c>
      <c r="W22" s="714">
        <f>J22</f>
        <v>100</v>
      </c>
      <c r="X22" s="1489"/>
      <c r="Y22" s="3642"/>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642"/>
      <c r="Q23" s="1486">
        <f>B23</f>
        <v>111</v>
      </c>
      <c r="R23" s="713" t="s">
        <v>17</v>
      </c>
      <c r="S23" s="714">
        <f>F23</f>
        <v>100</v>
      </c>
      <c r="T23" s="713" t="s">
        <v>17</v>
      </c>
      <c r="U23" s="714">
        <f>H23</f>
        <v>100</v>
      </c>
      <c r="V23" s="713" t="s">
        <v>17</v>
      </c>
      <c r="W23" s="714">
        <f>J23</f>
        <v>100</v>
      </c>
      <c r="X23" s="1489"/>
      <c r="Y23" s="3642"/>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642"/>
      <c r="Q24" s="1486">
        <f t="shared" ref="Q24:Q34" si="11">B24</f>
        <v>111</v>
      </c>
      <c r="R24" s="713" t="s">
        <v>17</v>
      </c>
      <c r="S24" s="714">
        <f>F24</f>
        <v>100</v>
      </c>
      <c r="T24" s="713" t="s">
        <v>17</v>
      </c>
      <c r="U24" s="714">
        <f>H24</f>
        <v>100</v>
      </c>
      <c r="V24" s="713" t="s">
        <v>17</v>
      </c>
      <c r="W24" s="714">
        <f>J24</f>
        <v>100</v>
      </c>
      <c r="X24" s="1489"/>
      <c r="Y24" s="3642"/>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642"/>
      <c r="Q25" s="1477">
        <f t="shared" si="11"/>
        <v>111</v>
      </c>
      <c r="R25" s="709" t="s">
        <v>17</v>
      </c>
      <c r="S25" s="710">
        <f>F25</f>
        <v>100</v>
      </c>
      <c r="T25" s="709" t="s">
        <v>17</v>
      </c>
      <c r="U25" s="710">
        <f>H25</f>
        <v>100</v>
      </c>
      <c r="V25" s="709" t="s">
        <v>17</v>
      </c>
      <c r="W25" s="710">
        <f>J25</f>
        <v>100</v>
      </c>
      <c r="X25" s="711"/>
      <c r="Y25" s="3642"/>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6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46"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46"/>
      <c r="Q27" s="715" t="str">
        <f t="shared" si="11"/>
        <v>成新率</v>
      </c>
      <c r="R27" s="716" t="s">
        <v>17</v>
      </c>
      <c r="S27" s="717" t="e">
        <f t="shared" si="12"/>
        <v>#N/A</v>
      </c>
      <c r="T27" s="716" t="s">
        <v>17</v>
      </c>
      <c r="U27" s="717" t="e">
        <f t="shared" si="13"/>
        <v>#N/A</v>
      </c>
      <c r="V27" s="716" t="s">
        <v>17</v>
      </c>
      <c r="W27" s="717" t="e">
        <f t="shared" si="14"/>
        <v>#N/A</v>
      </c>
      <c r="X27" s="718"/>
      <c r="Y27" s="3646"/>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46"/>
      <c r="Q28" s="1486" t="str">
        <f t="shared" si="11"/>
        <v>物业等级</v>
      </c>
      <c r="R28" s="713" t="s">
        <v>17</v>
      </c>
      <c r="S28" s="714">
        <f t="shared" si="12"/>
        <v>100</v>
      </c>
      <c r="T28" s="713" t="s">
        <v>17</v>
      </c>
      <c r="U28" s="714">
        <f t="shared" si="13"/>
        <v>100</v>
      </c>
      <c r="V28" s="713" t="s">
        <v>17</v>
      </c>
      <c r="W28" s="714">
        <f t="shared" si="14"/>
        <v>100</v>
      </c>
      <c r="X28" s="1489"/>
      <c r="Y28" s="3646"/>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46"/>
      <c r="Q29" s="1486" t="str">
        <f t="shared" si="11"/>
        <v>有无电梯</v>
      </c>
      <c r="R29" s="713" t="s">
        <v>17</v>
      </c>
      <c r="S29" s="714">
        <f t="shared" si="12"/>
        <v>100</v>
      </c>
      <c r="T29" s="713" t="s">
        <v>17</v>
      </c>
      <c r="U29" s="714">
        <f t="shared" si="13"/>
        <v>100</v>
      </c>
      <c r="V29" s="713" t="s">
        <v>17</v>
      </c>
      <c r="W29" s="714">
        <f t="shared" si="14"/>
        <v>100</v>
      </c>
      <c r="X29" s="1489"/>
      <c r="Y29" s="3646"/>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46"/>
      <c r="Q30" s="1486" t="str">
        <f t="shared" si="11"/>
        <v>建筑面积</v>
      </c>
      <c r="R30" s="713" t="s">
        <v>17</v>
      </c>
      <c r="S30" s="714" t="e">
        <f t="shared" si="12"/>
        <v>#N/A</v>
      </c>
      <c r="T30" s="713" t="s">
        <v>17</v>
      </c>
      <c r="U30" s="714" t="e">
        <f t="shared" si="13"/>
        <v>#N/A</v>
      </c>
      <c r="V30" s="713" t="s">
        <v>17</v>
      </c>
      <c r="W30" s="714" t="e">
        <f t="shared" si="14"/>
        <v>#N/A</v>
      </c>
      <c r="X30" s="1489"/>
      <c r="Y30" s="3646"/>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46"/>
      <c r="Q31" s="1477" t="str">
        <f t="shared" si="11"/>
        <v>是否封闭</v>
      </c>
      <c r="R31" s="709" t="s">
        <v>17</v>
      </c>
      <c r="S31" s="710">
        <f t="shared" si="12"/>
        <v>100</v>
      </c>
      <c r="T31" s="709" t="s">
        <v>17</v>
      </c>
      <c r="U31" s="710">
        <f t="shared" si="13"/>
        <v>100</v>
      </c>
      <c r="V31" s="709" t="s">
        <v>17</v>
      </c>
      <c r="W31" s="710">
        <f t="shared" si="14"/>
        <v>100</v>
      </c>
      <c r="X31" s="711"/>
      <c r="Y31" s="3646"/>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46" t="s">
        <v>2145</v>
      </c>
      <c r="Q32" s="1486">
        <f t="shared" si="11"/>
        <v>111</v>
      </c>
      <c r="R32" s="713" t="s">
        <v>17</v>
      </c>
      <c r="S32" s="714">
        <f t="shared" si="12"/>
        <v>100</v>
      </c>
      <c r="T32" s="713" t="s">
        <v>17</v>
      </c>
      <c r="U32" s="714">
        <f t="shared" si="13"/>
        <v>100</v>
      </c>
      <c r="V32" s="713" t="s">
        <v>17</v>
      </c>
      <c r="W32" s="714">
        <f t="shared" si="14"/>
        <v>100</v>
      </c>
      <c r="X32" s="1489"/>
      <c r="Y32" s="3646"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46"/>
      <c r="Q33" s="1486">
        <f t="shared" si="11"/>
        <v>111</v>
      </c>
      <c r="R33" s="713" t="s">
        <v>17</v>
      </c>
      <c r="S33" s="714">
        <f t="shared" si="12"/>
        <v>100</v>
      </c>
      <c r="T33" s="713" t="s">
        <v>17</v>
      </c>
      <c r="U33" s="714">
        <f t="shared" si="13"/>
        <v>100</v>
      </c>
      <c r="V33" s="713" t="s">
        <v>17</v>
      </c>
      <c r="W33" s="714">
        <f t="shared" si="14"/>
        <v>100</v>
      </c>
      <c r="X33" s="1489"/>
      <c r="Y33" s="3646"/>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46"/>
      <c r="Q34" s="1486">
        <f t="shared" si="11"/>
        <v>111</v>
      </c>
      <c r="R34" s="713" t="s">
        <v>17</v>
      </c>
      <c r="S34" s="714">
        <f t="shared" si="12"/>
        <v>100</v>
      </c>
      <c r="T34" s="713" t="s">
        <v>17</v>
      </c>
      <c r="U34" s="714">
        <f t="shared" si="13"/>
        <v>100</v>
      </c>
      <c r="V34" s="713" t="s">
        <v>17</v>
      </c>
      <c r="W34" s="714">
        <f t="shared" si="14"/>
        <v>100</v>
      </c>
      <c r="X34" s="1489"/>
      <c r="Y34" s="3646"/>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639" t="str">
        <f>A35</f>
        <v>成交单价（元/平方米）</v>
      </c>
      <c r="Q35" s="3639"/>
      <c r="R35" s="3640">
        <f>E35</f>
        <v>0</v>
      </c>
      <c r="S35" s="3640"/>
      <c r="T35" s="3640">
        <f>G35</f>
        <v>0</v>
      </c>
      <c r="U35" s="3640"/>
      <c r="V35" s="3640">
        <f>I35</f>
        <v>0</v>
      </c>
      <c r="W35" s="3640"/>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636" t="str">
        <f>A37</f>
        <v>估价对象XX用房的比较价值（楼面单价，元/平方米）</v>
      </c>
      <c r="Q37" s="3637"/>
      <c r="R37" s="3666" t="e">
        <f>IF(F1="售价",ROUND(IF(D36="简单平均",AVERAGE(R36:W36),R36*F36+T36*H36+V36*J36),0),ROUND(IF(D36="简单平均",AVERAGE(R36:V36),R36*F36+T36*H36+V36*J36),1))</f>
        <v>#DIV/0!</v>
      </c>
      <c r="S37" s="3666"/>
      <c r="T37" s="3666"/>
      <c r="U37" s="3666"/>
      <c r="V37" s="3666"/>
      <c r="W37" s="366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622" t="s">
        <v>2226</v>
      </c>
      <c r="D4" s="3623"/>
      <c r="E4" s="3624" t="s">
        <v>2227</v>
      </c>
      <c r="F4" s="3625"/>
      <c r="G4" s="3622" t="s">
        <v>2228</v>
      </c>
      <c r="H4" s="3623"/>
      <c r="I4" s="3622" t="s">
        <v>2229</v>
      </c>
      <c r="J4" s="3623"/>
      <c r="K4" s="566" t="s">
        <v>2230</v>
      </c>
      <c r="L4" s="2893"/>
      <c r="M4" s="2894"/>
      <c r="N4" s="2894"/>
      <c r="O4" s="2894"/>
      <c r="P4" s="3626" t="s">
        <v>2231</v>
      </c>
      <c r="Q4" s="3627"/>
      <c r="R4" s="3609" t="s">
        <v>2227</v>
      </c>
      <c r="S4" s="3610"/>
      <c r="T4" s="3609" t="s">
        <v>2228</v>
      </c>
      <c r="U4" s="3610"/>
      <c r="V4" s="3634" t="s">
        <v>2229</v>
      </c>
      <c r="W4" s="3634"/>
      <c r="X4" s="1489"/>
      <c r="Y4" s="3609" t="s">
        <v>2231</v>
      </c>
      <c r="Z4" s="3610"/>
      <c r="AA4" s="3604" t="s">
        <v>2227</v>
      </c>
      <c r="AB4" s="3605" t="s">
        <v>2228</v>
      </c>
      <c r="AC4" s="3604" t="s">
        <v>2229</v>
      </c>
    </row>
    <row r="5" spans="1:30" ht="15">
      <c r="A5" s="363"/>
      <c r="B5" s="364"/>
      <c r="C5" s="3615" t="s">
        <v>2122</v>
      </c>
      <c r="D5" s="3616"/>
      <c r="E5" s="3613" t="s">
        <v>2123</v>
      </c>
      <c r="F5" s="3614"/>
      <c r="G5" s="3615" t="s">
        <v>2124</v>
      </c>
      <c r="H5" s="3616"/>
      <c r="I5" s="3615" t="s">
        <v>2125</v>
      </c>
      <c r="J5" s="3616"/>
      <c r="K5" s="566"/>
      <c r="L5" s="2893"/>
      <c r="M5" s="2894"/>
      <c r="N5" s="2894"/>
      <c r="O5" s="2894"/>
      <c r="P5" s="3628"/>
      <c r="Q5" s="3629"/>
      <c r="R5" s="3611"/>
      <c r="S5" s="3612"/>
      <c r="T5" s="3611"/>
      <c r="U5" s="3612"/>
      <c r="V5" s="3634"/>
      <c r="W5" s="3634"/>
      <c r="X5" s="1489"/>
      <c r="Y5" s="3611"/>
      <c r="Z5" s="3612"/>
      <c r="AA5" s="3605"/>
      <c r="AB5" s="3605"/>
      <c r="AC5" s="3605"/>
    </row>
    <row r="6" spans="1:30" ht="15.75" thickBot="1">
      <c r="A6" s="365"/>
      <c r="B6" s="366"/>
      <c r="C6" s="3617" t="s">
        <v>2126</v>
      </c>
      <c r="D6" s="3618"/>
      <c r="E6" s="3619" t="s">
        <v>2126</v>
      </c>
      <c r="F6" s="3620"/>
      <c r="G6" s="3617" t="s">
        <v>2126</v>
      </c>
      <c r="H6" s="3618"/>
      <c r="I6" s="3617" t="s">
        <v>2126</v>
      </c>
      <c r="J6" s="3618"/>
      <c r="K6" s="566" t="s">
        <v>2127</v>
      </c>
      <c r="L6" s="2893"/>
      <c r="M6" s="2894"/>
      <c r="N6" s="2894"/>
      <c r="O6" s="2894"/>
      <c r="P6" s="3630"/>
      <c r="Q6" s="3631"/>
      <c r="R6" s="3611"/>
      <c r="S6" s="3612"/>
      <c r="T6" s="3632"/>
      <c r="U6" s="3633"/>
      <c r="V6" s="3634"/>
      <c r="W6" s="3634"/>
      <c r="X6" s="1489"/>
      <c r="Y6" s="3632"/>
      <c r="Z6" s="3633"/>
      <c r="AA6" s="3606"/>
      <c r="AB6" s="3606"/>
      <c r="AC6" s="3606"/>
    </row>
    <row r="7" spans="1:30" s="112" customFormat="1" ht="15.75" thickBot="1">
      <c r="A7" s="367" t="s">
        <v>2128</v>
      </c>
      <c r="B7" s="368"/>
      <c r="C7" s="369">
        <f>'数据-取费表'!B2</f>
        <v>44874</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607" t="s">
        <v>2129</v>
      </c>
      <c r="Q7" s="3635"/>
      <c r="R7" s="709" t="s">
        <v>17</v>
      </c>
      <c r="S7" s="710">
        <f t="shared" ref="S7:S15" si="0">F7</f>
        <v>0</v>
      </c>
      <c r="T7" s="709" t="s">
        <v>17</v>
      </c>
      <c r="U7" s="710">
        <f t="shared" ref="U7:U15" si="1">H7</f>
        <v>0</v>
      </c>
      <c r="V7" s="709" t="s">
        <v>17</v>
      </c>
      <c r="W7" s="710">
        <f t="shared" ref="W7:W15" si="2">J7</f>
        <v>0</v>
      </c>
      <c r="X7" s="711"/>
      <c r="Y7" s="3607" t="s">
        <v>2129</v>
      </c>
      <c r="Z7" s="3608"/>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607" t="s">
        <v>2132</v>
      </c>
      <c r="Q8" s="3608"/>
      <c r="R8" s="709" t="s">
        <v>17</v>
      </c>
      <c r="S8" s="710">
        <f t="shared" si="0"/>
        <v>0</v>
      </c>
      <c r="T8" s="709" t="s">
        <v>17</v>
      </c>
      <c r="U8" s="710">
        <f t="shared" si="1"/>
        <v>0</v>
      </c>
      <c r="V8" s="709" t="s">
        <v>17</v>
      </c>
      <c r="W8" s="710">
        <f t="shared" si="2"/>
        <v>0</v>
      </c>
      <c r="X8" s="711"/>
      <c r="Y8" s="3607" t="s">
        <v>2132</v>
      </c>
      <c r="Z8" s="3608"/>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639"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639"/>
      <c r="Q10" s="1477" t="str">
        <f t="shared" si="6"/>
        <v>土地使用年限（年）</v>
      </c>
      <c r="R10" s="709" t="s">
        <v>17</v>
      </c>
      <c r="S10" s="710">
        <f t="shared" si="0"/>
        <v>113</v>
      </c>
      <c r="T10" s="709" t="s">
        <v>17</v>
      </c>
      <c r="U10" s="710">
        <f t="shared" si="1"/>
        <v>113</v>
      </c>
      <c r="V10" s="709" t="s">
        <v>17</v>
      </c>
      <c r="W10" s="710">
        <f t="shared" si="2"/>
        <v>113</v>
      </c>
      <c r="X10" s="711"/>
      <c r="Y10" s="3551"/>
      <c r="Z10" s="54"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639"/>
      <c r="Q11" s="1477" t="str">
        <f t="shared" si="6"/>
        <v>容积率</v>
      </c>
      <c r="R11" s="709" t="s">
        <v>17</v>
      </c>
      <c r="S11" s="710" t="e">
        <f t="shared" si="0"/>
        <v>#N/A</v>
      </c>
      <c r="T11" s="709" t="s">
        <v>17</v>
      </c>
      <c r="U11" s="710" t="e">
        <f t="shared" si="1"/>
        <v>#N/A</v>
      </c>
      <c r="V11" s="709" t="s">
        <v>17</v>
      </c>
      <c r="W11" s="710" t="e">
        <f t="shared" si="2"/>
        <v>#N/A</v>
      </c>
      <c r="X11" s="711"/>
      <c r="Y11" s="3551"/>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639"/>
      <c r="Q12" s="1477" t="str">
        <f t="shared" si="6"/>
        <v>配建</v>
      </c>
      <c r="R12" s="709" t="s">
        <v>17</v>
      </c>
      <c r="S12" s="710">
        <f t="shared" si="0"/>
        <v>100</v>
      </c>
      <c r="T12" s="709" t="s">
        <v>17</v>
      </c>
      <c r="U12" s="710">
        <f t="shared" si="1"/>
        <v>100</v>
      </c>
      <c r="V12" s="709" t="s">
        <v>17</v>
      </c>
      <c r="W12" s="710">
        <f t="shared" si="2"/>
        <v>100</v>
      </c>
      <c r="X12" s="711"/>
      <c r="Y12" s="3551"/>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639"/>
      <c r="Q13" s="1477">
        <f t="shared" si="6"/>
        <v>111</v>
      </c>
      <c r="R13" s="709" t="s">
        <v>17</v>
      </c>
      <c r="S13" s="710">
        <f t="shared" si="0"/>
        <v>100</v>
      </c>
      <c r="T13" s="709" t="s">
        <v>17</v>
      </c>
      <c r="U13" s="710">
        <f t="shared" si="1"/>
        <v>100</v>
      </c>
      <c r="V13" s="709" t="s">
        <v>17</v>
      </c>
      <c r="W13" s="710">
        <f t="shared" si="2"/>
        <v>100</v>
      </c>
      <c r="X13" s="711"/>
      <c r="Y13" s="3551"/>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639"/>
      <c r="Q14" s="1477">
        <f t="shared" si="6"/>
        <v>111</v>
      </c>
      <c r="R14" s="709" t="s">
        <v>17</v>
      </c>
      <c r="S14" s="710">
        <f t="shared" si="0"/>
        <v>100</v>
      </c>
      <c r="T14" s="709" t="s">
        <v>17</v>
      </c>
      <c r="U14" s="710">
        <f t="shared" si="1"/>
        <v>100</v>
      </c>
      <c r="V14" s="709" t="s">
        <v>17</v>
      </c>
      <c r="W14" s="710">
        <f t="shared" si="2"/>
        <v>100</v>
      </c>
      <c r="X14" s="711"/>
      <c r="Y14" s="3551"/>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641" t="s">
        <v>2140</v>
      </c>
      <c r="Q15" s="1486" t="str">
        <f t="shared" si="6"/>
        <v>居住社区成熟度</v>
      </c>
      <c r="R15" s="713" t="s">
        <v>17</v>
      </c>
      <c r="S15" s="714">
        <f t="shared" si="0"/>
        <v>100</v>
      </c>
      <c r="T15" s="713" t="s">
        <v>17</v>
      </c>
      <c r="U15" s="714">
        <f t="shared" si="1"/>
        <v>100</v>
      </c>
      <c r="V15" s="713" t="s">
        <v>17</v>
      </c>
      <c r="W15" s="714">
        <f t="shared" si="2"/>
        <v>100</v>
      </c>
      <c r="X15" s="1489"/>
      <c r="Y15" s="3641"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642"/>
      <c r="Q16" s="1486"/>
      <c r="R16" s="713"/>
      <c r="S16" s="714"/>
      <c r="T16" s="713"/>
      <c r="U16" s="714"/>
      <c r="V16" s="713"/>
      <c r="W16" s="714"/>
      <c r="X16" s="1489"/>
      <c r="Y16" s="3642"/>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642"/>
      <c r="Q17" s="1486" t="str">
        <f>B17</f>
        <v>商业繁华度</v>
      </c>
      <c r="R17" s="713" t="s">
        <v>17</v>
      </c>
      <c r="S17" s="714">
        <f>F17</f>
        <v>100</v>
      </c>
      <c r="T17" s="713" t="s">
        <v>17</v>
      </c>
      <c r="U17" s="714">
        <f>H17</f>
        <v>100</v>
      </c>
      <c r="V17" s="713" t="s">
        <v>17</v>
      </c>
      <c r="W17" s="714">
        <f>J17</f>
        <v>100</v>
      </c>
      <c r="X17" s="1489"/>
      <c r="Y17" s="3642"/>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642"/>
      <c r="Q18" s="1486"/>
      <c r="R18" s="713"/>
      <c r="S18" s="714"/>
      <c r="T18" s="713"/>
      <c r="U18" s="714"/>
      <c r="V18" s="713"/>
      <c r="W18" s="714"/>
      <c r="X18" s="1489"/>
      <c r="Y18" s="3642"/>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642"/>
      <c r="Q19" s="1486" t="str">
        <f>B19</f>
        <v>办公集聚程度</v>
      </c>
      <c r="R19" s="713" t="s">
        <v>17</v>
      </c>
      <c r="S19" s="714">
        <f>F19</f>
        <v>100</v>
      </c>
      <c r="T19" s="713" t="s">
        <v>17</v>
      </c>
      <c r="U19" s="714">
        <f>H19</f>
        <v>100</v>
      </c>
      <c r="V19" s="713" t="s">
        <v>17</v>
      </c>
      <c r="W19" s="714">
        <f>J19</f>
        <v>100</v>
      </c>
      <c r="X19" s="1489"/>
      <c r="Y19" s="3642"/>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642"/>
      <c r="Q20" s="1486"/>
      <c r="R20" s="713"/>
      <c r="S20" s="714"/>
      <c r="T20" s="713"/>
      <c r="U20" s="714"/>
      <c r="V20" s="713"/>
      <c r="W20" s="714"/>
      <c r="X20" s="1489"/>
      <c r="Y20" s="3642"/>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642"/>
      <c r="Q21" s="1486" t="str">
        <f>B21</f>
        <v>交通便捷度</v>
      </c>
      <c r="R21" s="713" t="s">
        <v>17</v>
      </c>
      <c r="S21" s="714">
        <f>F21</f>
        <v>100</v>
      </c>
      <c r="T21" s="713" t="s">
        <v>17</v>
      </c>
      <c r="U21" s="714">
        <f>H21</f>
        <v>100</v>
      </c>
      <c r="V21" s="713" t="s">
        <v>17</v>
      </c>
      <c r="W21" s="714">
        <f>J21</f>
        <v>100</v>
      </c>
      <c r="X21" s="1489"/>
      <c r="Y21" s="3642"/>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642"/>
      <c r="Q22" s="1486"/>
      <c r="R22" s="713"/>
      <c r="S22" s="714"/>
      <c r="T22" s="713"/>
      <c r="U22" s="714"/>
      <c r="V22" s="713"/>
      <c r="W22" s="714"/>
      <c r="X22" s="1489"/>
      <c r="Y22" s="3642"/>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642"/>
      <c r="Q23" s="1486" t="str">
        <f t="shared" ref="Q23:Q37" si="8">B23</f>
        <v>区域土地利用方向</v>
      </c>
      <c r="R23" s="713" t="s">
        <v>17</v>
      </c>
      <c r="S23" s="714">
        <f>F23</f>
        <v>100</v>
      </c>
      <c r="T23" s="713" t="s">
        <v>17</v>
      </c>
      <c r="U23" s="714">
        <f>H23</f>
        <v>100</v>
      </c>
      <c r="V23" s="713" t="s">
        <v>17</v>
      </c>
      <c r="W23" s="714">
        <f>J23</f>
        <v>100</v>
      </c>
      <c r="X23" s="1489"/>
      <c r="Y23" s="3642"/>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642"/>
      <c r="Q24" s="1486"/>
      <c r="R24" s="713"/>
      <c r="S24" s="714"/>
      <c r="T24" s="713"/>
      <c r="U24" s="714"/>
      <c r="V24" s="713"/>
      <c r="W24" s="714"/>
      <c r="X24" s="1489"/>
      <c r="Y24" s="3642"/>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642"/>
      <c r="Q25" s="1486" t="str">
        <f t="shared" si="8"/>
        <v>自然及人文环境状况</v>
      </c>
      <c r="R25" s="713" t="s">
        <v>17</v>
      </c>
      <c r="S25" s="714">
        <f>F25</f>
        <v>100</v>
      </c>
      <c r="T25" s="713" t="s">
        <v>17</v>
      </c>
      <c r="U25" s="714">
        <f>H25</f>
        <v>100</v>
      </c>
      <c r="V25" s="713" t="s">
        <v>17</v>
      </c>
      <c r="W25" s="714">
        <f>J25</f>
        <v>100</v>
      </c>
      <c r="X25" s="1489"/>
      <c r="Y25" s="3642"/>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642"/>
      <c r="Q26" s="1486"/>
      <c r="R26" s="713"/>
      <c r="S26" s="714"/>
      <c r="T26" s="713"/>
      <c r="U26" s="714"/>
      <c r="V26" s="713"/>
      <c r="W26" s="714"/>
      <c r="X26" s="1489"/>
      <c r="Y26" s="3642"/>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642"/>
      <c r="Q27" s="1477" t="str">
        <f t="shared" si="8"/>
        <v>公共配套设施</v>
      </c>
      <c r="R27" s="709" t="s">
        <v>17</v>
      </c>
      <c r="S27" s="710">
        <f>F27</f>
        <v>100</v>
      </c>
      <c r="T27" s="709" t="s">
        <v>17</v>
      </c>
      <c r="U27" s="710">
        <f>H27</f>
        <v>100</v>
      </c>
      <c r="V27" s="709" t="s">
        <v>17</v>
      </c>
      <c r="W27" s="710">
        <f>J27</f>
        <v>100</v>
      </c>
      <c r="X27" s="711"/>
      <c r="Y27" s="3642"/>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642"/>
      <c r="Q28" s="1477"/>
      <c r="R28" s="709"/>
      <c r="S28" s="710"/>
      <c r="T28" s="709"/>
      <c r="U28" s="710"/>
      <c r="V28" s="709"/>
      <c r="W28" s="710"/>
      <c r="X28" s="711"/>
      <c r="Y28" s="3642"/>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642"/>
      <c r="Q29" s="1477" t="str">
        <f t="shared" ref="Q29" si="9">B29</f>
        <v>基础设施水平</v>
      </c>
      <c r="R29" s="709" t="s">
        <v>17</v>
      </c>
      <c r="S29" s="710">
        <f>F29</f>
        <v>100</v>
      </c>
      <c r="T29" s="709" t="s">
        <v>17</v>
      </c>
      <c r="U29" s="710">
        <f>H29</f>
        <v>100</v>
      </c>
      <c r="V29" s="709" t="s">
        <v>17</v>
      </c>
      <c r="W29" s="710">
        <f>J29</f>
        <v>100</v>
      </c>
      <c r="X29" s="711"/>
      <c r="Y29" s="3642"/>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642"/>
      <c r="Q30" s="1477"/>
      <c r="R30" s="709"/>
      <c r="S30" s="710"/>
      <c r="T30" s="709"/>
      <c r="U30" s="710"/>
      <c r="V30" s="709"/>
      <c r="W30" s="710"/>
      <c r="X30" s="711"/>
      <c r="Y30" s="3642"/>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642"/>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642"/>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642"/>
      <c r="Q32" s="1486" t="str">
        <f t="shared" si="8"/>
        <v>毗邻道路的类型与等级</v>
      </c>
      <c r="R32" s="713" t="s">
        <v>17</v>
      </c>
      <c r="S32" s="714">
        <f t="shared" si="10"/>
        <v>100</v>
      </c>
      <c r="T32" s="713" t="s">
        <v>17</v>
      </c>
      <c r="U32" s="714">
        <f t="shared" si="11"/>
        <v>100</v>
      </c>
      <c r="V32" s="713" t="s">
        <v>17</v>
      </c>
      <c r="W32" s="714">
        <f t="shared" si="12"/>
        <v>100</v>
      </c>
      <c r="X32" s="1489"/>
      <c r="Y32" s="3642"/>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642"/>
      <c r="Q33" s="1486"/>
      <c r="R33" s="713"/>
      <c r="S33" s="714"/>
      <c r="T33" s="713"/>
      <c r="U33" s="714"/>
      <c r="V33" s="713"/>
      <c r="W33" s="714"/>
      <c r="X33" s="1489"/>
      <c r="Y33" s="3642"/>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642"/>
      <c r="Q34" s="1486" t="str">
        <f t="shared" si="8"/>
        <v>土地级别</v>
      </c>
      <c r="R34" s="713" t="s">
        <v>17</v>
      </c>
      <c r="S34" s="714">
        <f t="shared" si="10"/>
        <v>100</v>
      </c>
      <c r="T34" s="713" t="s">
        <v>17</v>
      </c>
      <c r="U34" s="714">
        <f t="shared" si="11"/>
        <v>100</v>
      </c>
      <c r="V34" s="713" t="s">
        <v>17</v>
      </c>
      <c r="W34" s="714">
        <f t="shared" si="12"/>
        <v>100</v>
      </c>
      <c r="X34" s="1489"/>
      <c r="Y34" s="3642"/>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642"/>
      <c r="Q35" s="1486">
        <f t="shared" si="8"/>
        <v>111</v>
      </c>
      <c r="R35" s="713" t="s">
        <v>17</v>
      </c>
      <c r="S35" s="714">
        <f t="shared" si="10"/>
        <v>100</v>
      </c>
      <c r="T35" s="713" t="s">
        <v>17</v>
      </c>
      <c r="U35" s="714">
        <f t="shared" si="11"/>
        <v>100</v>
      </c>
      <c r="V35" s="713" t="s">
        <v>17</v>
      </c>
      <c r="W35" s="714">
        <f t="shared" si="12"/>
        <v>100</v>
      </c>
      <c r="X35" s="1489"/>
      <c r="Y35" s="3642"/>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65" t="s">
        <v>2145</v>
      </c>
      <c r="Q36" s="1486">
        <f t="shared" si="8"/>
        <v>111</v>
      </c>
      <c r="R36" s="713" t="s">
        <v>17</v>
      </c>
      <c r="S36" s="714">
        <f t="shared" si="10"/>
        <v>100</v>
      </c>
      <c r="T36" s="713" t="s">
        <v>17</v>
      </c>
      <c r="U36" s="714">
        <f t="shared" si="11"/>
        <v>100</v>
      </c>
      <c r="V36" s="713" t="s">
        <v>17</v>
      </c>
      <c r="W36" s="714">
        <f t="shared" si="12"/>
        <v>100</v>
      </c>
      <c r="X36" s="1489"/>
      <c r="Y36" s="3646"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46"/>
      <c r="Q37" s="1486">
        <f t="shared" si="8"/>
        <v>111</v>
      </c>
      <c r="R37" s="716" t="s">
        <v>17</v>
      </c>
      <c r="S37" s="717">
        <f t="shared" si="10"/>
        <v>100</v>
      </c>
      <c r="T37" s="716" t="s">
        <v>17</v>
      </c>
      <c r="U37" s="717">
        <f t="shared" si="11"/>
        <v>100</v>
      </c>
      <c r="V37" s="716" t="s">
        <v>17</v>
      </c>
      <c r="W37" s="717">
        <f t="shared" si="12"/>
        <v>100</v>
      </c>
      <c r="X37" s="718"/>
      <c r="Y37" s="3646"/>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46"/>
      <c r="Q38" s="1486" t="str">
        <f>B38</f>
        <v>宗地面积</v>
      </c>
      <c r="R38" s="713" t="s">
        <v>17</v>
      </c>
      <c r="S38" s="714" t="e">
        <f t="shared" si="10"/>
        <v>#N/A</v>
      </c>
      <c r="T38" s="713" t="s">
        <v>17</v>
      </c>
      <c r="U38" s="714" t="e">
        <f t="shared" si="11"/>
        <v>#N/A</v>
      </c>
      <c r="V38" s="713" t="s">
        <v>17</v>
      </c>
      <c r="W38" s="714" t="e">
        <f t="shared" si="12"/>
        <v>#N/A</v>
      </c>
      <c r="X38" s="1489"/>
      <c r="Y38" s="3646"/>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46"/>
      <c r="Q39" s="1486" t="str">
        <f t="shared" ref="Q39:Q45" si="14">B39</f>
        <v>宗地形状</v>
      </c>
      <c r="R39" s="713" t="s">
        <v>17</v>
      </c>
      <c r="S39" s="714">
        <f t="shared" si="10"/>
        <v>100</v>
      </c>
      <c r="T39" s="713" t="s">
        <v>17</v>
      </c>
      <c r="U39" s="714">
        <f t="shared" si="11"/>
        <v>100</v>
      </c>
      <c r="V39" s="713" t="s">
        <v>17</v>
      </c>
      <c r="W39" s="714">
        <f t="shared" si="12"/>
        <v>100</v>
      </c>
      <c r="X39" s="1489"/>
      <c r="Y39" s="3646"/>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46"/>
      <c r="Q40" s="1486" t="str">
        <f t="shared" si="14"/>
        <v>临街宽度及深度</v>
      </c>
      <c r="R40" s="713" t="s">
        <v>17</v>
      </c>
      <c r="S40" s="714">
        <f t="shared" si="10"/>
        <v>100</v>
      </c>
      <c r="T40" s="713" t="s">
        <v>17</v>
      </c>
      <c r="U40" s="714">
        <f t="shared" si="11"/>
        <v>100</v>
      </c>
      <c r="V40" s="713" t="s">
        <v>17</v>
      </c>
      <c r="W40" s="714">
        <f t="shared" si="12"/>
        <v>100</v>
      </c>
      <c r="X40" s="1489"/>
      <c r="Y40" s="3646"/>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46"/>
      <c r="Q41" s="1486" t="str">
        <f t="shared" si="14"/>
        <v>宗地开发程度</v>
      </c>
      <c r="R41" s="709" t="s">
        <v>17</v>
      </c>
      <c r="S41" s="710">
        <f t="shared" si="10"/>
        <v>100</v>
      </c>
      <c r="T41" s="709" t="s">
        <v>17</v>
      </c>
      <c r="U41" s="710">
        <f t="shared" si="11"/>
        <v>100</v>
      </c>
      <c r="V41" s="709" t="s">
        <v>17</v>
      </c>
      <c r="W41" s="710">
        <f t="shared" si="12"/>
        <v>100</v>
      </c>
      <c r="X41" s="711"/>
      <c r="Y41" s="3646"/>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46" t="s">
        <v>2145</v>
      </c>
      <c r="Q42" s="1486" t="str">
        <f t="shared" si="14"/>
        <v>工程地质条件</v>
      </c>
      <c r="R42" s="713" t="s">
        <v>17</v>
      </c>
      <c r="S42" s="714">
        <f t="shared" si="10"/>
        <v>100</v>
      </c>
      <c r="T42" s="713" t="s">
        <v>17</v>
      </c>
      <c r="U42" s="714">
        <f t="shared" si="11"/>
        <v>100</v>
      </c>
      <c r="V42" s="713" t="s">
        <v>17</v>
      </c>
      <c r="W42" s="714">
        <f t="shared" si="12"/>
        <v>100</v>
      </c>
      <c r="X42" s="1489"/>
      <c r="Y42" s="3646"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46"/>
      <c r="Q43" s="1486">
        <f t="shared" si="14"/>
        <v>111</v>
      </c>
      <c r="R43" s="713" t="s">
        <v>17</v>
      </c>
      <c r="S43" s="714">
        <f t="shared" si="10"/>
        <v>100</v>
      </c>
      <c r="T43" s="713" t="s">
        <v>17</v>
      </c>
      <c r="U43" s="714">
        <f t="shared" si="11"/>
        <v>100</v>
      </c>
      <c r="V43" s="713" t="s">
        <v>17</v>
      </c>
      <c r="W43" s="714">
        <f t="shared" si="12"/>
        <v>100</v>
      </c>
      <c r="X43" s="1489"/>
      <c r="Y43" s="3646"/>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46"/>
      <c r="Q44" s="1486">
        <f t="shared" si="14"/>
        <v>111</v>
      </c>
      <c r="R44" s="713" t="s">
        <v>17</v>
      </c>
      <c r="S44" s="714">
        <f t="shared" si="10"/>
        <v>100</v>
      </c>
      <c r="T44" s="713" t="s">
        <v>17</v>
      </c>
      <c r="U44" s="714">
        <f t="shared" si="11"/>
        <v>100</v>
      </c>
      <c r="V44" s="713" t="s">
        <v>17</v>
      </c>
      <c r="W44" s="714">
        <f t="shared" si="12"/>
        <v>100</v>
      </c>
      <c r="X44" s="1489"/>
      <c r="Y44" s="3646"/>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46"/>
      <c r="Q45" s="1486">
        <f t="shared" si="14"/>
        <v>111</v>
      </c>
      <c r="R45" s="716" t="s">
        <v>17</v>
      </c>
      <c r="S45" s="717">
        <f t="shared" si="10"/>
        <v>100</v>
      </c>
      <c r="T45" s="716" t="s">
        <v>17</v>
      </c>
      <c r="U45" s="717">
        <f t="shared" si="11"/>
        <v>100</v>
      </c>
      <c r="V45" s="716" t="s">
        <v>17</v>
      </c>
      <c r="W45" s="717">
        <f t="shared" si="12"/>
        <v>100</v>
      </c>
      <c r="X45" s="718"/>
      <c r="Y45" s="3646"/>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639" t="str">
        <f>A46</f>
        <v>成交单价</v>
      </c>
      <c r="Q46" s="3639"/>
      <c r="R46" s="3634">
        <f>E46</f>
        <v>0</v>
      </c>
      <c r="S46" s="3634"/>
      <c r="T46" s="3634">
        <f>G46</f>
        <v>0</v>
      </c>
      <c r="U46" s="3634"/>
      <c r="V46" s="3634">
        <f>I46</f>
        <v>0</v>
      </c>
      <c r="W46" s="3634"/>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639" t="str">
        <f>A47</f>
        <v>比较价值（元/平方米）</v>
      </c>
      <c r="Q47" s="3639"/>
      <c r="R47" s="3667" t="e">
        <f>ROUND(PRODUCT(R46,AA7:AA45),0)</f>
        <v>#DIV/0!</v>
      </c>
      <c r="S47" s="3667"/>
      <c r="T47" s="3667" t="e">
        <f>ROUND(PRODUCT(T46,AB7:AB45),0)</f>
        <v>#DIV/0!</v>
      </c>
      <c r="U47" s="3667"/>
      <c r="V47" s="3667" t="e">
        <f>ROUND(PRODUCT(V46,AC7:AC45),0)</f>
        <v>#DIV/0!</v>
      </c>
      <c r="W47" s="3667"/>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636" t="str">
        <f>A48</f>
        <v>估价对象XX用房的比较价值（楼面单价，元/平方米）</v>
      </c>
      <c r="Q48" s="3637"/>
      <c r="R48" s="3668" t="e">
        <f>ROUND(IF(D47="简单平均",AVERAGE(R47:W47),R47*F47+T47*H47+V47*J47),0)</f>
        <v>#DIV/0!</v>
      </c>
      <c r="S48" s="3668"/>
      <c r="T48" s="3668"/>
      <c r="U48" s="3668"/>
      <c r="V48" s="3668"/>
      <c r="W48" s="366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622" t="s">
        <v>2344</v>
      </c>
      <c r="H55" s="3669"/>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28627.21</v>
      </c>
      <c r="F56" s="997" t="e">
        <f t="shared" ref="F56:F64" si="15">ROUND(B56*E56/10000,0)</f>
        <v>#DIV/0!</v>
      </c>
      <c r="G56" s="3621"/>
      <c r="H56" s="3639"/>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28627.21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2" t="s">
        <v>2226</v>
      </c>
      <c r="D4" s="3623"/>
      <c r="E4" s="3624" t="s">
        <v>2227</v>
      </c>
      <c r="F4" s="3625"/>
      <c r="G4" s="3622" t="s">
        <v>2228</v>
      </c>
      <c r="H4" s="3623"/>
      <c r="I4" s="3622" t="s">
        <v>2229</v>
      </c>
      <c r="J4" s="3623"/>
      <c r="K4" s="566" t="s">
        <v>2230</v>
      </c>
      <c r="L4" s="2893"/>
      <c r="M4" s="2894"/>
      <c r="N4" s="2894"/>
      <c r="O4" s="2894"/>
      <c r="P4" s="3626" t="s">
        <v>2231</v>
      </c>
      <c r="Q4" s="3627"/>
      <c r="R4" s="3609" t="s">
        <v>2227</v>
      </c>
      <c r="S4" s="3610"/>
      <c r="T4" s="3609" t="s">
        <v>2228</v>
      </c>
      <c r="U4" s="3610"/>
      <c r="V4" s="3634" t="s">
        <v>2229</v>
      </c>
      <c r="W4" s="3634"/>
      <c r="X4" s="1489"/>
      <c r="Y4" s="3609" t="s">
        <v>2231</v>
      </c>
      <c r="Z4" s="3610"/>
      <c r="AA4" s="3604" t="s">
        <v>2227</v>
      </c>
      <c r="AB4" s="3605" t="s">
        <v>2228</v>
      </c>
      <c r="AC4" s="3604" t="s">
        <v>2229</v>
      </c>
    </row>
    <row r="5" spans="1:29" ht="15">
      <c r="A5" s="363"/>
      <c r="B5" s="364"/>
      <c r="C5" s="3615" t="s">
        <v>2122</v>
      </c>
      <c r="D5" s="3616"/>
      <c r="E5" s="3613" t="s">
        <v>2123</v>
      </c>
      <c r="F5" s="3614"/>
      <c r="G5" s="3615" t="s">
        <v>2124</v>
      </c>
      <c r="H5" s="3616"/>
      <c r="I5" s="3615" t="s">
        <v>2125</v>
      </c>
      <c r="J5" s="3616"/>
      <c r="K5" s="566"/>
      <c r="L5" s="2893"/>
      <c r="M5" s="2894"/>
      <c r="N5" s="2894"/>
      <c r="O5" s="2894"/>
      <c r="P5" s="3628"/>
      <c r="Q5" s="3629"/>
      <c r="R5" s="3611"/>
      <c r="S5" s="3612"/>
      <c r="T5" s="3611"/>
      <c r="U5" s="3612"/>
      <c r="V5" s="3634"/>
      <c r="W5" s="3634"/>
      <c r="X5" s="1489"/>
      <c r="Y5" s="3611"/>
      <c r="Z5" s="3612"/>
      <c r="AA5" s="3605"/>
      <c r="AB5" s="3605"/>
      <c r="AC5" s="3605"/>
    </row>
    <row r="6" spans="1:29" ht="15.75" thickBot="1">
      <c r="A6" s="365"/>
      <c r="B6" s="366"/>
      <c r="C6" s="3670" t="s">
        <v>2376</v>
      </c>
      <c r="D6" s="3671"/>
      <c r="E6" s="3672" t="s">
        <v>2376</v>
      </c>
      <c r="F6" s="3673"/>
      <c r="G6" s="3670" t="s">
        <v>2376</v>
      </c>
      <c r="H6" s="3671"/>
      <c r="I6" s="3670" t="s">
        <v>2376</v>
      </c>
      <c r="J6" s="3671"/>
      <c r="K6" s="566" t="s">
        <v>2127</v>
      </c>
      <c r="L6" s="2893"/>
      <c r="M6" s="2894"/>
      <c r="N6" s="2894"/>
      <c r="O6" s="2894"/>
      <c r="P6" s="3630"/>
      <c r="Q6" s="3631"/>
      <c r="R6" s="3611"/>
      <c r="S6" s="3612"/>
      <c r="T6" s="3632"/>
      <c r="U6" s="3633"/>
      <c r="V6" s="3634"/>
      <c r="W6" s="3634"/>
      <c r="X6" s="1489"/>
      <c r="Y6" s="3632"/>
      <c r="Z6" s="3633"/>
      <c r="AA6" s="3606"/>
      <c r="AB6" s="3606"/>
      <c r="AC6" s="3606"/>
    </row>
    <row r="7" spans="1:29" s="112" customFormat="1" ht="15.75" thickBot="1">
      <c r="A7" s="367" t="s">
        <v>2128</v>
      </c>
      <c r="B7" s="368"/>
      <c r="C7" s="369">
        <f>'数据-取费表'!B2</f>
        <v>44874</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607" t="s">
        <v>2129</v>
      </c>
      <c r="Q7" s="3635"/>
      <c r="R7" s="709" t="s">
        <v>17</v>
      </c>
      <c r="S7" s="710">
        <f t="shared" ref="S7:S15" si="0">F7</f>
        <v>0</v>
      </c>
      <c r="T7" s="709" t="s">
        <v>17</v>
      </c>
      <c r="U7" s="710">
        <f t="shared" ref="U7:U15" si="1">H7</f>
        <v>0</v>
      </c>
      <c r="V7" s="709" t="s">
        <v>17</v>
      </c>
      <c r="W7" s="710">
        <f t="shared" ref="W7:W15" si="2">J7</f>
        <v>0</v>
      </c>
      <c r="X7" s="711"/>
      <c r="Y7" s="3607" t="s">
        <v>2129</v>
      </c>
      <c r="Z7" s="3608"/>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607" t="s">
        <v>2132</v>
      </c>
      <c r="Q8" s="3608"/>
      <c r="R8" s="709" t="s">
        <v>17</v>
      </c>
      <c r="S8" s="710">
        <f t="shared" si="0"/>
        <v>0</v>
      </c>
      <c r="T8" s="709" t="s">
        <v>17</v>
      </c>
      <c r="U8" s="710">
        <f t="shared" si="1"/>
        <v>0</v>
      </c>
      <c r="V8" s="709" t="s">
        <v>17</v>
      </c>
      <c r="W8" s="710">
        <f t="shared" si="2"/>
        <v>0</v>
      </c>
      <c r="X8" s="711"/>
      <c r="Y8" s="3607" t="s">
        <v>2132</v>
      </c>
      <c r="Z8" s="3608"/>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639" t="s">
        <v>2135</v>
      </c>
      <c r="Q9" s="1477" t="str">
        <f t="shared" ref="Q9:Q15" si="6">B9</f>
        <v>用途</v>
      </c>
      <c r="R9" s="709" t="s">
        <v>17</v>
      </c>
      <c r="S9" s="710">
        <f t="shared" si="0"/>
        <v>100</v>
      </c>
      <c r="T9" s="709" t="s">
        <v>17</v>
      </c>
      <c r="U9" s="710">
        <f t="shared" si="1"/>
        <v>100</v>
      </c>
      <c r="V9" s="709" t="s">
        <v>17</v>
      </c>
      <c r="W9" s="710">
        <f t="shared" si="2"/>
        <v>100</v>
      </c>
      <c r="X9" s="711"/>
      <c r="Y9" s="3551"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639"/>
      <c r="Q10" s="1477" t="str">
        <f t="shared" si="6"/>
        <v>土地使用年限（年）</v>
      </c>
      <c r="R10" s="709" t="s">
        <v>17</v>
      </c>
      <c r="S10" s="710">
        <f t="shared" si="0"/>
        <v>113</v>
      </c>
      <c r="T10" s="709" t="s">
        <v>17</v>
      </c>
      <c r="U10" s="710">
        <f t="shared" si="1"/>
        <v>113</v>
      </c>
      <c r="V10" s="709" t="s">
        <v>17</v>
      </c>
      <c r="W10" s="710">
        <f t="shared" si="2"/>
        <v>113</v>
      </c>
      <c r="X10" s="711"/>
      <c r="Y10" s="3551"/>
      <c r="Z10" s="54"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639"/>
      <c r="Q11" s="1477" t="str">
        <f t="shared" si="6"/>
        <v>容积率</v>
      </c>
      <c r="R11" s="709" t="s">
        <v>17</v>
      </c>
      <c r="S11" s="710" t="e">
        <f t="shared" si="0"/>
        <v>#N/A</v>
      </c>
      <c r="T11" s="709" t="s">
        <v>17</v>
      </c>
      <c r="U11" s="710" t="e">
        <f t="shared" si="1"/>
        <v>#N/A</v>
      </c>
      <c r="V11" s="709" t="s">
        <v>17</v>
      </c>
      <c r="W11" s="710" t="e">
        <f t="shared" si="2"/>
        <v>#N/A</v>
      </c>
      <c r="X11" s="711"/>
      <c r="Y11" s="3551"/>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639"/>
      <c r="Q12" s="1477">
        <f t="shared" si="6"/>
        <v>111</v>
      </c>
      <c r="R12" s="709" t="s">
        <v>17</v>
      </c>
      <c r="S12" s="710">
        <f t="shared" si="0"/>
        <v>100</v>
      </c>
      <c r="T12" s="709" t="s">
        <v>17</v>
      </c>
      <c r="U12" s="710">
        <f t="shared" si="1"/>
        <v>100</v>
      </c>
      <c r="V12" s="709" t="s">
        <v>17</v>
      </c>
      <c r="W12" s="710">
        <f t="shared" si="2"/>
        <v>100</v>
      </c>
      <c r="X12" s="711"/>
      <c r="Y12" s="3551"/>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639"/>
      <c r="Q13" s="1477">
        <f t="shared" si="6"/>
        <v>111</v>
      </c>
      <c r="R13" s="709" t="s">
        <v>17</v>
      </c>
      <c r="S13" s="710">
        <f t="shared" si="0"/>
        <v>100</v>
      </c>
      <c r="T13" s="709" t="s">
        <v>17</v>
      </c>
      <c r="U13" s="710">
        <f t="shared" si="1"/>
        <v>100</v>
      </c>
      <c r="V13" s="709" t="s">
        <v>17</v>
      </c>
      <c r="W13" s="710">
        <f t="shared" si="2"/>
        <v>100</v>
      </c>
      <c r="X13" s="711"/>
      <c r="Y13" s="3551"/>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639"/>
      <c r="Q14" s="1477">
        <f t="shared" si="6"/>
        <v>111</v>
      </c>
      <c r="R14" s="709" t="s">
        <v>17</v>
      </c>
      <c r="S14" s="710">
        <f t="shared" si="0"/>
        <v>100</v>
      </c>
      <c r="T14" s="709" t="s">
        <v>17</v>
      </c>
      <c r="U14" s="710">
        <f t="shared" si="1"/>
        <v>100</v>
      </c>
      <c r="V14" s="709" t="s">
        <v>17</v>
      </c>
      <c r="W14" s="710">
        <f t="shared" si="2"/>
        <v>100</v>
      </c>
      <c r="X14" s="711"/>
      <c r="Y14" s="3551"/>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641" t="s">
        <v>2140</v>
      </c>
      <c r="Q15" s="1486" t="str">
        <f t="shared" si="6"/>
        <v>产业集聚程度</v>
      </c>
      <c r="R15" s="713" t="s">
        <v>17</v>
      </c>
      <c r="S15" s="714">
        <f t="shared" si="0"/>
        <v>100</v>
      </c>
      <c r="T15" s="713" t="s">
        <v>17</v>
      </c>
      <c r="U15" s="714">
        <f t="shared" si="1"/>
        <v>100</v>
      </c>
      <c r="V15" s="713" t="s">
        <v>17</v>
      </c>
      <c r="W15" s="714">
        <f t="shared" si="2"/>
        <v>100</v>
      </c>
      <c r="X15" s="1489"/>
      <c r="Y15" s="3641"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642"/>
      <c r="Q16" s="1486"/>
      <c r="R16" s="713"/>
      <c r="S16" s="714"/>
      <c r="T16" s="713"/>
      <c r="U16" s="714"/>
      <c r="V16" s="713"/>
      <c r="W16" s="714"/>
      <c r="X16" s="1489"/>
      <c r="Y16" s="3642"/>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642"/>
      <c r="Q17" s="1486" t="str">
        <f>B17</f>
        <v>交通便捷度</v>
      </c>
      <c r="R17" s="713" t="s">
        <v>17</v>
      </c>
      <c r="S17" s="714">
        <f>F17</f>
        <v>100</v>
      </c>
      <c r="T17" s="713" t="s">
        <v>17</v>
      </c>
      <c r="U17" s="714">
        <f>H17</f>
        <v>100</v>
      </c>
      <c r="V17" s="713" t="s">
        <v>17</v>
      </c>
      <c r="W17" s="714">
        <f>J17</f>
        <v>100</v>
      </c>
      <c r="X17" s="1489"/>
      <c r="Y17" s="3642"/>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642"/>
      <c r="Q18" s="1486"/>
      <c r="R18" s="713"/>
      <c r="S18" s="714"/>
      <c r="T18" s="713"/>
      <c r="U18" s="714"/>
      <c r="V18" s="713"/>
      <c r="W18" s="714"/>
      <c r="X18" s="1489"/>
      <c r="Y18" s="3642"/>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642"/>
      <c r="Q19" s="1486" t="str">
        <f t="shared" ref="Q19:Q33" si="8">B19</f>
        <v>区域土地利用方向</v>
      </c>
      <c r="R19" s="713" t="s">
        <v>17</v>
      </c>
      <c r="S19" s="714">
        <f>F19</f>
        <v>100</v>
      </c>
      <c r="T19" s="713" t="s">
        <v>17</v>
      </c>
      <c r="U19" s="714">
        <f>H19</f>
        <v>100</v>
      </c>
      <c r="V19" s="713" t="s">
        <v>17</v>
      </c>
      <c r="W19" s="714">
        <f>J19</f>
        <v>100</v>
      </c>
      <c r="X19" s="1489"/>
      <c r="Y19" s="3642"/>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642"/>
      <c r="Q20" s="1486"/>
      <c r="R20" s="713"/>
      <c r="S20" s="714"/>
      <c r="T20" s="713"/>
      <c r="U20" s="714"/>
      <c r="V20" s="713"/>
      <c r="W20" s="714"/>
      <c r="X20" s="1489"/>
      <c r="Y20" s="3642"/>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642"/>
      <c r="Q21" s="1486" t="str">
        <f t="shared" si="8"/>
        <v>环境状况</v>
      </c>
      <c r="R21" s="713" t="s">
        <v>17</v>
      </c>
      <c r="S21" s="714">
        <f>F21</f>
        <v>100</v>
      </c>
      <c r="T21" s="713" t="s">
        <v>17</v>
      </c>
      <c r="U21" s="714">
        <f>H21</f>
        <v>100</v>
      </c>
      <c r="V21" s="713" t="s">
        <v>17</v>
      </c>
      <c r="W21" s="714">
        <f>J21</f>
        <v>100</v>
      </c>
      <c r="X21" s="1489"/>
      <c r="Y21" s="3642"/>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642"/>
      <c r="Q22" s="1486"/>
      <c r="R22" s="713"/>
      <c r="S22" s="714"/>
      <c r="T22" s="713"/>
      <c r="U22" s="714"/>
      <c r="V22" s="713"/>
      <c r="W22" s="714"/>
      <c r="X22" s="1489"/>
      <c r="Y22" s="3642"/>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642"/>
      <c r="Q23" s="1477" t="str">
        <f t="shared" si="8"/>
        <v>公共配套设施</v>
      </c>
      <c r="R23" s="709" t="s">
        <v>17</v>
      </c>
      <c r="S23" s="710">
        <f>F23</f>
        <v>100</v>
      </c>
      <c r="T23" s="709" t="s">
        <v>17</v>
      </c>
      <c r="U23" s="710">
        <f>H23</f>
        <v>100</v>
      </c>
      <c r="V23" s="709" t="s">
        <v>17</v>
      </c>
      <c r="W23" s="710">
        <f>J23</f>
        <v>100</v>
      </c>
      <c r="X23" s="711"/>
      <c r="Y23" s="3642"/>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642"/>
      <c r="Q24" s="1477"/>
      <c r="R24" s="709"/>
      <c r="S24" s="710"/>
      <c r="T24" s="709"/>
      <c r="U24" s="710"/>
      <c r="V24" s="709"/>
      <c r="W24" s="710"/>
      <c r="X24" s="711"/>
      <c r="Y24" s="3642"/>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642"/>
      <c r="Q25" s="1477" t="str">
        <f t="shared" ref="Q25" si="9">B25</f>
        <v>基础设施水平</v>
      </c>
      <c r="R25" s="709" t="s">
        <v>17</v>
      </c>
      <c r="S25" s="710">
        <f>F25</f>
        <v>100</v>
      </c>
      <c r="T25" s="709" t="s">
        <v>17</v>
      </c>
      <c r="U25" s="710">
        <f>H25</f>
        <v>100</v>
      </c>
      <c r="V25" s="709" t="s">
        <v>17</v>
      </c>
      <c r="W25" s="710">
        <f>J25</f>
        <v>100</v>
      </c>
      <c r="X25" s="711"/>
      <c r="Y25" s="3642"/>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642"/>
      <c r="Q26" s="1477"/>
      <c r="R26" s="709"/>
      <c r="S26" s="710"/>
      <c r="T26" s="709"/>
      <c r="U26" s="710"/>
      <c r="V26" s="709"/>
      <c r="W26" s="710"/>
      <c r="X26" s="711"/>
      <c r="Y26" s="3642"/>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642"/>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642"/>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642"/>
      <c r="Q28" s="1486" t="str">
        <f t="shared" si="8"/>
        <v>毗邻道路的类型与等级</v>
      </c>
      <c r="R28" s="713" t="s">
        <v>17</v>
      </c>
      <c r="S28" s="714">
        <f t="shared" si="10"/>
        <v>100</v>
      </c>
      <c r="T28" s="713" t="s">
        <v>17</v>
      </c>
      <c r="U28" s="714">
        <f t="shared" si="11"/>
        <v>100</v>
      </c>
      <c r="V28" s="713" t="s">
        <v>17</v>
      </c>
      <c r="W28" s="714">
        <f t="shared" si="12"/>
        <v>100</v>
      </c>
      <c r="X28" s="1489"/>
      <c r="Y28" s="3642"/>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642"/>
      <c r="Q29" s="1486"/>
      <c r="R29" s="713"/>
      <c r="S29" s="714"/>
      <c r="T29" s="713"/>
      <c r="U29" s="714"/>
      <c r="V29" s="713"/>
      <c r="W29" s="714"/>
      <c r="X29" s="1489"/>
      <c r="Y29" s="3642"/>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642"/>
      <c r="Q30" s="1486" t="str">
        <f t="shared" si="8"/>
        <v>土地级别</v>
      </c>
      <c r="R30" s="713" t="s">
        <v>17</v>
      </c>
      <c r="S30" s="714">
        <f t="shared" si="10"/>
        <v>100</v>
      </c>
      <c r="T30" s="713" t="s">
        <v>17</v>
      </c>
      <c r="U30" s="714">
        <f t="shared" si="11"/>
        <v>100</v>
      </c>
      <c r="V30" s="713" t="s">
        <v>17</v>
      </c>
      <c r="W30" s="714">
        <f t="shared" si="12"/>
        <v>100</v>
      </c>
      <c r="X30" s="1489"/>
      <c r="Y30" s="3642"/>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642"/>
      <c r="Q31" s="1486">
        <f t="shared" si="8"/>
        <v>111</v>
      </c>
      <c r="R31" s="713" t="s">
        <v>17</v>
      </c>
      <c r="S31" s="714">
        <f t="shared" si="10"/>
        <v>100</v>
      </c>
      <c r="T31" s="713" t="s">
        <v>17</v>
      </c>
      <c r="U31" s="714">
        <f t="shared" si="11"/>
        <v>100</v>
      </c>
      <c r="V31" s="713" t="s">
        <v>17</v>
      </c>
      <c r="W31" s="714">
        <f t="shared" si="12"/>
        <v>100</v>
      </c>
      <c r="X31" s="1489"/>
      <c r="Y31" s="3642"/>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65" t="s">
        <v>2145</v>
      </c>
      <c r="Q32" s="1486">
        <f t="shared" si="8"/>
        <v>111</v>
      </c>
      <c r="R32" s="713" t="s">
        <v>17</v>
      </c>
      <c r="S32" s="714">
        <f t="shared" si="10"/>
        <v>100</v>
      </c>
      <c r="T32" s="713" t="s">
        <v>17</v>
      </c>
      <c r="U32" s="714">
        <f t="shared" si="11"/>
        <v>100</v>
      </c>
      <c r="V32" s="713" t="s">
        <v>17</v>
      </c>
      <c r="W32" s="714">
        <f t="shared" si="12"/>
        <v>100</v>
      </c>
      <c r="X32" s="1489"/>
      <c r="Y32" s="3646"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46"/>
      <c r="Q33" s="1486">
        <f t="shared" si="8"/>
        <v>111</v>
      </c>
      <c r="R33" s="716" t="s">
        <v>17</v>
      </c>
      <c r="S33" s="717">
        <f t="shared" si="10"/>
        <v>100</v>
      </c>
      <c r="T33" s="716" t="s">
        <v>17</v>
      </c>
      <c r="U33" s="717">
        <f t="shared" si="11"/>
        <v>100</v>
      </c>
      <c r="V33" s="716" t="s">
        <v>17</v>
      </c>
      <c r="W33" s="717">
        <f t="shared" si="12"/>
        <v>100</v>
      </c>
      <c r="X33" s="718"/>
      <c r="Y33" s="3646"/>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46"/>
      <c r="Q34" s="1486" t="str">
        <f>B34</f>
        <v>宗地面积</v>
      </c>
      <c r="R34" s="713" t="s">
        <v>17</v>
      </c>
      <c r="S34" s="714" t="e">
        <f t="shared" si="10"/>
        <v>#N/A</v>
      </c>
      <c r="T34" s="713" t="s">
        <v>17</v>
      </c>
      <c r="U34" s="714" t="e">
        <f t="shared" si="11"/>
        <v>#N/A</v>
      </c>
      <c r="V34" s="713" t="s">
        <v>17</v>
      </c>
      <c r="W34" s="714" t="e">
        <f t="shared" si="12"/>
        <v>#N/A</v>
      </c>
      <c r="X34" s="1489"/>
      <c r="Y34" s="3646"/>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46"/>
      <c r="Q35" s="1486" t="str">
        <f t="shared" ref="Q35:Q40" si="14">B35</f>
        <v>宗地形状</v>
      </c>
      <c r="R35" s="713" t="s">
        <v>17</v>
      </c>
      <c r="S35" s="714">
        <f t="shared" si="10"/>
        <v>100</v>
      </c>
      <c r="T35" s="713" t="s">
        <v>17</v>
      </c>
      <c r="U35" s="714">
        <f t="shared" si="11"/>
        <v>100</v>
      </c>
      <c r="V35" s="713" t="s">
        <v>17</v>
      </c>
      <c r="W35" s="714">
        <f t="shared" si="12"/>
        <v>100</v>
      </c>
      <c r="X35" s="1489"/>
      <c r="Y35" s="3646"/>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46"/>
      <c r="Q36" s="1486" t="str">
        <f t="shared" si="14"/>
        <v>宗地开发程度</v>
      </c>
      <c r="R36" s="709" t="s">
        <v>17</v>
      </c>
      <c r="S36" s="710">
        <f t="shared" si="10"/>
        <v>100</v>
      </c>
      <c r="T36" s="709" t="s">
        <v>17</v>
      </c>
      <c r="U36" s="710">
        <f t="shared" si="11"/>
        <v>100</v>
      </c>
      <c r="V36" s="709" t="s">
        <v>17</v>
      </c>
      <c r="W36" s="710">
        <f t="shared" si="12"/>
        <v>100</v>
      </c>
      <c r="X36" s="711"/>
      <c r="Y36" s="3646"/>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46" t="s">
        <v>2145</v>
      </c>
      <c r="Q37" s="1486" t="str">
        <f t="shared" si="14"/>
        <v>工程地质条件</v>
      </c>
      <c r="R37" s="713" t="s">
        <v>17</v>
      </c>
      <c r="S37" s="714">
        <f t="shared" si="10"/>
        <v>100</v>
      </c>
      <c r="T37" s="713" t="s">
        <v>17</v>
      </c>
      <c r="U37" s="714">
        <f t="shared" si="11"/>
        <v>100</v>
      </c>
      <c r="V37" s="713" t="s">
        <v>17</v>
      </c>
      <c r="W37" s="714">
        <f t="shared" si="12"/>
        <v>100</v>
      </c>
      <c r="X37" s="1489"/>
      <c r="Y37" s="3646"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46"/>
      <c r="Q38" s="1486">
        <f t="shared" si="14"/>
        <v>111</v>
      </c>
      <c r="R38" s="713" t="s">
        <v>17</v>
      </c>
      <c r="S38" s="714">
        <f t="shared" si="10"/>
        <v>100</v>
      </c>
      <c r="T38" s="713" t="s">
        <v>17</v>
      </c>
      <c r="U38" s="714">
        <f t="shared" si="11"/>
        <v>100</v>
      </c>
      <c r="V38" s="713" t="s">
        <v>17</v>
      </c>
      <c r="W38" s="714">
        <f t="shared" si="12"/>
        <v>100</v>
      </c>
      <c r="X38" s="1489"/>
      <c r="Y38" s="3646"/>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46"/>
      <c r="Q39" s="1486">
        <f t="shared" si="14"/>
        <v>111</v>
      </c>
      <c r="R39" s="713" t="s">
        <v>17</v>
      </c>
      <c r="S39" s="714">
        <f t="shared" si="10"/>
        <v>100</v>
      </c>
      <c r="T39" s="713" t="s">
        <v>17</v>
      </c>
      <c r="U39" s="714">
        <f t="shared" si="11"/>
        <v>100</v>
      </c>
      <c r="V39" s="713" t="s">
        <v>17</v>
      </c>
      <c r="W39" s="714">
        <f t="shared" si="12"/>
        <v>100</v>
      </c>
      <c r="X39" s="1489"/>
      <c r="Y39" s="3646"/>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46"/>
      <c r="Q40" s="1486">
        <f t="shared" si="14"/>
        <v>111</v>
      </c>
      <c r="R40" s="716" t="s">
        <v>17</v>
      </c>
      <c r="S40" s="717">
        <f t="shared" si="10"/>
        <v>100</v>
      </c>
      <c r="T40" s="716" t="s">
        <v>17</v>
      </c>
      <c r="U40" s="717">
        <f t="shared" si="11"/>
        <v>100</v>
      </c>
      <c r="V40" s="716" t="s">
        <v>17</v>
      </c>
      <c r="W40" s="717">
        <f t="shared" si="12"/>
        <v>100</v>
      </c>
      <c r="X40" s="718"/>
      <c r="Y40" s="3646"/>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639" t="str">
        <f>A41</f>
        <v>成交单价</v>
      </c>
      <c r="Q41" s="3639"/>
      <c r="R41" s="3634">
        <f>E41</f>
        <v>0</v>
      </c>
      <c r="S41" s="3634"/>
      <c r="T41" s="3634">
        <f>G41</f>
        <v>0</v>
      </c>
      <c r="U41" s="3634"/>
      <c r="V41" s="3634">
        <f>I41</f>
        <v>0</v>
      </c>
      <c r="W41" s="3634"/>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639" t="str">
        <f>A42</f>
        <v>比较价值（元/平方米）</v>
      </c>
      <c r="Q42" s="3639"/>
      <c r="R42" s="3667" t="e">
        <f>ROUND(PRODUCT(R41,AA7:AA40),0)</f>
        <v>#DIV/0!</v>
      </c>
      <c r="S42" s="3667"/>
      <c r="T42" s="3667" t="e">
        <f>ROUND(PRODUCT(T41,AB7:AB40),0)</f>
        <v>#DIV/0!</v>
      </c>
      <c r="U42" s="3667"/>
      <c r="V42" s="3667" t="e">
        <f>ROUND(PRODUCT(V41,AC7:AC40),0)</f>
        <v>#DIV/0!</v>
      </c>
      <c r="W42" s="3667"/>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636" t="str">
        <f>A43</f>
        <v>估价对象XX用房的比较价值（楼面单价，元/平方米）</v>
      </c>
      <c r="Q43" s="3637"/>
      <c r="R43" s="3668" t="e">
        <f>ROUND(IF(D42="简单平均",AVERAGE(R42:W42),R42*F42+T42*H42+V42*J42),0)</f>
        <v>#DIV/0!</v>
      </c>
      <c r="S43" s="3668"/>
      <c r="T43" s="3668"/>
      <c r="U43" s="3668"/>
      <c r="V43" s="3668"/>
      <c r="W43" s="366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622" t="s">
        <v>2344</v>
      </c>
      <c r="H50" s="366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28627.21</v>
      </c>
      <c r="F51" s="646" t="e">
        <f t="shared" ref="F51:F60" si="15">ROUND(B51*E51/10000,0)</f>
        <v>#DIV/0!</v>
      </c>
      <c r="G51" s="3621"/>
      <c r="H51" s="3639"/>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22578.39</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六级</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1.18</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93"/>
      <c r="B4" s="3694"/>
      <c r="C4" s="3694"/>
      <c r="D4" s="3695"/>
      <c r="E4" s="3695"/>
      <c r="F4" s="3695"/>
      <c r="G4" s="3695"/>
      <c r="H4" s="3695"/>
      <c r="I4" s="3695"/>
      <c r="J4" s="3696"/>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7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2414</v>
      </c>
      <c r="X7" s="1328" t="str">
        <f>G2</f>
        <v>六级</v>
      </c>
      <c r="Y7" s="1328" t="s">
        <v>2415</v>
      </c>
      <c r="Z7" s="1329">
        <f>G3</f>
        <v>1.18</v>
      </c>
      <c r="AA7" s="1330"/>
      <c r="AB7" s="1330"/>
      <c r="AC7" s="1331"/>
      <c r="AD7" s="1332"/>
      <c r="AE7" s="1332"/>
      <c r="AF7" s="1332"/>
      <c r="AG7" s="1332"/>
      <c r="AH7" s="1332"/>
      <c r="AI7" s="1332"/>
      <c r="AJ7" s="1333"/>
    </row>
    <row r="8" spans="1:36" ht="15">
      <c r="A8" s="3697"/>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90" t="s">
        <v>2419</v>
      </c>
      <c r="X8" s="3691"/>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697"/>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92"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97"/>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9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97"/>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92" t="s">
        <v>2443</v>
      </c>
      <c r="X11" s="1338" t="s">
        <v>2444</v>
      </c>
      <c r="Y11" s="1339">
        <f>$G$3</f>
        <v>1.18</v>
      </c>
      <c r="Z11" s="1339">
        <f t="shared" ref="Z11:AJ11" si="3">$G$3</f>
        <v>1.18</v>
      </c>
      <c r="AA11" s="1339">
        <f t="shared" si="3"/>
        <v>1.18</v>
      </c>
      <c r="AB11" s="1339">
        <f t="shared" si="3"/>
        <v>1.18</v>
      </c>
      <c r="AC11" s="1339">
        <f t="shared" si="3"/>
        <v>1.18</v>
      </c>
      <c r="AD11" s="1339">
        <f t="shared" si="3"/>
        <v>1.18</v>
      </c>
      <c r="AE11" s="1339">
        <f t="shared" si="3"/>
        <v>1.18</v>
      </c>
      <c r="AF11" s="1339">
        <f t="shared" si="3"/>
        <v>1.18</v>
      </c>
      <c r="AG11" s="1339">
        <f t="shared" si="3"/>
        <v>1.18</v>
      </c>
      <c r="AH11" s="1339">
        <f t="shared" si="3"/>
        <v>1.18</v>
      </c>
      <c r="AI11" s="1339">
        <f t="shared" si="3"/>
        <v>1.18</v>
      </c>
      <c r="AJ11" s="1339">
        <f t="shared" si="3"/>
        <v>1.18</v>
      </c>
    </row>
    <row r="12" spans="1:36" ht="25.5" thickBot="1">
      <c r="A12" s="367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92"/>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98"/>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92"/>
      <c r="X13" s="1340"/>
      <c r="Y13" s="1337">
        <f>(-0.163*(Y12^2)-0.59*Y12+7617)*(10^(-4))/Y11</f>
        <v>0.64550847457627125</v>
      </c>
      <c r="Z13" s="1337">
        <f t="shared" ref="Z13:AJ13" si="5">(-0.163*(Z12^2)-0.59*Z12+7617)*(10^(-4))/Z11</f>
        <v>0.64550847457627125</v>
      </c>
      <c r="AA13" s="1337">
        <f t="shared" si="5"/>
        <v>0.64550847457627125</v>
      </c>
      <c r="AB13" s="1337">
        <f t="shared" si="5"/>
        <v>0.64550847457627125</v>
      </c>
      <c r="AC13" s="1337">
        <f t="shared" si="5"/>
        <v>0.64550847457627125</v>
      </c>
      <c r="AD13" s="1337">
        <f t="shared" si="5"/>
        <v>0.64550847457627125</v>
      </c>
      <c r="AE13" s="1337">
        <f t="shared" si="5"/>
        <v>0.64550847457627125</v>
      </c>
      <c r="AF13" s="1337">
        <f t="shared" si="5"/>
        <v>0.64550847457627125</v>
      </c>
      <c r="AG13" s="1337">
        <f t="shared" si="5"/>
        <v>0.64550847457627125</v>
      </c>
      <c r="AH13" s="1337">
        <f t="shared" si="5"/>
        <v>0.64550847457627125</v>
      </c>
      <c r="AI13" s="1337">
        <f t="shared" si="5"/>
        <v>0.64550847457627125</v>
      </c>
      <c r="AJ13" s="1337">
        <f t="shared" si="5"/>
        <v>0.64550847457627125</v>
      </c>
    </row>
    <row r="14" spans="1:36" ht="15">
      <c r="A14" s="369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699"/>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74" t="s">
        <v>2462</v>
      </c>
      <c r="B16" s="2159" t="s">
        <v>2463</v>
      </c>
      <c r="C16" s="2321" t="e">
        <f>ROUND(IF(F17="与级别开发程度一致",0,(G17-E17)/C17),0)</f>
        <v>#DIV/0!</v>
      </c>
      <c r="D16" s="3687" t="s">
        <v>2467</v>
      </c>
      <c r="E16" s="3688"/>
      <c r="F16" s="3687" t="s">
        <v>2464</v>
      </c>
      <c r="G16" s="368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75"/>
      <c r="B17" s="2332" t="s">
        <v>2466</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44874</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0.8</v>
      </c>
      <c r="E22" s="836">
        <f>ROUNDDOWN(G3,1)</f>
        <v>1.1000000000000001</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84"/>
      <c r="B33" s="2262" t="s">
        <v>2509</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689"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85"/>
      <c r="B34" s="2179" t="s">
        <v>2510</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68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85"/>
      <c r="B35" s="2179" t="s">
        <v>2511</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68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86"/>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8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76" t="s">
        <v>2550</v>
      </c>
      <c r="B90" s="3676"/>
      <c r="C90" s="3676"/>
      <c r="D90" s="3676"/>
      <c r="E90" s="3676"/>
      <c r="F90" s="3676"/>
      <c r="G90" s="3676"/>
      <c r="H90" s="3676"/>
      <c r="I90" s="3676"/>
      <c r="J90" s="3676"/>
      <c r="K90" s="2293"/>
      <c r="L90" s="2293"/>
      <c r="M90" s="2293"/>
      <c r="N90" s="2293"/>
    </row>
    <row r="91" spans="1:37">
      <c r="A91" s="3678" t="s">
        <v>2551</v>
      </c>
      <c r="B91" s="3678" t="s">
        <v>2552</v>
      </c>
      <c r="C91" s="2247" t="s">
        <v>2553</v>
      </c>
      <c r="D91" s="2248"/>
      <c r="E91" s="2248"/>
      <c r="F91" s="2248"/>
      <c r="G91" s="2248"/>
      <c r="H91" s="2248"/>
      <c r="I91" s="2248"/>
      <c r="J91" s="2294"/>
      <c r="K91" s="2295"/>
      <c r="L91" s="2295"/>
      <c r="M91" s="2295"/>
      <c r="N91" s="2295"/>
    </row>
    <row r="92" spans="1:37">
      <c r="A92" s="3678"/>
      <c r="B92" s="367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7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8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8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8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8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8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8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8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79" t="s">
        <v>2555</v>
      </c>
      <c r="B101" s="2300" t="s">
        <v>2556</v>
      </c>
      <c r="C101" s="2301">
        <f>$G$3</f>
        <v>1.18</v>
      </c>
      <c r="D101" s="2301">
        <f t="shared" ref="D101:N101" si="31">$G$3</f>
        <v>1.18</v>
      </c>
      <c r="E101" s="2301">
        <f t="shared" si="31"/>
        <v>1.18</v>
      </c>
      <c r="F101" s="2301">
        <f t="shared" si="31"/>
        <v>1.18</v>
      </c>
      <c r="G101" s="2301">
        <f t="shared" si="31"/>
        <v>1.18</v>
      </c>
      <c r="H101" s="2301">
        <f t="shared" si="31"/>
        <v>1.18</v>
      </c>
      <c r="I101" s="2301">
        <f t="shared" si="31"/>
        <v>1.18</v>
      </c>
      <c r="J101" s="2301">
        <f t="shared" si="31"/>
        <v>1.18</v>
      </c>
      <c r="K101" s="2301">
        <f t="shared" si="31"/>
        <v>1.18</v>
      </c>
      <c r="L101" s="2301">
        <f t="shared" si="31"/>
        <v>1.18</v>
      </c>
      <c r="M101" s="2301">
        <f t="shared" si="31"/>
        <v>1.18</v>
      </c>
      <c r="N101" s="2301">
        <f t="shared" si="31"/>
        <v>1.18</v>
      </c>
    </row>
    <row r="102" spans="1:14">
      <c r="A102" s="3680"/>
      <c r="B102" s="2296">
        <v>1</v>
      </c>
      <c r="C102" s="2297">
        <f>1.9362/C101</f>
        <v>1.6408474576271186</v>
      </c>
      <c r="D102" s="2297">
        <f>1.9362/D101</f>
        <v>1.6408474576271186</v>
      </c>
      <c r="E102" s="2297">
        <f>1.8629/E101</f>
        <v>1.578728813559322</v>
      </c>
      <c r="F102" s="2297">
        <f>1.8629/F101</f>
        <v>1.578728813559322</v>
      </c>
      <c r="G102" s="2297">
        <f>1.8629/G101</f>
        <v>1.578728813559322</v>
      </c>
      <c r="H102" s="2297">
        <f>1.8629/H101</f>
        <v>1.578728813559322</v>
      </c>
      <c r="I102" s="2297">
        <f>1.8629/I101</f>
        <v>1.578728813559322</v>
      </c>
      <c r="J102" s="2297">
        <f>1.942/J101</f>
        <v>1.6457627118644069</v>
      </c>
      <c r="K102" s="2297">
        <f>1.942/K101</f>
        <v>1.6457627118644069</v>
      </c>
      <c r="L102" s="2297">
        <f>1.942/L101</f>
        <v>1.6457627118644069</v>
      </c>
      <c r="M102" s="2297">
        <f>1.942/M101</f>
        <v>1.6457627118644069</v>
      </c>
      <c r="N102" s="2297">
        <f>1.942/N101</f>
        <v>1.6457627118644069</v>
      </c>
    </row>
    <row r="103" spans="1:14">
      <c r="A103" s="3680"/>
      <c r="B103" s="2296">
        <v>2</v>
      </c>
      <c r="C103" s="2297">
        <f>1.4198/C101</f>
        <v>1.2032203389830509</v>
      </c>
      <c r="D103" s="2297">
        <f>1.4198/D101</f>
        <v>1.2032203389830509</v>
      </c>
      <c r="E103" s="2297">
        <f>1.3372/E101</f>
        <v>1.1332203389830509</v>
      </c>
      <c r="F103" s="2297">
        <f>1.3372/F101</f>
        <v>1.1332203389830509</v>
      </c>
      <c r="G103" s="2297">
        <f>1.3372/G101</f>
        <v>1.1332203389830509</v>
      </c>
      <c r="H103" s="2297">
        <f>1.3372/H101</f>
        <v>1.1332203389830509</v>
      </c>
      <c r="I103" s="2297">
        <f>1.3372/I101</f>
        <v>1.1332203389830509</v>
      </c>
      <c r="J103" s="2297">
        <f>1.2799/J101</f>
        <v>1.0846610169491526</v>
      </c>
      <c r="K103" s="2297">
        <f>1.2799/K101</f>
        <v>1.0846610169491526</v>
      </c>
      <c r="L103" s="2297">
        <f>1.2799/L101</f>
        <v>1.0846610169491526</v>
      </c>
      <c r="M103" s="2297">
        <f>1.2799/M101</f>
        <v>1.0846610169491526</v>
      </c>
      <c r="N103" s="2297">
        <f>1.2799/N101</f>
        <v>1.0846610169491526</v>
      </c>
    </row>
    <row r="104" spans="1:14">
      <c r="A104" s="3680"/>
      <c r="B104" s="2296">
        <v>3</v>
      </c>
      <c r="C104" s="2297">
        <f>1.1594/C101</f>
        <v>0.98254237288135593</v>
      </c>
      <c r="D104" s="2297">
        <f>1.1594/D101</f>
        <v>0.98254237288135593</v>
      </c>
      <c r="E104" s="2297">
        <f>1.0788/E101</f>
        <v>0.91423728813559324</v>
      </c>
      <c r="F104" s="2297">
        <f>1.0788/F101</f>
        <v>0.91423728813559324</v>
      </c>
      <c r="G104" s="2297">
        <f>1.0788/G101</f>
        <v>0.91423728813559324</v>
      </c>
      <c r="H104" s="2297">
        <f>1.0788/H101</f>
        <v>0.91423728813559324</v>
      </c>
      <c r="I104" s="2297">
        <f>1.0788/I101</f>
        <v>0.91423728813559324</v>
      </c>
      <c r="J104" s="2297">
        <f>1.0072/J101</f>
        <v>0.85355932203389839</v>
      </c>
      <c r="K104" s="2297">
        <f>1.0072/K101</f>
        <v>0.85355932203389839</v>
      </c>
      <c r="L104" s="2297">
        <f>1.0072/L101</f>
        <v>0.85355932203389839</v>
      </c>
      <c r="M104" s="2297">
        <f>1.0072/M101</f>
        <v>0.85355932203389839</v>
      </c>
      <c r="N104" s="2297">
        <f>1.0072/N101</f>
        <v>0.85355932203389839</v>
      </c>
    </row>
    <row r="105" spans="1:14">
      <c r="A105" s="3680"/>
      <c r="B105" s="2296">
        <v>4</v>
      </c>
      <c r="C105" s="2297">
        <f>0.9622/C101</f>
        <v>0.8154237288135594</v>
      </c>
      <c r="D105" s="2297">
        <f>0.9622/D101</f>
        <v>0.8154237288135594</v>
      </c>
      <c r="E105" s="2297">
        <f>0.8656/E101</f>
        <v>0.7335593220338984</v>
      </c>
      <c r="F105" s="2297">
        <f>0.8656/F101</f>
        <v>0.7335593220338984</v>
      </c>
      <c r="G105" s="2297">
        <f>0.8656/G101</f>
        <v>0.7335593220338984</v>
      </c>
      <c r="H105" s="2297">
        <f>0.8656/H101</f>
        <v>0.7335593220338984</v>
      </c>
      <c r="I105" s="2297">
        <f>0.8656/I101</f>
        <v>0.7335593220338984</v>
      </c>
      <c r="J105" s="2297">
        <f>0.7525/J101</f>
        <v>0.63771186440677963</v>
      </c>
      <c r="K105" s="2297">
        <f>0.7525/K101</f>
        <v>0.63771186440677963</v>
      </c>
      <c r="L105" s="2297">
        <f>0.7525/L101</f>
        <v>0.63771186440677963</v>
      </c>
      <c r="M105" s="2297">
        <f>0.7525/M101</f>
        <v>0.63771186440677963</v>
      </c>
      <c r="N105" s="2297">
        <f>0.7525/N101</f>
        <v>0.63771186440677963</v>
      </c>
    </row>
    <row r="106" spans="1:14">
      <c r="A106" s="3680"/>
      <c r="B106" s="2296">
        <v>5</v>
      </c>
      <c r="C106" s="2297">
        <f>0.8417/C101</f>
        <v>0.71330508474576271</v>
      </c>
      <c r="D106" s="2297">
        <f>0.8417/D101</f>
        <v>0.71330508474576271</v>
      </c>
      <c r="E106" s="2297">
        <f>0.7371/E101</f>
        <v>0.62466101694915255</v>
      </c>
      <c r="F106" s="2297">
        <f>0.7371/F101</f>
        <v>0.62466101694915255</v>
      </c>
      <c r="G106" s="2297">
        <f>0.7371/G101</f>
        <v>0.62466101694915255</v>
      </c>
      <c r="H106" s="2297">
        <f>0.7371/H101</f>
        <v>0.62466101694915255</v>
      </c>
      <c r="I106" s="2297">
        <f>0.7371/I101</f>
        <v>0.62466101694915255</v>
      </c>
      <c r="J106" s="2297">
        <f>0.5659/J101</f>
        <v>0.47957627118644069</v>
      </c>
      <c r="K106" s="2297">
        <f>0.5659/K101</f>
        <v>0.47957627118644069</v>
      </c>
      <c r="L106" s="2297">
        <f>0.5659/L101</f>
        <v>0.47957627118644069</v>
      </c>
      <c r="M106" s="2297">
        <f>0.5659/M101</f>
        <v>0.47957627118644069</v>
      </c>
      <c r="N106" s="2297">
        <f>0.5659/N101</f>
        <v>0.47957627118644069</v>
      </c>
    </row>
    <row r="107" spans="1:14">
      <c r="A107" s="3680"/>
      <c r="B107" s="2296">
        <v>6</v>
      </c>
      <c r="C107" s="2297">
        <f>0.7608/C101</f>
        <v>0.64474576271186446</v>
      </c>
      <c r="D107" s="2297">
        <f>0.7608/D101</f>
        <v>0.64474576271186446</v>
      </c>
      <c r="E107" s="2297">
        <f>0.6482/E101</f>
        <v>0.54932203389830514</v>
      </c>
      <c r="F107" s="2297">
        <f>0.6482/F101</f>
        <v>0.54932203389830514</v>
      </c>
      <c r="G107" s="2297">
        <f>0.6482/G101</f>
        <v>0.54932203389830514</v>
      </c>
      <c r="H107" s="2297">
        <f>0.6482/H101</f>
        <v>0.54932203389830514</v>
      </c>
      <c r="I107" s="2297">
        <f>0.6482/I101</f>
        <v>0.54932203389830514</v>
      </c>
      <c r="J107" s="2297">
        <f>0.4525/J101</f>
        <v>0.38347457627118647</v>
      </c>
      <c r="K107" s="2297">
        <f>0.4525/K101</f>
        <v>0.38347457627118647</v>
      </c>
      <c r="L107" s="2297">
        <f>0.4525/L101</f>
        <v>0.38347457627118647</v>
      </c>
      <c r="M107" s="2297">
        <f>0.4525/M101</f>
        <v>0.38347457627118647</v>
      </c>
      <c r="N107" s="2297">
        <f>0.4525/N101</f>
        <v>0.38347457627118647</v>
      </c>
    </row>
    <row r="108" spans="1:14">
      <c r="A108" s="3680"/>
      <c r="B108" s="368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81"/>
      <c r="B109" s="3683"/>
      <c r="C109" s="2299">
        <f>(-0.163*(C108^2)-0.59*C108+7617)*(10^(-4))/C101</f>
        <v>0.64550847457627125</v>
      </c>
      <c r="D109" s="2299">
        <f>(-0.163*(D108^2)-0.59*D108+7617)*(10^(-4))/D101</f>
        <v>0.64550847457627125</v>
      </c>
      <c r="E109" s="2299">
        <f>(-0.161*(E108^2)-7.509*E108+6533)*(10^(-4))/E101</f>
        <v>0.55364406779661024</v>
      </c>
      <c r="F109" s="2299">
        <f>(-0.161*(F108^2)-7.509*F108+6533)*(10^(-4))/F101</f>
        <v>0.55364406779661024</v>
      </c>
      <c r="G109" s="2299">
        <f>(-0.161*(G108^2)-7.509*G108+6533)*(10^(-4))/G101</f>
        <v>0.55364406779661024</v>
      </c>
      <c r="H109" s="2299">
        <f>(-0.161*(H108^2)-7.509*H108+6533)*(10^(-4))/H101</f>
        <v>0.55364406779661024</v>
      </c>
      <c r="I109" s="2299">
        <f>(-0.161*(I108^2)-7.509*I108+6533)*(10^(-4))/I101</f>
        <v>0.55364406779661024</v>
      </c>
      <c r="J109" s="2299">
        <f>(-0.214*(J108^2)-21.991*J108+4665)*(10^(-4))/J101</f>
        <v>0.39533898305084753</v>
      </c>
      <c r="K109" s="2299">
        <f>(-0.214*(K108^2)-21.991*K108+4665)*(10^(-4))/K101</f>
        <v>0.39533898305084753</v>
      </c>
      <c r="L109" s="2299">
        <f>(-0.214*(L108^2)-21.991*L108+4665)*(10^(-4))/L101</f>
        <v>0.39533898305084753</v>
      </c>
      <c r="M109" s="2299">
        <f>(-0.214*(M108^2)-21.991*M108+4665)*(10^(-4))/M101</f>
        <v>0.39533898305084753</v>
      </c>
      <c r="N109" s="2299">
        <f>(-0.214*(N108^2)-21.991*N108+4665)*(10^(-4))/N101</f>
        <v>0.39533898305084753</v>
      </c>
    </row>
    <row r="110" spans="1:14">
      <c r="A110" s="3677" t="s">
        <v>2558</v>
      </c>
      <c r="B110" s="3677"/>
      <c r="C110" s="3677"/>
      <c r="D110" s="3677"/>
      <c r="E110" s="3677"/>
      <c r="F110" s="3677"/>
      <c r="G110" s="3677"/>
      <c r="H110" s="3677"/>
      <c r="I110" s="3677"/>
      <c r="J110" s="3677"/>
      <c r="K110" s="2302"/>
      <c r="L110" s="2302"/>
      <c r="M110" s="2302"/>
      <c r="N110" s="2302"/>
    </row>
    <row r="112" spans="1:14" ht="13.5" thickBot="1"/>
    <row r="113" spans="1:13" ht="25.5" thickBot="1">
      <c r="A113" s="823" t="s">
        <v>2559</v>
      </c>
      <c r="B113" s="1177">
        <f>G3</f>
        <v>1.18</v>
      </c>
      <c r="C113" s="824" t="s">
        <v>2560</v>
      </c>
      <c r="D113" s="825">
        <f>SUMPRODUCT((A115:A118=F113)*(B114:M114=H113)*B115:M118)</f>
        <v>0</v>
      </c>
      <c r="E113" s="2138" t="s">
        <v>2393</v>
      </c>
      <c r="F113" s="2304">
        <f>E2</f>
        <v>0</v>
      </c>
      <c r="G113" s="2138" t="s">
        <v>2394</v>
      </c>
      <c r="H113" s="2304" t="str">
        <f>G2</f>
        <v>六级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0.9224</v>
      </c>
      <c r="C115" s="830">
        <f>B115</f>
        <v>0.9224</v>
      </c>
      <c r="D115" s="830">
        <f>ROUND(0.8331-0.0109*B113,4)</f>
        <v>0.82020000000000004</v>
      </c>
      <c r="E115" s="830">
        <f>D115</f>
        <v>0.82020000000000004</v>
      </c>
      <c r="F115" s="830">
        <f>E115</f>
        <v>0.82020000000000004</v>
      </c>
      <c r="G115" s="830">
        <f>F115</f>
        <v>0.82020000000000004</v>
      </c>
      <c r="H115" s="830">
        <f>G115</f>
        <v>0.82020000000000004</v>
      </c>
      <c r="I115" s="830">
        <f>ROUND(0.689-0.0155*B113,4)</f>
        <v>0.67069999999999996</v>
      </c>
      <c r="J115" s="830">
        <f t="shared" ref="J115:M118" si="33">I115</f>
        <v>0.67069999999999996</v>
      </c>
      <c r="K115" s="830">
        <f t="shared" si="33"/>
        <v>0.67069999999999996</v>
      </c>
      <c r="L115" s="830">
        <f t="shared" si="33"/>
        <v>0.67069999999999996</v>
      </c>
      <c r="M115" s="831">
        <f t="shared" si="33"/>
        <v>0.67069999999999996</v>
      </c>
    </row>
    <row r="116" spans="1:13">
      <c r="A116" s="829" t="s">
        <v>2459</v>
      </c>
      <c r="B116" s="830">
        <f>ROUND(0.949-0.012*B113,4)</f>
        <v>0.93479999999999996</v>
      </c>
      <c r="C116" s="830">
        <f>B116</f>
        <v>0.93479999999999996</v>
      </c>
      <c r="D116" s="830">
        <f>ROUND(0.8567-0.013*B113,4)</f>
        <v>0.84140000000000004</v>
      </c>
      <c r="E116" s="830">
        <f t="shared" ref="E116:H117" si="34">D116</f>
        <v>0.84140000000000004</v>
      </c>
      <c r="F116" s="830">
        <f t="shared" si="34"/>
        <v>0.84140000000000004</v>
      </c>
      <c r="G116" s="830">
        <f t="shared" si="34"/>
        <v>0.84140000000000004</v>
      </c>
      <c r="H116" s="830">
        <f t="shared" si="34"/>
        <v>0.84140000000000004</v>
      </c>
      <c r="I116" s="830">
        <f>ROUND(0.7694-0.014*B113,4)</f>
        <v>0.75290000000000001</v>
      </c>
      <c r="J116" s="830">
        <f t="shared" si="33"/>
        <v>0.75290000000000001</v>
      </c>
      <c r="K116" s="830">
        <f t="shared" si="33"/>
        <v>0.75290000000000001</v>
      </c>
      <c r="L116" s="830">
        <f t="shared" si="33"/>
        <v>0.75290000000000001</v>
      </c>
      <c r="M116" s="831">
        <f t="shared" si="33"/>
        <v>0.75290000000000001</v>
      </c>
    </row>
    <row r="117" spans="1:13">
      <c r="A117" s="829" t="s">
        <v>2460</v>
      </c>
      <c r="B117" s="830">
        <f>ROUND(0.8808-0.006*B113,4)</f>
        <v>0.87370000000000003</v>
      </c>
      <c r="C117" s="830">
        <f>B117</f>
        <v>0.87370000000000003</v>
      </c>
      <c r="D117" s="830">
        <f>ROUND(0.8748-0.008*B113,4)</f>
        <v>0.86539999999999995</v>
      </c>
      <c r="E117" s="830">
        <f t="shared" si="34"/>
        <v>0.86539999999999995</v>
      </c>
      <c r="F117" s="830">
        <f t="shared" si="34"/>
        <v>0.86539999999999995</v>
      </c>
      <c r="G117" s="830">
        <f t="shared" si="34"/>
        <v>0.86539999999999995</v>
      </c>
      <c r="H117" s="830">
        <f t="shared" si="34"/>
        <v>0.86539999999999995</v>
      </c>
      <c r="I117" s="830">
        <f>ROUND(0.7412-0.0095*B113,4)</f>
        <v>0.73</v>
      </c>
      <c r="J117" s="830">
        <f t="shared" si="33"/>
        <v>0.73</v>
      </c>
      <c r="K117" s="830">
        <f t="shared" si="33"/>
        <v>0.73</v>
      </c>
      <c r="L117" s="830">
        <f t="shared" si="33"/>
        <v>0.73</v>
      </c>
      <c r="M117" s="831">
        <f t="shared" si="33"/>
        <v>0.73</v>
      </c>
    </row>
    <row r="118" spans="1:13" ht="13.5" thickBot="1">
      <c r="A118" s="669" t="s">
        <v>2461</v>
      </c>
      <c r="B118" s="832">
        <f>ROUND(0.7275-0.01*B113,4)</f>
        <v>0.7157</v>
      </c>
      <c r="C118" s="832">
        <f>B118</f>
        <v>0.7157</v>
      </c>
      <c r="D118" s="832">
        <f>ROUND(0.7043-0.012*B113,4)</f>
        <v>0.69010000000000005</v>
      </c>
      <c r="E118" s="832">
        <f>D118</f>
        <v>0.69010000000000005</v>
      </c>
      <c r="F118" s="832">
        <f>E118</f>
        <v>0.69010000000000005</v>
      </c>
      <c r="G118" s="832">
        <f>ROUND(0.6299-0.0122*B113,4)</f>
        <v>0.61550000000000005</v>
      </c>
      <c r="H118" s="832">
        <f>G118</f>
        <v>0.61550000000000005</v>
      </c>
      <c r="I118" s="832">
        <f>ROUND(0.5667-0.0136*B113,4)</f>
        <v>0.55069999999999997</v>
      </c>
      <c r="J118" s="832">
        <f t="shared" si="33"/>
        <v>0.55069999999999997</v>
      </c>
      <c r="K118" s="832">
        <f t="shared" si="33"/>
        <v>0.55069999999999997</v>
      </c>
      <c r="L118" s="832">
        <f t="shared" si="33"/>
        <v>0.55069999999999997</v>
      </c>
      <c r="M118" s="833">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2938</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2939</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2940</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2941</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2942</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2943</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2944</v>
      </c>
      <c r="B19" s="3209" t="s">
        <v>2945</v>
      </c>
      <c r="C19" s="3210" t="s">
        <v>2946</v>
      </c>
      <c r="D19" s="3211"/>
      <c r="E19" s="3205" t="s">
        <v>2947</v>
      </c>
      <c r="F19" s="802"/>
      <c r="G19" s="802"/>
    </row>
    <row r="20" spans="1:13" s="807" customFormat="1" ht="19.5" customHeight="1">
      <c r="A20" s="3707" t="s">
        <v>2948</v>
      </c>
      <c r="B20" s="3700" t="s">
        <v>2949</v>
      </c>
      <c r="C20" s="3212" t="s">
        <v>2950</v>
      </c>
      <c r="D20" s="3213"/>
      <c r="E20" s="3214">
        <v>1</v>
      </c>
      <c r="F20" s="3215" t="s">
        <v>2951</v>
      </c>
      <c r="G20" s="806"/>
      <c r="H20" s="800"/>
      <c r="I20" s="800"/>
    </row>
    <row r="21" spans="1:13" s="807" customFormat="1" ht="19.5" customHeight="1">
      <c r="A21" s="3708"/>
      <c r="B21" s="3701"/>
      <c r="C21" s="804" t="s">
        <v>2952</v>
      </c>
      <c r="D21" s="805"/>
      <c r="E21" s="3216">
        <v>1</v>
      </c>
      <c r="F21" s="3215" t="s">
        <v>2953</v>
      </c>
      <c r="G21" s="806"/>
      <c r="H21" s="800"/>
      <c r="I21" s="800"/>
    </row>
    <row r="22" spans="1:13" s="807" customFormat="1" ht="19.5" customHeight="1">
      <c r="A22" s="3708"/>
      <c r="B22" s="3701"/>
      <c r="C22" s="804" t="s">
        <v>2954</v>
      </c>
      <c r="D22" s="805"/>
      <c r="E22" s="3216">
        <v>0.9</v>
      </c>
      <c r="F22" s="3215" t="s">
        <v>2955</v>
      </c>
      <c r="G22" s="806"/>
      <c r="H22" s="800"/>
      <c r="I22" s="800"/>
    </row>
    <row r="23" spans="1:13" s="807" customFormat="1" ht="19.5" customHeight="1">
      <c r="A23" s="3708"/>
      <c r="B23" s="3701"/>
      <c r="C23" s="804" t="s">
        <v>2956</v>
      </c>
      <c r="D23" s="805"/>
      <c r="E23" s="3216">
        <v>0.9</v>
      </c>
      <c r="F23" s="3215" t="s">
        <v>2957</v>
      </c>
      <c r="G23" s="806"/>
      <c r="H23" s="800"/>
      <c r="I23" s="800"/>
    </row>
    <row r="24" spans="1:13" s="807" customFormat="1" ht="19.5" customHeight="1">
      <c r="A24" s="3708"/>
      <c r="B24" s="3701"/>
      <c r="C24" s="804" t="s">
        <v>2958</v>
      </c>
      <c r="D24" s="805"/>
      <c r="E24" s="3216">
        <v>0.8</v>
      </c>
      <c r="F24" s="3215" t="s">
        <v>2959</v>
      </c>
      <c r="G24" s="806"/>
      <c r="H24" s="800"/>
      <c r="I24" s="800"/>
    </row>
    <row r="25" spans="1:13" s="807" customFormat="1" ht="19.5" customHeight="1" thickBot="1">
      <c r="A25" s="3709"/>
      <c r="B25" s="3702"/>
      <c r="C25" s="3217" t="s">
        <v>2960</v>
      </c>
      <c r="D25" s="3218"/>
      <c r="E25" s="3219">
        <v>0.8</v>
      </c>
      <c r="F25" s="3215" t="s">
        <v>2961</v>
      </c>
      <c r="G25" s="806"/>
      <c r="H25" s="800"/>
      <c r="I25" s="800"/>
    </row>
    <row r="26" spans="1:13" s="807" customFormat="1" ht="19.5" customHeight="1" thickBot="1">
      <c r="A26" s="3220" t="s">
        <v>2962</v>
      </c>
      <c r="B26" s="3221" t="s">
        <v>2949</v>
      </c>
      <c r="C26" s="3222" t="s">
        <v>2963</v>
      </c>
      <c r="D26" s="3223"/>
      <c r="E26" s="3224">
        <v>1</v>
      </c>
      <c r="F26" s="3215" t="s">
        <v>2964</v>
      </c>
      <c r="G26" s="806"/>
      <c r="H26" s="800"/>
      <c r="I26" s="800"/>
    </row>
    <row r="27" spans="1:13" s="807" customFormat="1" ht="19.5" customHeight="1">
      <c r="A27" s="3703" t="s">
        <v>2965</v>
      </c>
      <c r="B27" s="3700" t="s">
        <v>2965</v>
      </c>
      <c r="C27" s="3212" t="s">
        <v>2966</v>
      </c>
      <c r="D27" s="3213"/>
      <c r="E27" s="3214">
        <v>1</v>
      </c>
      <c r="F27" s="3215" t="s">
        <v>2967</v>
      </c>
      <c r="G27" s="806"/>
      <c r="H27" s="800"/>
      <c r="I27" s="800"/>
    </row>
    <row r="28" spans="1:13" s="807" customFormat="1" ht="19.5" customHeight="1">
      <c r="A28" s="3704"/>
      <c r="B28" s="3701"/>
      <c r="C28" s="804" t="s">
        <v>2968</v>
      </c>
      <c r="D28" s="805"/>
      <c r="E28" s="3216">
        <v>1</v>
      </c>
      <c r="F28" s="3215" t="s">
        <v>2969</v>
      </c>
      <c r="G28" s="806"/>
      <c r="H28" s="800"/>
      <c r="I28" s="800"/>
    </row>
    <row r="29" spans="1:13" s="807" customFormat="1" ht="19.5" customHeight="1">
      <c r="A29" s="3704"/>
      <c r="B29" s="3701"/>
      <c r="C29" s="804" t="s">
        <v>2970</v>
      </c>
      <c r="D29" s="805"/>
      <c r="E29" s="3216">
        <v>0.8</v>
      </c>
      <c r="F29" s="3215" t="s">
        <v>2971</v>
      </c>
      <c r="G29" s="806"/>
      <c r="H29" s="800"/>
      <c r="I29" s="800"/>
    </row>
    <row r="30" spans="1:13" s="807" customFormat="1" ht="19.5" customHeight="1">
      <c r="A30" s="3704"/>
      <c r="B30" s="3701"/>
      <c r="C30" s="804" t="s">
        <v>2972</v>
      </c>
      <c r="D30" s="805"/>
      <c r="E30" s="3216">
        <v>0.8</v>
      </c>
      <c r="F30" s="3215" t="s">
        <v>2973</v>
      </c>
      <c r="G30" s="806"/>
      <c r="H30" s="800"/>
      <c r="I30" s="800"/>
    </row>
    <row r="31" spans="1:13" s="807" customFormat="1" ht="19.5" customHeight="1">
      <c r="A31" s="3704"/>
      <c r="B31" s="3701"/>
      <c r="C31" s="804" t="s">
        <v>2974</v>
      </c>
      <c r="D31" s="805"/>
      <c r="E31" s="3216">
        <v>0.8</v>
      </c>
      <c r="F31" s="3215" t="s">
        <v>2975</v>
      </c>
      <c r="G31" s="806"/>
      <c r="H31" s="800"/>
      <c r="I31" s="800"/>
    </row>
    <row r="32" spans="1:13" s="807" customFormat="1" ht="19.5" customHeight="1">
      <c r="A32" s="3704"/>
      <c r="B32" s="3701"/>
      <c r="C32" s="804" t="s">
        <v>2976</v>
      </c>
      <c r="D32" s="805"/>
      <c r="E32" s="3216">
        <v>0.7</v>
      </c>
      <c r="F32" s="3215" t="s">
        <v>2977</v>
      </c>
      <c r="G32" s="806"/>
      <c r="H32" s="800"/>
      <c r="I32" s="800"/>
    </row>
    <row r="33" spans="1:9" s="807" customFormat="1" ht="19.5" customHeight="1">
      <c r="A33" s="3704"/>
      <c r="B33" s="3701"/>
      <c r="C33" s="804" t="s">
        <v>2978</v>
      </c>
      <c r="D33" s="805"/>
      <c r="E33" s="3216">
        <v>0.8</v>
      </c>
      <c r="F33" s="3215" t="s">
        <v>2979</v>
      </c>
      <c r="G33" s="806"/>
      <c r="H33" s="800"/>
      <c r="I33" s="800"/>
    </row>
    <row r="34" spans="1:9" s="807" customFormat="1" ht="19.5" customHeight="1">
      <c r="A34" s="3704"/>
      <c r="B34" s="3701"/>
      <c r="C34" s="804" t="s">
        <v>2980</v>
      </c>
      <c r="D34" s="805"/>
      <c r="E34" s="3216">
        <v>0.6</v>
      </c>
      <c r="F34" s="3215" t="s">
        <v>2981</v>
      </c>
      <c r="G34" s="806"/>
      <c r="H34" s="800"/>
      <c r="I34" s="800"/>
    </row>
    <row r="35" spans="1:9" s="807" customFormat="1" ht="19.5" customHeight="1">
      <c r="A35" s="3704"/>
      <c r="B35" s="3701"/>
      <c r="C35" s="804" t="s">
        <v>2982</v>
      </c>
      <c r="D35" s="805"/>
      <c r="E35" s="3216">
        <v>0.2</v>
      </c>
      <c r="F35" s="3215" t="s">
        <v>2983</v>
      </c>
      <c r="G35" s="806"/>
      <c r="H35" s="800"/>
      <c r="I35" s="800"/>
    </row>
    <row r="36" spans="1:9" s="807" customFormat="1" ht="19.5" customHeight="1">
      <c r="A36" s="3704"/>
      <c r="B36" s="3701"/>
      <c r="C36" s="804" t="s">
        <v>2984</v>
      </c>
      <c r="D36" s="805"/>
      <c r="E36" s="3216">
        <v>0.2</v>
      </c>
      <c r="F36" s="3215" t="s">
        <v>2985</v>
      </c>
      <c r="G36" s="806"/>
      <c r="H36" s="800"/>
      <c r="I36" s="800"/>
    </row>
    <row r="37" spans="1:9" s="807" customFormat="1" ht="19.5" customHeight="1">
      <c r="A37" s="3704"/>
      <c r="B37" s="3706" t="s">
        <v>2986</v>
      </c>
      <c r="C37" s="804" t="s">
        <v>2987</v>
      </c>
      <c r="D37" s="805"/>
      <c r="E37" s="3216">
        <v>0.6</v>
      </c>
      <c r="F37" s="3215" t="s">
        <v>2988</v>
      </c>
      <c r="G37" s="806"/>
      <c r="H37" s="800"/>
      <c r="I37" s="800"/>
    </row>
    <row r="38" spans="1:9" s="807" customFormat="1" ht="19.5" customHeight="1">
      <c r="A38" s="3704"/>
      <c r="B38" s="3701"/>
      <c r="C38" s="804" t="s">
        <v>2989</v>
      </c>
      <c r="D38" s="805"/>
      <c r="E38" s="3216">
        <v>0.6</v>
      </c>
      <c r="F38" s="3215" t="s">
        <v>2990</v>
      </c>
      <c r="G38" s="806"/>
      <c r="H38" s="800"/>
      <c r="I38" s="800"/>
    </row>
    <row r="39" spans="1:9" s="807" customFormat="1" ht="19.5" customHeight="1" thickBot="1">
      <c r="A39" s="3705"/>
      <c r="B39" s="3702"/>
      <c r="C39" s="3217" t="s">
        <v>2991</v>
      </c>
      <c r="D39" s="3218"/>
      <c r="E39" s="3219">
        <v>0.6</v>
      </c>
      <c r="F39" s="3215" t="s">
        <v>2992</v>
      </c>
      <c r="G39" s="806"/>
      <c r="H39" s="800"/>
      <c r="I39" s="800"/>
    </row>
    <row r="40" spans="1:9" s="807" customFormat="1" ht="19.5" customHeight="1" thickBot="1">
      <c r="A40" s="3220" t="s">
        <v>2993</v>
      </c>
      <c r="B40" s="3221" t="s">
        <v>2993</v>
      </c>
      <c r="C40" s="3222" t="s">
        <v>2994</v>
      </c>
      <c r="D40" s="3223"/>
      <c r="E40" s="3224">
        <v>1</v>
      </c>
      <c r="F40" s="3215" t="s">
        <v>2995</v>
      </c>
      <c r="G40" s="806"/>
      <c r="H40" s="800"/>
      <c r="I40" s="800"/>
    </row>
    <row r="41" spans="1:9" s="807" customFormat="1" ht="19.5" customHeight="1">
      <c r="A41" s="3707" t="s">
        <v>2996</v>
      </c>
      <c r="B41" s="3700" t="s">
        <v>2997</v>
      </c>
      <c r="C41" s="3212" t="s">
        <v>2998</v>
      </c>
      <c r="D41" s="3213"/>
      <c r="E41" s="3214">
        <v>1</v>
      </c>
      <c r="F41" s="3215" t="s">
        <v>2999</v>
      </c>
      <c r="G41" s="806"/>
      <c r="H41" s="800"/>
      <c r="I41" s="800"/>
    </row>
    <row r="42" spans="1:9" s="807" customFormat="1" ht="19.5" customHeight="1">
      <c r="A42" s="3708"/>
      <c r="B42" s="3701"/>
      <c r="C42" s="804" t="s">
        <v>3000</v>
      </c>
      <c r="D42" s="805"/>
      <c r="E42" s="3216">
        <v>1</v>
      </c>
      <c r="F42" s="3215" t="s">
        <v>3001</v>
      </c>
      <c r="G42" s="806"/>
      <c r="H42" s="800"/>
      <c r="I42" s="800"/>
    </row>
    <row r="43" spans="1:9" s="807" customFormat="1" ht="19.5" customHeight="1">
      <c r="A43" s="3708"/>
      <c r="B43" s="3710"/>
      <c r="C43" s="804" t="s">
        <v>3002</v>
      </c>
      <c r="D43" s="805"/>
      <c r="E43" s="3216">
        <v>1.5</v>
      </c>
      <c r="F43" s="3215" t="s">
        <v>3003</v>
      </c>
      <c r="G43" s="806"/>
      <c r="H43" s="800"/>
      <c r="I43" s="800"/>
    </row>
    <row r="44" spans="1:9" s="807" customFormat="1" ht="19.5" customHeight="1">
      <c r="A44" s="3708"/>
      <c r="B44" s="3225" t="s">
        <v>2965</v>
      </c>
      <c r="C44" s="804" t="s">
        <v>3004</v>
      </c>
      <c r="D44" s="805"/>
      <c r="E44" s="3216">
        <v>2</v>
      </c>
      <c r="F44" s="3215" t="s">
        <v>3005</v>
      </c>
      <c r="G44" s="806"/>
      <c r="H44" s="800"/>
      <c r="I44" s="800"/>
    </row>
    <row r="45" spans="1:9" s="807" customFormat="1" ht="19.5" customHeight="1">
      <c r="A45" s="3708"/>
      <c r="B45" s="3706" t="s">
        <v>3006</v>
      </c>
      <c r="C45" s="804" t="s">
        <v>3007</v>
      </c>
      <c r="D45" s="805"/>
      <c r="E45" s="3216">
        <v>1</v>
      </c>
      <c r="F45" s="3215" t="s">
        <v>3008</v>
      </c>
      <c r="G45" s="806"/>
      <c r="H45" s="800"/>
      <c r="I45" s="800"/>
    </row>
    <row r="46" spans="1:9" s="807" customFormat="1" ht="19.5" customHeight="1">
      <c r="A46" s="3708"/>
      <c r="B46" s="3701"/>
      <c r="C46" s="804" t="s">
        <v>3009</v>
      </c>
      <c r="D46" s="805"/>
      <c r="E46" s="3216">
        <v>1</v>
      </c>
      <c r="F46" s="3215" t="s">
        <v>3010</v>
      </c>
      <c r="G46" s="806"/>
      <c r="H46" s="800"/>
      <c r="I46" s="800"/>
    </row>
    <row r="47" spans="1:9" s="807" customFormat="1" ht="19.5" customHeight="1">
      <c r="A47" s="3708"/>
      <c r="B47" s="3701"/>
      <c r="C47" s="804" t="s">
        <v>3011</v>
      </c>
      <c r="D47" s="805"/>
      <c r="E47" s="3216">
        <v>1</v>
      </c>
      <c r="F47" s="3215" t="s">
        <v>3012</v>
      </c>
      <c r="G47" s="806"/>
      <c r="H47" s="800"/>
      <c r="I47" s="800"/>
    </row>
    <row r="48" spans="1:9" s="807" customFormat="1" ht="19.5" customHeight="1">
      <c r="A48" s="3708"/>
      <c r="B48" s="3701"/>
      <c r="C48" s="804" t="s">
        <v>3013</v>
      </c>
      <c r="D48" s="805"/>
      <c r="E48" s="3216">
        <v>1</v>
      </c>
      <c r="F48" s="3215" t="s">
        <v>3014</v>
      </c>
      <c r="G48" s="806"/>
      <c r="H48" s="800"/>
      <c r="I48" s="800"/>
    </row>
    <row r="49" spans="1:9" s="807" customFormat="1" ht="19.5" customHeight="1">
      <c r="A49" s="3708"/>
      <c r="B49" s="3701"/>
      <c r="C49" s="804" t="s">
        <v>3015</v>
      </c>
      <c r="D49" s="805"/>
      <c r="E49" s="3216">
        <v>1</v>
      </c>
      <c r="F49" s="3215" t="s">
        <v>3016</v>
      </c>
      <c r="G49" s="806"/>
      <c r="H49" s="800"/>
      <c r="I49" s="800"/>
    </row>
    <row r="50" spans="1:9" s="807" customFormat="1" ht="19.5" customHeight="1">
      <c r="A50" s="3708"/>
      <c r="B50" s="3701"/>
      <c r="C50" s="804" t="s">
        <v>3017</v>
      </c>
      <c r="D50" s="805"/>
      <c r="E50" s="3216">
        <v>1</v>
      </c>
      <c r="F50" s="3215" t="s">
        <v>3018</v>
      </c>
      <c r="G50" s="806"/>
      <c r="H50" s="800"/>
      <c r="I50" s="800"/>
    </row>
    <row r="51" spans="1:9" s="807" customFormat="1" ht="19.5" customHeight="1" thickBot="1">
      <c r="A51" s="3709"/>
      <c r="B51" s="3702"/>
      <c r="C51" s="3217" t="s">
        <v>3019</v>
      </c>
      <c r="D51" s="3218"/>
      <c r="E51" s="3219">
        <v>1</v>
      </c>
      <c r="F51" s="3215" t="s">
        <v>3020</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3021</v>
      </c>
      <c r="D72" s="858"/>
      <c r="E72" s="815" t="s">
        <v>1</v>
      </c>
      <c r="F72" s="858" t="s">
        <v>1</v>
      </c>
    </row>
    <row r="73" spans="1:7" s="800" customFormat="1" ht="13.5">
      <c r="A73" s="3225">
        <v>1</v>
      </c>
      <c r="B73" s="3706" t="s">
        <v>3022</v>
      </c>
      <c r="C73" s="3205" t="s">
        <v>3023</v>
      </c>
      <c r="D73" s="3205" t="s">
        <v>3024</v>
      </c>
      <c r="E73" s="3226">
        <v>0.2</v>
      </c>
      <c r="F73" s="3225">
        <v>25</v>
      </c>
    </row>
    <row r="74" spans="1:7" s="800" customFormat="1" ht="24">
      <c r="A74" s="3225">
        <v>2</v>
      </c>
      <c r="B74" s="3701"/>
      <c r="C74" s="3205" t="s">
        <v>3025</v>
      </c>
      <c r="D74" s="3205" t="s">
        <v>3026</v>
      </c>
      <c r="E74" s="3226">
        <v>0.2</v>
      </c>
      <c r="F74" s="3225">
        <v>25</v>
      </c>
    </row>
    <row r="75" spans="1:7" s="800" customFormat="1" ht="24">
      <c r="A75" s="3225">
        <v>3</v>
      </c>
      <c r="B75" s="3701"/>
      <c r="C75" s="3205" t="s">
        <v>3027</v>
      </c>
      <c r="D75" s="3205" t="s">
        <v>3028</v>
      </c>
      <c r="E75" s="3226">
        <v>0.2</v>
      </c>
      <c r="F75" s="3225">
        <v>25</v>
      </c>
    </row>
    <row r="76" spans="1:7" s="800" customFormat="1" ht="13.5">
      <c r="A76" s="3225">
        <v>4</v>
      </c>
      <c r="B76" s="3701"/>
      <c r="C76" s="3205" t="s">
        <v>3029</v>
      </c>
      <c r="D76" s="3205" t="s">
        <v>3030</v>
      </c>
      <c r="E76" s="3226">
        <v>0.15</v>
      </c>
      <c r="F76" s="3225">
        <v>20</v>
      </c>
    </row>
    <row r="77" spans="1:7" s="800" customFormat="1" ht="24">
      <c r="A77" s="3225">
        <v>5</v>
      </c>
      <c r="B77" s="3701"/>
      <c r="C77" s="3205" t="s">
        <v>3031</v>
      </c>
      <c r="D77" s="3205" t="s">
        <v>3032</v>
      </c>
      <c r="E77" s="3226">
        <v>0.15</v>
      </c>
      <c r="F77" s="3225">
        <v>20</v>
      </c>
    </row>
    <row r="78" spans="1:7" s="800" customFormat="1" ht="24">
      <c r="A78" s="3225">
        <v>6</v>
      </c>
      <c r="B78" s="3701"/>
      <c r="C78" s="3205" t="s">
        <v>3033</v>
      </c>
      <c r="D78" s="3205" t="s">
        <v>3034</v>
      </c>
      <c r="E78" s="3226">
        <v>0.15</v>
      </c>
      <c r="F78" s="3225">
        <v>20</v>
      </c>
    </row>
    <row r="79" spans="1:7" s="800" customFormat="1" ht="24">
      <c r="A79" s="3225">
        <v>7</v>
      </c>
      <c r="B79" s="3701"/>
      <c r="C79" s="3205" t="s">
        <v>3035</v>
      </c>
      <c r="D79" s="3205" t="s">
        <v>3036</v>
      </c>
      <c r="E79" s="3226">
        <v>0.15</v>
      </c>
      <c r="F79" s="3225">
        <v>20</v>
      </c>
    </row>
    <row r="80" spans="1:7" s="800" customFormat="1" ht="24">
      <c r="A80" s="3225">
        <v>8</v>
      </c>
      <c r="B80" s="3701"/>
      <c r="C80" s="3205" t="s">
        <v>3037</v>
      </c>
      <c r="D80" s="3205" t="s">
        <v>3038</v>
      </c>
      <c r="E80" s="3226">
        <v>0.1</v>
      </c>
      <c r="F80" s="3225">
        <v>15</v>
      </c>
    </row>
    <row r="81" spans="1:6" s="800" customFormat="1" ht="24">
      <c r="A81" s="3225">
        <v>9</v>
      </c>
      <c r="B81" s="3701"/>
      <c r="C81" s="3205" t="s">
        <v>3039</v>
      </c>
      <c r="D81" s="3205" t="s">
        <v>3040</v>
      </c>
      <c r="E81" s="3226">
        <v>0.1</v>
      </c>
      <c r="F81" s="3225">
        <v>15</v>
      </c>
    </row>
    <row r="82" spans="1:6" s="800" customFormat="1" ht="24">
      <c r="A82" s="3225">
        <v>10</v>
      </c>
      <c r="B82" s="3701"/>
      <c r="C82" s="3205" t="s">
        <v>3041</v>
      </c>
      <c r="D82" s="3205" t="s">
        <v>3042</v>
      </c>
      <c r="E82" s="3226">
        <v>0.1</v>
      </c>
      <c r="F82" s="3225">
        <v>15</v>
      </c>
    </row>
    <row r="83" spans="1:6" s="800" customFormat="1" ht="24">
      <c r="A83" s="3225">
        <v>11</v>
      </c>
      <c r="B83" s="3701"/>
      <c r="C83" s="3205" t="s">
        <v>3043</v>
      </c>
      <c r="D83" s="3205" t="s">
        <v>3044</v>
      </c>
      <c r="E83" s="3226">
        <v>0.1</v>
      </c>
      <c r="F83" s="3225">
        <v>15</v>
      </c>
    </row>
    <row r="84" spans="1:6" s="800" customFormat="1" ht="24">
      <c r="A84" s="3225">
        <v>12</v>
      </c>
      <c r="B84" s="3701"/>
      <c r="C84" s="3205" t="s">
        <v>3045</v>
      </c>
      <c r="D84" s="3205" t="s">
        <v>3046</v>
      </c>
      <c r="E84" s="3226">
        <v>0.1</v>
      </c>
      <c r="F84" s="3225">
        <v>15</v>
      </c>
    </row>
    <row r="85" spans="1:6" s="800" customFormat="1" ht="13.5">
      <c r="A85" s="3225">
        <v>13</v>
      </c>
      <c r="B85" s="3701"/>
      <c r="C85" s="3205" t="s">
        <v>3047</v>
      </c>
      <c r="D85" s="3205" t="s">
        <v>3048</v>
      </c>
      <c r="E85" s="3226">
        <v>0.1</v>
      </c>
      <c r="F85" s="3225">
        <v>15</v>
      </c>
    </row>
    <row r="86" spans="1:6" s="800" customFormat="1" ht="13.5">
      <c r="A86" s="3225">
        <v>14</v>
      </c>
      <c r="B86" s="3701"/>
      <c r="C86" s="3205" t="s">
        <v>3049</v>
      </c>
      <c r="D86" s="3205" t="s">
        <v>3050</v>
      </c>
      <c r="E86" s="3226">
        <v>0.1</v>
      </c>
      <c r="F86" s="3225">
        <v>15</v>
      </c>
    </row>
    <row r="87" spans="1:6" s="800" customFormat="1" ht="13.5">
      <c r="A87" s="3225">
        <v>15</v>
      </c>
      <c r="B87" s="3701"/>
      <c r="C87" s="3205" t="s">
        <v>3051</v>
      </c>
      <c r="D87" s="3205" t="s">
        <v>3052</v>
      </c>
      <c r="E87" s="3226">
        <v>0.1</v>
      </c>
      <c r="F87" s="3225">
        <v>15</v>
      </c>
    </row>
    <row r="88" spans="1:6" s="800" customFormat="1" ht="24">
      <c r="A88" s="3225">
        <v>16</v>
      </c>
      <c r="B88" s="3701"/>
      <c r="C88" s="3205" t="s">
        <v>3053</v>
      </c>
      <c r="D88" s="3205" t="s">
        <v>3054</v>
      </c>
      <c r="E88" s="3226">
        <v>0.1</v>
      </c>
      <c r="F88" s="3225">
        <v>15</v>
      </c>
    </row>
    <row r="89" spans="1:6" s="800" customFormat="1" ht="24">
      <c r="A89" s="3225">
        <v>17</v>
      </c>
      <c r="B89" s="3710"/>
      <c r="C89" s="3205" t="s">
        <v>3055</v>
      </c>
      <c r="D89" s="3205" t="s">
        <v>3056</v>
      </c>
      <c r="E89" s="3226">
        <v>0.1</v>
      </c>
      <c r="F89" s="3225">
        <v>15</v>
      </c>
    </row>
    <row r="90" spans="1:6" s="800" customFormat="1" ht="13.5">
      <c r="A90" s="3225">
        <v>18</v>
      </c>
      <c r="B90" s="3706" t="s">
        <v>3057</v>
      </c>
      <c r="C90" s="3205" t="s">
        <v>3058</v>
      </c>
      <c r="D90" s="3205" t="s">
        <v>3059</v>
      </c>
      <c r="E90" s="3226">
        <v>0.2</v>
      </c>
      <c r="F90" s="3225">
        <v>25</v>
      </c>
    </row>
    <row r="91" spans="1:6" s="800" customFormat="1" ht="24">
      <c r="A91" s="3225">
        <v>19</v>
      </c>
      <c r="B91" s="3701"/>
      <c r="C91" s="3205" t="s">
        <v>3060</v>
      </c>
      <c r="D91" s="3205" t="s">
        <v>3061</v>
      </c>
      <c r="E91" s="3226">
        <v>0.2</v>
      </c>
      <c r="F91" s="3225">
        <v>25</v>
      </c>
    </row>
    <row r="92" spans="1:6" s="800" customFormat="1" ht="13.5">
      <c r="A92" s="3225">
        <v>20</v>
      </c>
      <c r="B92" s="3701"/>
      <c r="C92" s="3205" t="s">
        <v>3062</v>
      </c>
      <c r="D92" s="3205" t="s">
        <v>3063</v>
      </c>
      <c r="E92" s="3226">
        <v>0.15</v>
      </c>
      <c r="F92" s="3225">
        <v>20</v>
      </c>
    </row>
    <row r="93" spans="1:6" s="800" customFormat="1" ht="24">
      <c r="A93" s="3225">
        <v>21</v>
      </c>
      <c r="B93" s="3701"/>
      <c r="C93" s="3205" t="s">
        <v>3064</v>
      </c>
      <c r="D93" s="3205" t="s">
        <v>3065</v>
      </c>
      <c r="E93" s="3226">
        <v>0.15</v>
      </c>
      <c r="F93" s="3225">
        <v>20</v>
      </c>
    </row>
    <row r="94" spans="1:6" s="800" customFormat="1" ht="24">
      <c r="A94" s="3225">
        <v>22</v>
      </c>
      <c r="B94" s="3701"/>
      <c r="C94" s="3205" t="s">
        <v>3066</v>
      </c>
      <c r="D94" s="3205" t="s">
        <v>3067</v>
      </c>
      <c r="E94" s="3226">
        <v>0.15</v>
      </c>
      <c r="F94" s="3225">
        <v>20</v>
      </c>
    </row>
    <row r="95" spans="1:6" s="800" customFormat="1" ht="36">
      <c r="A95" s="3225">
        <v>23</v>
      </c>
      <c r="B95" s="3701"/>
      <c r="C95" s="3205" t="s">
        <v>3068</v>
      </c>
      <c r="D95" s="3205" t="s">
        <v>3069</v>
      </c>
      <c r="E95" s="3226">
        <v>0.15</v>
      </c>
      <c r="F95" s="3225">
        <v>20</v>
      </c>
    </row>
    <row r="96" spans="1:6" s="800" customFormat="1" ht="13.5">
      <c r="A96" s="3225">
        <v>24</v>
      </c>
      <c r="B96" s="3701"/>
      <c r="C96" s="3205" t="s">
        <v>3070</v>
      </c>
      <c r="D96" s="3205" t="s">
        <v>3071</v>
      </c>
      <c r="E96" s="3226">
        <v>0.1</v>
      </c>
      <c r="F96" s="3225">
        <v>15</v>
      </c>
    </row>
    <row r="97" spans="1:6" s="800" customFormat="1" ht="24">
      <c r="A97" s="3225">
        <v>25</v>
      </c>
      <c r="B97" s="3701"/>
      <c r="C97" s="3205" t="s">
        <v>3072</v>
      </c>
      <c r="D97" s="3205" t="s">
        <v>3073</v>
      </c>
      <c r="E97" s="3226">
        <v>0.1</v>
      </c>
      <c r="F97" s="3225">
        <v>15</v>
      </c>
    </row>
    <row r="98" spans="1:6" s="800" customFormat="1" ht="24">
      <c r="A98" s="3225">
        <v>26</v>
      </c>
      <c r="B98" s="3701"/>
      <c r="C98" s="3205" t="s">
        <v>3074</v>
      </c>
      <c r="D98" s="3205" t="s">
        <v>3075</v>
      </c>
      <c r="E98" s="3226">
        <v>0.1</v>
      </c>
      <c r="F98" s="3225">
        <v>15</v>
      </c>
    </row>
    <row r="99" spans="1:6" s="800" customFormat="1" ht="24">
      <c r="A99" s="3225">
        <v>27</v>
      </c>
      <c r="B99" s="3701"/>
      <c r="C99" s="3205" t="s">
        <v>3076</v>
      </c>
      <c r="D99" s="3205" t="s">
        <v>3077</v>
      </c>
      <c r="E99" s="3226">
        <v>0.1</v>
      </c>
      <c r="F99" s="3225">
        <v>15</v>
      </c>
    </row>
    <row r="100" spans="1:6" s="800" customFormat="1" ht="24">
      <c r="A100" s="3225">
        <v>28</v>
      </c>
      <c r="B100" s="3701"/>
      <c r="C100" s="3205" t="s">
        <v>3078</v>
      </c>
      <c r="D100" s="3205" t="s">
        <v>3079</v>
      </c>
      <c r="E100" s="3226">
        <v>0.1</v>
      </c>
      <c r="F100" s="3225">
        <v>15</v>
      </c>
    </row>
    <row r="101" spans="1:6" s="800" customFormat="1" ht="24">
      <c r="A101" s="3225">
        <v>29</v>
      </c>
      <c r="B101" s="3701"/>
      <c r="C101" s="3205" t="s">
        <v>3080</v>
      </c>
      <c r="D101" s="3205" t="s">
        <v>3081</v>
      </c>
      <c r="E101" s="3226">
        <v>0.1</v>
      </c>
      <c r="F101" s="3225">
        <v>15</v>
      </c>
    </row>
    <row r="102" spans="1:6" s="800" customFormat="1" ht="24">
      <c r="A102" s="3225">
        <v>30</v>
      </c>
      <c r="B102" s="3701"/>
      <c r="C102" s="3205" t="s">
        <v>3082</v>
      </c>
      <c r="D102" s="3205" t="s">
        <v>3083</v>
      </c>
      <c r="E102" s="3226">
        <v>0.1</v>
      </c>
      <c r="F102" s="3225">
        <v>15</v>
      </c>
    </row>
    <row r="103" spans="1:6" s="800" customFormat="1" ht="24">
      <c r="A103" s="3225">
        <v>31</v>
      </c>
      <c r="B103" s="3701"/>
      <c r="C103" s="3205" t="s">
        <v>3084</v>
      </c>
      <c r="D103" s="3205" t="s">
        <v>3085</v>
      </c>
      <c r="E103" s="3226">
        <v>0.1</v>
      </c>
      <c r="F103" s="3225">
        <v>15</v>
      </c>
    </row>
    <row r="104" spans="1:6" s="800" customFormat="1" ht="24">
      <c r="A104" s="3225">
        <v>32</v>
      </c>
      <c r="B104" s="3701"/>
      <c r="C104" s="3205" t="s">
        <v>3086</v>
      </c>
      <c r="D104" s="3205" t="s">
        <v>3087</v>
      </c>
      <c r="E104" s="3226">
        <v>0.1</v>
      </c>
      <c r="F104" s="3225">
        <v>15</v>
      </c>
    </row>
    <row r="105" spans="1:6" s="800" customFormat="1" ht="24">
      <c r="A105" s="3225">
        <v>33</v>
      </c>
      <c r="B105" s="3701"/>
      <c r="C105" s="3205" t="s">
        <v>3088</v>
      </c>
      <c r="D105" s="3205" t="s">
        <v>3089</v>
      </c>
      <c r="E105" s="3226">
        <v>0.1</v>
      </c>
      <c r="F105" s="3225">
        <v>15</v>
      </c>
    </row>
    <row r="106" spans="1:6" s="800" customFormat="1" ht="24">
      <c r="A106" s="3225">
        <v>34</v>
      </c>
      <c r="B106" s="3710"/>
      <c r="C106" s="3205" t="s">
        <v>3090</v>
      </c>
      <c r="D106" s="3205" t="s">
        <v>3091</v>
      </c>
      <c r="E106" s="3226">
        <v>0.1</v>
      </c>
      <c r="F106" s="3225">
        <v>15</v>
      </c>
    </row>
    <row r="107" spans="1:6" s="800" customFormat="1" ht="24">
      <c r="A107" s="3225">
        <v>35</v>
      </c>
      <c r="B107" s="3706" t="s">
        <v>3092</v>
      </c>
      <c r="C107" s="3225" t="s">
        <v>3093</v>
      </c>
      <c r="D107" s="3205" t="s">
        <v>3094</v>
      </c>
      <c r="E107" s="3226">
        <v>0.15</v>
      </c>
      <c r="F107" s="3225">
        <v>20</v>
      </c>
    </row>
    <row r="108" spans="1:6" s="800" customFormat="1" ht="24">
      <c r="A108" s="3225">
        <v>36</v>
      </c>
      <c r="B108" s="3701"/>
      <c r="C108" s="3225" t="s">
        <v>3095</v>
      </c>
      <c r="D108" s="3205" t="s">
        <v>3096</v>
      </c>
      <c r="E108" s="3226">
        <v>0.15</v>
      </c>
      <c r="F108" s="3225">
        <v>20</v>
      </c>
    </row>
    <row r="109" spans="1:6" s="800" customFormat="1" ht="24">
      <c r="A109" s="3225">
        <v>37</v>
      </c>
      <c r="B109" s="3701"/>
      <c r="C109" s="3225" t="s">
        <v>3097</v>
      </c>
      <c r="D109" s="3205" t="s">
        <v>3098</v>
      </c>
      <c r="E109" s="3226">
        <v>0.15</v>
      </c>
      <c r="F109" s="3225">
        <v>20</v>
      </c>
    </row>
    <row r="110" spans="1:6" s="800" customFormat="1" ht="13.5">
      <c r="A110" s="3225">
        <v>38</v>
      </c>
      <c r="B110" s="3701"/>
      <c r="C110" s="3225" t="s">
        <v>3099</v>
      </c>
      <c r="D110" s="3205" t="s">
        <v>3100</v>
      </c>
      <c r="E110" s="3226">
        <v>0.1</v>
      </c>
      <c r="F110" s="3225">
        <v>15</v>
      </c>
    </row>
    <row r="111" spans="1:6" s="800" customFormat="1" ht="24">
      <c r="A111" s="3225">
        <v>39</v>
      </c>
      <c r="B111" s="3701"/>
      <c r="C111" s="3225" t="s">
        <v>3101</v>
      </c>
      <c r="D111" s="3205" t="s">
        <v>3102</v>
      </c>
      <c r="E111" s="3226">
        <v>0.1</v>
      </c>
      <c r="F111" s="3225">
        <v>15</v>
      </c>
    </row>
    <row r="112" spans="1:6" s="800" customFormat="1" ht="24">
      <c r="A112" s="3225">
        <v>40</v>
      </c>
      <c r="B112" s="3710"/>
      <c r="C112" s="3225" t="s">
        <v>3103</v>
      </c>
      <c r="D112" s="3205" t="s">
        <v>3104</v>
      </c>
      <c r="E112" s="3226">
        <v>0.1</v>
      </c>
      <c r="F112" s="3225">
        <v>15</v>
      </c>
    </row>
    <row r="113" spans="1:6" s="800" customFormat="1" ht="24">
      <c r="A113" s="3225">
        <v>41</v>
      </c>
      <c r="B113" s="3711" t="s">
        <v>3105</v>
      </c>
      <c r="C113" s="3225" t="s">
        <v>3106</v>
      </c>
      <c r="D113" s="3205" t="s">
        <v>3107</v>
      </c>
      <c r="E113" s="3226">
        <v>0.1</v>
      </c>
      <c r="F113" s="3225">
        <v>15</v>
      </c>
    </row>
    <row r="114" spans="1:6" s="800" customFormat="1" ht="13.5">
      <c r="A114" s="3225">
        <v>42</v>
      </c>
      <c r="B114" s="3711"/>
      <c r="C114" s="3225" t="s">
        <v>3108</v>
      </c>
      <c r="D114" s="3205" t="s">
        <v>3109</v>
      </c>
      <c r="E114" s="3226">
        <v>0.1</v>
      </c>
      <c r="F114" s="3225">
        <v>15</v>
      </c>
    </row>
    <row r="115" spans="1:6" s="800" customFormat="1" ht="24">
      <c r="A115" s="3225">
        <v>43</v>
      </c>
      <c r="B115" s="3711"/>
      <c r="C115" s="3225" t="s">
        <v>3110</v>
      </c>
      <c r="D115" s="3205" t="s">
        <v>3111</v>
      </c>
      <c r="E115" s="3226">
        <v>0.1</v>
      </c>
      <c r="F115" s="3225">
        <v>15</v>
      </c>
    </row>
    <row r="116" spans="1:6" s="800" customFormat="1" ht="24">
      <c r="A116" s="3225">
        <v>44</v>
      </c>
      <c r="B116" s="3706" t="s">
        <v>3112</v>
      </c>
      <c r="C116" s="3225" t="s">
        <v>3113</v>
      </c>
      <c r="D116" s="3205" t="s">
        <v>3114</v>
      </c>
      <c r="E116" s="3226">
        <v>0.1</v>
      </c>
      <c r="F116" s="3225">
        <v>15</v>
      </c>
    </row>
    <row r="117" spans="1:6" s="800" customFormat="1" ht="24">
      <c r="A117" s="3225">
        <v>45</v>
      </c>
      <c r="B117" s="3710"/>
      <c r="C117" s="3205" t="s">
        <v>3115</v>
      </c>
      <c r="D117" s="3205" t="s">
        <v>3116</v>
      </c>
      <c r="E117" s="3226">
        <v>0.1</v>
      </c>
      <c r="F117" s="3225">
        <v>15</v>
      </c>
    </row>
    <row r="118" spans="1:6" s="800" customFormat="1" ht="24">
      <c r="A118" s="3225">
        <v>46</v>
      </c>
      <c r="B118" s="3706" t="s">
        <v>3117</v>
      </c>
      <c r="C118" s="3225" t="s">
        <v>3118</v>
      </c>
      <c r="D118" s="3205" t="s">
        <v>3119</v>
      </c>
      <c r="E118" s="3226">
        <v>0.1</v>
      </c>
      <c r="F118" s="3225">
        <v>15</v>
      </c>
    </row>
    <row r="119" spans="1:6" s="800" customFormat="1" ht="24">
      <c r="A119" s="3225">
        <v>47</v>
      </c>
      <c r="B119" s="3710"/>
      <c r="C119" s="3225" t="s">
        <v>3120</v>
      </c>
      <c r="D119" s="3205" t="s">
        <v>3121</v>
      </c>
      <c r="E119" s="3226">
        <v>0.1</v>
      </c>
      <c r="F119" s="3225">
        <v>15</v>
      </c>
    </row>
    <row r="120" spans="1:6" s="800" customFormat="1" ht="24">
      <c r="A120" s="3225">
        <v>48</v>
      </c>
      <c r="B120" s="3706" t="s">
        <v>3122</v>
      </c>
      <c r="C120" s="3225" t="s">
        <v>3123</v>
      </c>
      <c r="D120" s="3205" t="s">
        <v>3124</v>
      </c>
      <c r="E120" s="3226">
        <v>0.1</v>
      </c>
      <c r="F120" s="3225">
        <v>15</v>
      </c>
    </row>
    <row r="121" spans="1:6" s="800" customFormat="1" ht="13.5">
      <c r="A121" s="3225">
        <v>49</v>
      </c>
      <c r="B121" s="3710"/>
      <c r="C121" s="3225" t="s">
        <v>3125</v>
      </c>
      <c r="D121" s="3205" t="s">
        <v>3126</v>
      </c>
      <c r="E121" s="3226">
        <v>0.1</v>
      </c>
      <c r="F121" s="3225">
        <v>15</v>
      </c>
    </row>
    <row r="122" spans="1:6" s="800" customFormat="1" ht="24">
      <c r="A122" s="3225">
        <v>50</v>
      </c>
      <c r="B122" s="3711" t="s">
        <v>3127</v>
      </c>
      <c r="C122" s="3225" t="s">
        <v>3128</v>
      </c>
      <c r="D122" s="3205" t="s">
        <v>3129</v>
      </c>
      <c r="E122" s="3226">
        <v>0.1</v>
      </c>
      <c r="F122" s="3225">
        <v>15</v>
      </c>
    </row>
    <row r="123" spans="1:6" s="800" customFormat="1" ht="24">
      <c r="A123" s="3225">
        <v>51</v>
      </c>
      <c r="B123" s="3711"/>
      <c r="C123" s="3225" t="s">
        <v>3130</v>
      </c>
      <c r="D123" s="3205" t="s">
        <v>3131</v>
      </c>
      <c r="E123" s="3226">
        <v>0.1</v>
      </c>
      <c r="F123" s="3225">
        <v>15</v>
      </c>
    </row>
    <row r="124" spans="1:6" s="800" customFormat="1" ht="24">
      <c r="A124" s="3225">
        <v>52</v>
      </c>
      <c r="B124" s="3711" t="s">
        <v>3132</v>
      </c>
      <c r="C124" s="3225" t="s">
        <v>3133</v>
      </c>
      <c r="D124" s="3205" t="s">
        <v>3134</v>
      </c>
      <c r="E124" s="3226">
        <v>0.1</v>
      </c>
      <c r="F124" s="3225">
        <v>15</v>
      </c>
    </row>
    <row r="125" spans="1:6" s="800" customFormat="1" ht="24">
      <c r="A125" s="3225">
        <v>53</v>
      </c>
      <c r="B125" s="3711"/>
      <c r="C125" s="3225" t="s">
        <v>3135</v>
      </c>
      <c r="D125" s="3205" t="s">
        <v>3136</v>
      </c>
      <c r="E125" s="3226">
        <v>0.1</v>
      </c>
      <c r="F125" s="3225">
        <v>15</v>
      </c>
    </row>
    <row r="126" spans="1:6" ht="24">
      <c r="A126" s="3225">
        <v>54</v>
      </c>
      <c r="B126" s="3225" t="s">
        <v>3137</v>
      </c>
      <c r="C126" s="3225" t="s">
        <v>3138</v>
      </c>
      <c r="D126" s="3205" t="s">
        <v>3139</v>
      </c>
      <c r="E126" s="3226">
        <v>0.1</v>
      </c>
      <c r="F126" s="3225">
        <v>15</v>
      </c>
    </row>
    <row r="127" spans="1:6" ht="13.5">
      <c r="A127" s="3225">
        <v>55</v>
      </c>
      <c r="B127" s="3711" t="s">
        <v>3140</v>
      </c>
      <c r="C127" s="3225" t="s">
        <v>3141</v>
      </c>
      <c r="D127" s="3205" t="s">
        <v>3142</v>
      </c>
      <c r="E127" s="3226">
        <v>0.1</v>
      </c>
      <c r="F127" s="3225">
        <v>15</v>
      </c>
    </row>
    <row r="128" spans="1:6" ht="13.5">
      <c r="A128" s="3225">
        <v>56</v>
      </c>
      <c r="B128" s="3711"/>
      <c r="C128" s="3225" t="s">
        <v>3143</v>
      </c>
      <c r="D128" s="3205" t="s">
        <v>3144</v>
      </c>
      <c r="E128" s="3226">
        <v>0.1</v>
      </c>
      <c r="F128" s="3225">
        <v>15</v>
      </c>
    </row>
    <row r="129" spans="1:6" ht="24">
      <c r="A129" s="3225">
        <v>57</v>
      </c>
      <c r="B129" s="3711"/>
      <c r="C129" s="3225" t="s">
        <v>3145</v>
      </c>
      <c r="D129" s="3205" t="s">
        <v>3146</v>
      </c>
      <c r="E129" s="3226">
        <v>0.1</v>
      </c>
      <c r="F129" s="3225">
        <v>15</v>
      </c>
    </row>
    <row r="130" spans="1:6" ht="24">
      <c r="A130" s="3225">
        <v>58</v>
      </c>
      <c r="B130" s="3711" t="s">
        <v>3147</v>
      </c>
      <c r="C130" s="3225" t="s">
        <v>3148</v>
      </c>
      <c r="D130" s="3205" t="s">
        <v>3149</v>
      </c>
      <c r="E130" s="3226">
        <v>0.1</v>
      </c>
      <c r="F130" s="3225">
        <v>15</v>
      </c>
    </row>
    <row r="131" spans="1:6" ht="24">
      <c r="A131" s="3225">
        <v>59</v>
      </c>
      <c r="B131" s="3711"/>
      <c r="C131" s="3225" t="s">
        <v>3150</v>
      </c>
      <c r="D131" s="3205" t="s">
        <v>3151</v>
      </c>
      <c r="E131" s="3226">
        <v>0.1</v>
      </c>
      <c r="F131" s="3225">
        <v>15</v>
      </c>
    </row>
    <row r="132" spans="1:6" ht="24">
      <c r="A132" s="3225">
        <v>60</v>
      </c>
      <c r="B132" s="3706" t="s">
        <v>3152</v>
      </c>
      <c r="C132" s="3225" t="s">
        <v>3153</v>
      </c>
      <c r="D132" s="3205" t="s">
        <v>3154</v>
      </c>
      <c r="E132" s="3226">
        <v>0.1</v>
      </c>
      <c r="F132" s="3225">
        <v>15</v>
      </c>
    </row>
    <row r="133" spans="1:6" ht="24">
      <c r="A133" s="3225">
        <v>61</v>
      </c>
      <c r="B133" s="3710"/>
      <c r="C133" s="3225" t="s">
        <v>3155</v>
      </c>
      <c r="D133" s="3205" t="s">
        <v>3156</v>
      </c>
      <c r="E133" s="3226">
        <v>0.1</v>
      </c>
      <c r="F133" s="3225">
        <v>15</v>
      </c>
    </row>
    <row r="134" spans="1:6" ht="24">
      <c r="A134" s="3225">
        <v>62</v>
      </c>
      <c r="B134" s="3225" t="s">
        <v>3157</v>
      </c>
      <c r="C134" s="3225" t="s">
        <v>3158</v>
      </c>
      <c r="D134" s="3205" t="s">
        <v>3159</v>
      </c>
      <c r="E134" s="3226">
        <v>0.1</v>
      </c>
      <c r="F134" s="3225">
        <v>15</v>
      </c>
    </row>
    <row r="135" spans="1:6" ht="24">
      <c r="A135" s="3225">
        <v>63</v>
      </c>
      <c r="B135" s="3711" t="s">
        <v>3160</v>
      </c>
      <c r="C135" s="3225" t="s">
        <v>3161</v>
      </c>
      <c r="D135" s="3205" t="s">
        <v>3162</v>
      </c>
      <c r="E135" s="3226">
        <v>0.1</v>
      </c>
      <c r="F135" s="3225">
        <v>15</v>
      </c>
    </row>
    <row r="136" spans="1:6" ht="13.5">
      <c r="A136" s="3225">
        <v>64</v>
      </c>
      <c r="B136" s="3711"/>
      <c r="C136" s="3225" t="s">
        <v>3163</v>
      </c>
      <c r="D136" s="3205" t="s">
        <v>3164</v>
      </c>
      <c r="E136" s="3226">
        <v>0.1</v>
      </c>
      <c r="F136" s="3225">
        <v>15</v>
      </c>
    </row>
    <row r="137" spans="1:6" ht="24">
      <c r="A137" s="3225">
        <v>65</v>
      </c>
      <c r="B137" s="3225" t="s">
        <v>3165</v>
      </c>
      <c r="C137" s="3225" t="s">
        <v>3166</v>
      </c>
      <c r="D137" s="3205" t="s">
        <v>3167</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1.2542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spans="1:5" ht="18">
      <c r="A3" s="3392" t="str">
        <f>IF(项目基本情况!B9="房地产市场价值","估价结果一览表（市场价值不需“结果表-1”）","估价结果一览表")</f>
        <v>估价结果一览表</v>
      </c>
      <c r="B3" s="3392"/>
      <c r="C3" s="3392"/>
      <c r="D3" s="3392"/>
      <c r="E3" s="3392"/>
    </row>
    <row r="4" spans="1:5" ht="19.5" thickBot="1">
      <c r="A4" s="1628"/>
      <c r="B4" s="3390" t="s">
        <v>1354</v>
      </c>
      <c r="C4" s="3390"/>
      <c r="D4" s="3390"/>
      <c r="E4" s="1628"/>
    </row>
    <row r="5" spans="1:5" ht="16.5" thickTop="1">
      <c r="A5" s="1626"/>
      <c r="B5" s="3388" t="s">
        <v>1346</v>
      </c>
      <c r="C5" s="1629" t="s">
        <v>1347</v>
      </c>
      <c r="D5" s="939">
        <f ca="1">结果表!H101</f>
        <v>23522</v>
      </c>
      <c r="E5" s="1626"/>
    </row>
    <row r="6" spans="1:5" ht="15.75">
      <c r="A6" s="1626"/>
      <c r="B6" s="3388"/>
      <c r="C6" s="1629" t="s">
        <v>1348</v>
      </c>
      <c r="D6" s="939" t="str">
        <f ca="1">NUMBERSTRING(INT(D5*10000),2)&amp;"元整"</f>
        <v>贰亿叁仟伍佰贰拾贰万元整</v>
      </c>
      <c r="E6" s="1626"/>
    </row>
    <row r="7" spans="1:5" ht="15.75">
      <c r="A7" s="1626"/>
      <c r="B7" s="3393"/>
      <c r="C7" s="1630" t="s">
        <v>1349</v>
      </c>
      <c r="D7" s="940">
        <f ca="1">结果表!H102</f>
        <v>7099</v>
      </c>
      <c r="E7" s="1626"/>
    </row>
    <row r="8" spans="1:5" ht="15.75">
      <c r="A8" s="1626"/>
      <c r="B8" s="3394" t="str">
        <f>结果表!E103</f>
        <v>2.估价师知悉的法定优先受偿款</v>
      </c>
      <c r="C8" s="1631" t="s">
        <v>1350</v>
      </c>
      <c r="D8" s="940">
        <f>结果表!H103</f>
        <v>0</v>
      </c>
      <c r="E8" s="1626"/>
    </row>
    <row r="9" spans="1:5" ht="15.75">
      <c r="A9" s="1626"/>
      <c r="B9" s="3396"/>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87" t="str">
        <f>结果表!E107</f>
        <v>3.房地产抵押价值</v>
      </c>
      <c r="C13" s="1634" t="s">
        <v>1347</v>
      </c>
      <c r="D13" s="942">
        <f ca="1">结果表!H107</f>
        <v>23522</v>
      </c>
      <c r="E13" s="1626"/>
    </row>
    <row r="14" spans="1:5" ht="15.75">
      <c r="A14" s="1626"/>
      <c r="B14" s="3388"/>
      <c r="C14" s="1629" t="s">
        <v>1348</v>
      </c>
      <c r="D14" s="939" t="str">
        <f ca="1">NUMBERSTRING(INT(D13*10000),2)&amp;"元整"</f>
        <v>贰亿叁仟伍佰贰拾贰万元整</v>
      </c>
      <c r="E14" s="1626"/>
    </row>
    <row r="15" spans="1:5" ht="15">
      <c r="A15" s="1626"/>
      <c r="B15" s="3393"/>
      <c r="C15" s="1630" t="s">
        <v>1358</v>
      </c>
      <c r="D15" s="948">
        <f ca="1">结果表!H108</f>
        <v>7099</v>
      </c>
      <c r="E15" s="1626"/>
    </row>
    <row r="16" spans="1:5" ht="15">
      <c r="A16" s="1626"/>
      <c r="B16" s="3394" t="str">
        <f>结果表!E109</f>
        <v>——</v>
      </c>
      <c r="C16" s="1634" t="s">
        <v>1359</v>
      </c>
      <c r="D16" s="1635" t="str">
        <f>结果表!H109</f>
        <v>——</v>
      </c>
      <c r="E16" s="1626"/>
    </row>
    <row r="17" spans="1:5" ht="15.75">
      <c r="A17" s="1626"/>
      <c r="B17" s="3395"/>
      <c r="C17" s="1629" t="s">
        <v>1360</v>
      </c>
      <c r="D17" s="939" t="e">
        <f>NUMBERSTRING(INT(D16*10000),2)&amp;"元整"</f>
        <v>#VALUE!</v>
      </c>
      <c r="E17" s="1626"/>
    </row>
    <row r="18" spans="1:5" ht="15">
      <c r="A18" s="1626"/>
      <c r="B18" s="3396"/>
      <c r="C18" s="1630" t="s">
        <v>1349</v>
      </c>
      <c r="D18" s="948" t="str">
        <f>结果表!H110</f>
        <v>——</v>
      </c>
      <c r="E18" s="1626"/>
    </row>
    <row r="19" spans="1:5" ht="15.75">
      <c r="A19" s="1626"/>
      <c r="B19" s="3387" t="str">
        <f>结果表!E111</f>
        <v>——</v>
      </c>
      <c r="C19" s="1634" t="s">
        <v>1347</v>
      </c>
      <c r="D19" s="940" t="str">
        <f>结果表!H111</f>
        <v>——</v>
      </c>
      <c r="E19" s="1626"/>
    </row>
    <row r="20" spans="1:5" ht="15.75">
      <c r="A20" s="1626"/>
      <c r="B20" s="3388"/>
      <c r="C20" s="1629" t="s">
        <v>1360</v>
      </c>
      <c r="D20" s="939" t="e">
        <f>NUMBERSTRING(INT(D19*10000),2)&amp;"元整"</f>
        <v>#VALUE!</v>
      </c>
      <c r="E20" s="1626"/>
    </row>
    <row r="21" spans="1:5" ht="15.75" thickBot="1">
      <c r="A21" s="1626"/>
      <c r="B21" s="3389"/>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717" t="s">
        <v>877</v>
      </c>
      <c r="C1" s="3717"/>
      <c r="D1" s="3717"/>
      <c r="E1" s="3717"/>
      <c r="F1" s="3717"/>
      <c r="G1" s="3713" t="s">
        <v>878</v>
      </c>
      <c r="H1" s="3713"/>
      <c r="I1" s="3713"/>
      <c r="J1" s="3713"/>
      <c r="K1" s="3713"/>
      <c r="L1" s="3713"/>
      <c r="N1" s="3713" t="s">
        <v>879</v>
      </c>
      <c r="O1" s="3713"/>
      <c r="P1" s="3713"/>
      <c r="Q1" s="3713"/>
      <c r="S1" s="3713" t="s">
        <v>880</v>
      </c>
      <c r="T1" s="3713"/>
      <c r="U1" s="3713"/>
      <c r="V1" s="3713"/>
      <c r="X1" s="3712" t="s">
        <v>881</v>
      </c>
      <c r="Y1" s="3713"/>
      <c r="Z1" s="3713"/>
      <c r="AA1" s="3713"/>
      <c r="AB1" s="3713"/>
      <c r="AD1" s="3712" t="s">
        <v>882</v>
      </c>
      <c r="AE1" s="3713"/>
      <c r="AF1" s="3713"/>
      <c r="AG1" s="3713"/>
      <c r="AH1" s="371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2935</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2934</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71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71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71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72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71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71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71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72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71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71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71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71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71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71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71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71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71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71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71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71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71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72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72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72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71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71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71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71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71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71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71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71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71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71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71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71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71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71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71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71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71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71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71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71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71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71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71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71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71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71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71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71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71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71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71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71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71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71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71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71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71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71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71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71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71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71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71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71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C7:Q3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726" t="s">
        <v>2584</v>
      </c>
      <c r="D1" s="3727"/>
      <c r="E1" s="3727"/>
      <c r="F1" s="3727"/>
      <c r="G1" s="3727"/>
      <c r="H1" s="3727"/>
      <c r="I1" s="3727"/>
      <c r="J1" s="3727"/>
      <c r="K1" s="3727"/>
      <c r="L1" s="3727"/>
      <c r="M1" s="3727"/>
      <c r="N1" s="3727"/>
      <c r="O1" s="3727"/>
      <c r="P1" s="3727"/>
      <c r="Q1" s="3727"/>
      <c r="R1" s="3727"/>
      <c r="S1" s="3728"/>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723" t="s">
        <v>33</v>
      </c>
      <c r="D22" s="3724"/>
      <c r="E22" s="3724"/>
      <c r="F22" s="3724"/>
      <c r="G22" s="3724"/>
      <c r="H22" s="3724"/>
      <c r="I22" s="3724"/>
      <c r="J22" s="3724"/>
      <c r="K22" s="3724"/>
      <c r="L22" s="3724"/>
      <c r="M22" s="3724"/>
      <c r="N22" s="3724"/>
      <c r="O22" s="3724"/>
      <c r="P22" s="3724"/>
      <c r="Q22" s="3725"/>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42588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663</v>
      </c>
      <c r="D10" s="934">
        <f>'数据-汇总表'!E6</f>
        <v>33133.130000000005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663</v>
      </c>
      <c r="D19" s="938">
        <f>'数据-汇总表'!E3</f>
        <v>33133.130000000005</v>
      </c>
      <c r="E19" s="216">
        <f>'数据-取费表'!B31</f>
        <v>200</v>
      </c>
      <c r="F19" s="236"/>
      <c r="G19" s="1" t="s">
        <v>861</v>
      </c>
    </row>
    <row r="20" spans="1:7" s="219" customFormat="1" ht="13.5" customHeight="1">
      <c r="A20" s="865" t="s">
        <v>844</v>
      </c>
      <c r="B20" s="215" t="s">
        <v>104</v>
      </c>
      <c r="C20" s="237">
        <f>ROUND((C5+C19)*F20,0)</f>
        <v>425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1820</v>
      </c>
      <c r="D22" s="240">
        <f ca="1">C26</f>
        <v>8.0000000000000004E-4</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1746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56</v>
      </c>
      <c r="D24" s="243"/>
      <c r="E24" s="243"/>
      <c r="F24" s="244"/>
      <c r="G24" s="245" t="s">
        <v>109</v>
      </c>
    </row>
    <row r="25" spans="1:7" s="219" customFormat="1" ht="24">
      <c r="A25" s="868" t="s">
        <v>612</v>
      </c>
      <c r="B25" s="220" t="s">
        <v>845</v>
      </c>
      <c r="C25" s="1217">
        <f ca="1">ROUND(IF('数据-取费表'!B22&lt;=1,C20*F22*'数据-取费表'!B23/2,C20*(POWER((1+F22),'数据-取费表'!B23/2)-1)),0)</f>
        <v>18</v>
      </c>
      <c r="D25" s="243"/>
      <c r="E25" s="246"/>
      <c r="F25" s="244"/>
      <c r="G25" s="247" t="s">
        <v>110</v>
      </c>
    </row>
    <row r="26" spans="1:7" s="219" customFormat="1">
      <c r="A26" s="868" t="s">
        <v>614</v>
      </c>
      <c r="B26" s="220" t="s">
        <v>847</v>
      </c>
      <c r="C26" s="243">
        <f ca="1">ROUND(IF('数据-取费表'!B22&lt;=1,F21*F22*'数据-取费表'!B23/2,F21*(POWER((1+F22),'数据-取费表'!B23/2)-1)),4)</f>
        <v>8.0000000000000004E-4</v>
      </c>
      <c r="D26" s="243"/>
      <c r="E26" s="246"/>
      <c r="F26" s="244"/>
      <c r="G26" s="248"/>
    </row>
    <row r="27" spans="1:7" s="219" customFormat="1" ht="24.75">
      <c r="A27" s="865" t="s">
        <v>606</v>
      </c>
      <c r="B27" s="249" t="s">
        <v>112</v>
      </c>
      <c r="C27" s="250">
        <f>C28</f>
        <v>2170</v>
      </c>
      <c r="D27" s="240">
        <f>C29</f>
        <v>2E-3</v>
      </c>
      <c r="E27" s="241" t="s">
        <v>126</v>
      </c>
      <c r="F27" s="251">
        <f>'数据-取费表'!Q16</f>
        <v>0.1</v>
      </c>
      <c r="G27" s="252" t="s">
        <v>856</v>
      </c>
    </row>
    <row r="28" spans="1:7" s="219" customFormat="1" ht="13.5" customHeight="1">
      <c r="A28" s="868" t="s">
        <v>613</v>
      </c>
      <c r="B28" s="253" t="s">
        <v>849</v>
      </c>
      <c r="C28" s="254">
        <f>ROUND((C5+C19+C20)*F27*'数据-取费表'!B21/'数据-取费表'!B20,0)</f>
        <v>2170</v>
      </c>
      <c r="D28" s="240"/>
      <c r="E28" s="241"/>
      <c r="F28" s="251"/>
      <c r="G28" s="252"/>
    </row>
    <row r="29" spans="1:7" s="219" customFormat="1" ht="13.5" customHeight="1">
      <c r="A29" s="868" t="s">
        <v>611</v>
      </c>
      <c r="B29" s="253" t="s">
        <v>850</v>
      </c>
      <c r="C29" s="243">
        <f>ROUND(C21*F27*'数据-取费表'!B21/'数据-取费表'!B20,4)</f>
        <v>2E-3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27776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13370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12160</v>
      </c>
      <c r="D34" s="222"/>
      <c r="E34" s="225"/>
      <c r="F34" s="262">
        <f>IF('数据-取费表'!B24=0,1,'数据-取费表'!N16)</f>
        <v>1</v>
      </c>
      <c r="G34" s="224" t="s">
        <v>116</v>
      </c>
    </row>
    <row r="35" spans="1:7" ht="13.5" customHeight="1">
      <c r="A35" s="868" t="s">
        <v>615</v>
      </c>
      <c r="B35" s="220" t="s">
        <v>60</v>
      </c>
      <c r="C35" s="225">
        <f>ROUND(C34*F35,0)</f>
        <v>365</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663</v>
      </c>
      <c r="D37" s="222">
        <f>'数据-汇总表'!E3</f>
        <v>33133.130000000005</v>
      </c>
      <c r="E37" s="254">
        <f>'数据-取费表'!B35</f>
        <v>200</v>
      </c>
      <c r="F37" s="264"/>
      <c r="G37" s="266" t="s">
        <v>119</v>
      </c>
    </row>
    <row r="38" spans="1:7" ht="13.5" customHeight="1">
      <c r="A38" s="868" t="s">
        <v>618</v>
      </c>
      <c r="B38" s="220" t="s">
        <v>63</v>
      </c>
      <c r="C38" s="225">
        <f>ROUND(C34*F38,0)</f>
        <v>182</v>
      </c>
      <c r="D38" s="225"/>
      <c r="E38" s="225"/>
      <c r="F38" s="264">
        <f>'数据-取费表'!B36</f>
        <v>1.4999999999999999E-2</v>
      </c>
      <c r="G38" s="224" t="s">
        <v>117</v>
      </c>
    </row>
    <row r="39" spans="1:7" s="219" customFormat="1" ht="13.5" customHeight="1">
      <c r="A39" s="865" t="s">
        <v>602</v>
      </c>
      <c r="B39" s="215" t="s">
        <v>104</v>
      </c>
      <c r="C39" s="237">
        <f>ROUND(C33*F20,0)</f>
        <v>267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566</v>
      </c>
      <c r="D41" s="240">
        <f ca="1">C44</f>
        <v>8.0000000000000004E-4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555</v>
      </c>
      <c r="D42" s="243"/>
      <c r="E42" s="243"/>
      <c r="F42" s="244"/>
      <c r="G42" s="3575" t="s">
        <v>121</v>
      </c>
    </row>
    <row r="43" spans="1:7" ht="13.5" customHeight="1">
      <c r="A43" s="868" t="s">
        <v>611</v>
      </c>
      <c r="B43" s="220" t="s">
        <v>851</v>
      </c>
      <c r="C43" s="243">
        <f ca="1">ROUND(IF('数据-取费表'!B22&lt;=1,C39*F22*'数据-取费表'!B21/2,C39*(POWER((1+F22),'数据-取费表'!B21/2)-1)),0)</f>
        <v>11</v>
      </c>
      <c r="D43" s="243"/>
      <c r="E43" s="243"/>
      <c r="F43" s="244"/>
      <c r="G43" s="3576"/>
    </row>
    <row r="44" spans="1:7" ht="13.5" customHeight="1">
      <c r="A44" s="868" t="s">
        <v>612</v>
      </c>
      <c r="B44" s="220" t="s">
        <v>853</v>
      </c>
      <c r="C44" s="243">
        <f ca="1">ROUND(IF('数据-取费表'!B22&lt;=1,C40*F22*'数据-取费表'!B21/2,C40*(POWER((1+F22),'数据-取费表'!B21/2)-1)),4)</f>
        <v>8.0000000000000004E-4</v>
      </c>
      <c r="D44" s="243"/>
      <c r="E44" s="243"/>
      <c r="F44" s="244"/>
      <c r="G44" s="3577"/>
    </row>
    <row r="45" spans="1:7" s="219" customFormat="1" ht="13.5" customHeight="1">
      <c r="A45" s="865" t="s">
        <v>605</v>
      </c>
      <c r="B45" s="249" t="s">
        <v>112</v>
      </c>
      <c r="C45" s="250">
        <f>C46</f>
        <v>1364</v>
      </c>
      <c r="D45" s="240">
        <f>C47</f>
        <v>2E-3</v>
      </c>
      <c r="E45" s="241" t="s">
        <v>129</v>
      </c>
      <c r="F45" s="251"/>
      <c r="G45" s="252" t="s">
        <v>859</v>
      </c>
    </row>
    <row r="46" spans="1:7" s="219" customFormat="1" ht="13.5" customHeight="1">
      <c r="A46" s="868" t="s">
        <v>613</v>
      </c>
      <c r="B46" s="253" t="s">
        <v>852</v>
      </c>
      <c r="C46" s="254">
        <f>ROUND((C33+C39)*F27,0)</f>
        <v>1364</v>
      </c>
      <c r="D46" s="268"/>
      <c r="E46" s="241"/>
      <c r="F46" s="251"/>
      <c r="G46" s="252"/>
    </row>
    <row r="47" spans="1:7" s="219" customFormat="1" ht="13.5" customHeight="1">
      <c r="A47" s="868" t="s">
        <v>611</v>
      </c>
      <c r="B47" s="253" t="s">
        <v>854</v>
      </c>
      <c r="C47" s="243">
        <f>ROUND(C40*F27,4)</f>
        <v>2E-3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16832</v>
      </c>
      <c r="D49" s="237"/>
      <c r="E49" s="237"/>
      <c r="F49" s="269"/>
      <c r="G49" s="239" t="s">
        <v>860</v>
      </c>
    </row>
    <row r="50" spans="1:7" s="263" customFormat="1" ht="24">
      <c r="A50" s="865" t="s">
        <v>608</v>
      </c>
      <c r="B50" s="215" t="s">
        <v>124</v>
      </c>
      <c r="C50" s="237"/>
      <c r="D50" s="237"/>
      <c r="E50" s="237"/>
      <c r="F50" s="269">
        <f>IF('数据-取费表'!B24=0,'数据-取费表'!N16,1)</f>
        <v>0.88</v>
      </c>
      <c r="G50" s="252" t="s">
        <v>125</v>
      </c>
    </row>
    <row r="51" spans="1:7" ht="16.5" customHeight="1">
      <c r="A51" s="865" t="s">
        <v>609</v>
      </c>
      <c r="B51" s="215" t="s">
        <v>132</v>
      </c>
      <c r="C51" s="237">
        <f ca="1">ROUND(C49*F50,0)</f>
        <v>14812</v>
      </c>
      <c r="D51" s="237"/>
      <c r="E51" s="237"/>
      <c r="F51" s="269"/>
      <c r="G51" s="239" t="s">
        <v>64</v>
      </c>
    </row>
    <row r="52" spans="1:7" s="213" customFormat="1" ht="16.5" thickBot="1">
      <c r="A52" s="270" t="s">
        <v>65</v>
      </c>
      <c r="B52" s="271"/>
      <c r="C52" s="272">
        <f ca="1">C31+C51</f>
        <v>42588</v>
      </c>
      <c r="D52" s="271"/>
      <c r="E52" s="271"/>
      <c r="F52" s="271"/>
      <c r="G52" s="273"/>
    </row>
    <row r="55" spans="1:7" ht="15">
      <c r="B55" s="275" t="s">
        <v>66</v>
      </c>
      <c r="C55" s="276"/>
    </row>
    <row r="56" spans="1:7">
      <c r="B56" s="278" t="s">
        <v>67</v>
      </c>
      <c r="C56" s="279">
        <f ca="1">ROUND(C51/C52,3)</f>
        <v>0.34799999999999998</v>
      </c>
    </row>
    <row r="57" spans="1:7">
      <c r="B57" s="278" t="s">
        <v>68</v>
      </c>
      <c r="C57" s="28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729" t="s">
        <v>156</v>
      </c>
      <c r="B1" s="3729"/>
      <c r="C1" s="3729"/>
      <c r="D1" s="3729"/>
      <c r="E1" s="3729"/>
      <c r="F1" s="372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730" t="s">
        <v>169</v>
      </c>
      <c r="B2" s="3730"/>
      <c r="C2" s="3730"/>
      <c r="D2" s="3730"/>
      <c r="E2" s="3730"/>
      <c r="F2" s="373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73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73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729" t="s">
        <v>658</v>
      </c>
      <c r="B1" s="3729"/>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44874</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0"/>
  <sheetViews>
    <sheetView topLeftCell="I112" zoomScaleNormal="100" workbookViewId="0">
      <selection activeCell="W147" sqref="W147"/>
    </sheetView>
  </sheetViews>
  <sheetFormatPr defaultColWidth="14.25" defaultRowHeight="13.5"/>
  <cols>
    <col min="1" max="1" width="7.25" style="3268" customWidth="1"/>
    <col min="2" max="2" width="19.125" style="3268" customWidth="1"/>
    <col min="3" max="3" width="13.375" style="3324" customWidth="1"/>
    <col min="4" max="4" width="36.625" style="3324" customWidth="1"/>
    <col min="5" max="5" width="13.75" style="3324" customWidth="1"/>
    <col min="6" max="6" width="13.25" style="3335" customWidth="1"/>
    <col min="7" max="7" width="20.375" style="3324" customWidth="1"/>
    <col min="8" max="8" width="23.875" style="3324" customWidth="1"/>
    <col min="9" max="9" width="13.75" style="3336" customWidth="1"/>
    <col min="10" max="10" width="11.75" style="3337" customWidth="1"/>
    <col min="11" max="11" width="13" style="3324" customWidth="1"/>
    <col min="12" max="12" width="9.625" style="3338" customWidth="1"/>
    <col min="13" max="13" width="16.125" style="3338" customWidth="1"/>
    <col min="14" max="14" width="15" style="3339" customWidth="1"/>
    <col min="15" max="15" width="15.75" style="3340" customWidth="1"/>
    <col min="16" max="16" width="13.625" style="3341" customWidth="1"/>
    <col min="17" max="17" width="13.625" style="3339" customWidth="1"/>
    <col min="18" max="18" width="14.625" style="3268" bestFit="1" customWidth="1"/>
    <col min="19" max="19" width="15.625" style="3268" customWidth="1"/>
    <col min="20" max="16384" width="14.25" style="3268"/>
  </cols>
  <sheetData>
    <row r="1" spans="1:20" s="3260" customFormat="1">
      <c r="A1" s="3252" t="s">
        <v>3214</v>
      </c>
      <c r="B1" s="3253" t="s">
        <v>3215</v>
      </c>
      <c r="C1" s="3254" t="s">
        <v>3216</v>
      </c>
      <c r="D1" s="3253" t="s">
        <v>3217</v>
      </c>
      <c r="E1" s="3254" t="s">
        <v>3218</v>
      </c>
      <c r="F1" s="3255" t="s">
        <v>3219</v>
      </c>
      <c r="G1" s="3254" t="s">
        <v>3220</v>
      </c>
      <c r="H1" s="3254" t="s">
        <v>3221</v>
      </c>
      <c r="I1" s="3256" t="s">
        <v>3222</v>
      </c>
      <c r="J1" s="3256" t="s">
        <v>3223</v>
      </c>
      <c r="K1" s="3254" t="s">
        <v>3224</v>
      </c>
      <c r="L1" s="3254" t="s">
        <v>3225</v>
      </c>
      <c r="M1" s="3257" t="s">
        <v>3226</v>
      </c>
      <c r="N1" s="3257" t="s">
        <v>3227</v>
      </c>
      <c r="O1" s="3258" t="s">
        <v>3228</v>
      </c>
      <c r="P1" s="3259" t="s">
        <v>3229</v>
      </c>
      <c r="Q1" s="3257" t="s">
        <v>3230</v>
      </c>
      <c r="R1" s="3260" t="s">
        <v>3231</v>
      </c>
      <c r="S1" s="3260" t="s">
        <v>3886</v>
      </c>
      <c r="T1" s="3260" t="s">
        <v>3884</v>
      </c>
    </row>
    <row r="2" spans="1:20">
      <c r="A2" s="3261"/>
      <c r="B2" s="3262"/>
      <c r="C2" s="3262" t="s">
        <v>3232</v>
      </c>
      <c r="D2" s="3262" t="s">
        <v>3233</v>
      </c>
      <c r="E2" s="3735" t="s">
        <v>3234</v>
      </c>
      <c r="F2" s="3736" t="s">
        <v>3235</v>
      </c>
      <c r="G2" s="3262" t="s">
        <v>3236</v>
      </c>
      <c r="H2" s="3263" t="s">
        <v>3237</v>
      </c>
      <c r="I2" s="3264">
        <v>44879</v>
      </c>
      <c r="J2" s="3264">
        <v>44699</v>
      </c>
      <c r="K2" s="3262" t="s">
        <v>3238</v>
      </c>
      <c r="L2" s="3262" t="s">
        <v>3239</v>
      </c>
      <c r="M2" s="3265">
        <v>60275.88</v>
      </c>
      <c r="N2" s="3265">
        <v>120551.76</v>
      </c>
      <c r="O2" s="3266" t="s">
        <v>3240</v>
      </c>
      <c r="P2" s="3733">
        <v>227.8</v>
      </c>
      <c r="Q2" s="3267">
        <v>28702.799999999999</v>
      </c>
    </row>
    <row r="3" spans="1:20" s="3277" customFormat="1">
      <c r="A3" s="3269"/>
      <c r="B3" s="3270"/>
      <c r="C3" s="3270" t="s">
        <v>3232</v>
      </c>
      <c r="D3" s="3270" t="s">
        <v>3233</v>
      </c>
      <c r="E3" s="3735"/>
      <c r="F3" s="3736"/>
      <c r="G3" s="3270"/>
      <c r="H3" s="3271" t="s">
        <v>3241</v>
      </c>
      <c r="I3" s="3272">
        <v>44879</v>
      </c>
      <c r="J3" s="3272">
        <v>44699</v>
      </c>
      <c r="K3" s="3270" t="s">
        <v>3238</v>
      </c>
      <c r="L3" s="3270" t="s">
        <v>3239</v>
      </c>
      <c r="M3" s="3273">
        <v>63433.2</v>
      </c>
      <c r="N3" s="3273">
        <v>126866.4</v>
      </c>
      <c r="O3" s="3274" t="s">
        <v>3242</v>
      </c>
      <c r="P3" s="3733"/>
      <c r="Q3" s="3275">
        <v>30206.28</v>
      </c>
      <c r="R3" s="3276">
        <f>ROUND(N3/P2/365,2)</f>
        <v>1.53</v>
      </c>
      <c r="S3" s="3276"/>
      <c r="T3" s="3351">
        <f>ROUND(1.547/1.47-1,2)</f>
        <v>0.05</v>
      </c>
    </row>
    <row r="4" spans="1:20">
      <c r="A4" s="3261"/>
      <c r="B4" s="3266"/>
      <c r="C4" s="3262" t="s">
        <v>3243</v>
      </c>
      <c r="D4" s="3262" t="s">
        <v>3244</v>
      </c>
      <c r="E4" s="3278" t="s">
        <v>3245</v>
      </c>
      <c r="F4" s="3278" t="s">
        <v>3246</v>
      </c>
      <c r="G4" s="3262" t="s">
        <v>3247</v>
      </c>
      <c r="H4" s="3263" t="s">
        <v>3248</v>
      </c>
      <c r="I4" s="3279">
        <v>45167</v>
      </c>
      <c r="J4" s="3279">
        <v>44987</v>
      </c>
      <c r="K4" s="3262" t="s">
        <v>3238</v>
      </c>
      <c r="L4" s="3262" t="s">
        <v>3239</v>
      </c>
      <c r="M4" s="3265">
        <v>129499.95</v>
      </c>
      <c r="N4" s="3265">
        <v>517999.8</v>
      </c>
      <c r="O4" s="3266" t="s">
        <v>3249</v>
      </c>
      <c r="P4" s="3733">
        <v>456.79</v>
      </c>
      <c r="Q4" s="3280">
        <v>61666.65</v>
      </c>
    </row>
    <row r="5" spans="1:20" s="3277" customFormat="1">
      <c r="A5" s="3269"/>
      <c r="B5" s="3274"/>
      <c r="C5" s="3270" t="s">
        <v>3243</v>
      </c>
      <c r="D5" s="3270" t="s">
        <v>3244</v>
      </c>
      <c r="E5" s="3281" t="s">
        <v>3245</v>
      </c>
      <c r="F5" s="3281" t="s">
        <v>3246</v>
      </c>
      <c r="G5" s="3270"/>
      <c r="H5" s="3271" t="s">
        <v>3250</v>
      </c>
      <c r="I5" s="3282">
        <v>45167</v>
      </c>
      <c r="J5" s="3282">
        <v>44987</v>
      </c>
      <c r="K5" s="3270" t="s">
        <v>3238</v>
      </c>
      <c r="L5" s="3270" t="s">
        <v>3239</v>
      </c>
      <c r="M5" s="3273">
        <v>135974.95000000001</v>
      </c>
      <c r="N5" s="3273">
        <v>271949.90000000002</v>
      </c>
      <c r="O5" s="3274" t="s">
        <v>3251</v>
      </c>
      <c r="P5" s="3733"/>
      <c r="Q5" s="3283">
        <v>64749.98</v>
      </c>
      <c r="R5" s="3276">
        <f>ROUND(N5/P4/365,2)</f>
        <v>1.63</v>
      </c>
      <c r="S5" s="3276"/>
      <c r="T5" s="3351">
        <f>ROUND(1.65375/1.575-1,2)</f>
        <v>0.05</v>
      </c>
    </row>
    <row r="6" spans="1:20">
      <c r="A6" s="3261"/>
      <c r="B6" s="3262"/>
      <c r="C6" s="3262" t="s">
        <v>3252</v>
      </c>
      <c r="D6" s="3262" t="s">
        <v>3253</v>
      </c>
      <c r="E6" s="3262" t="s">
        <v>3254</v>
      </c>
      <c r="F6" s="3284" t="s">
        <v>3255</v>
      </c>
      <c r="G6" s="3284"/>
      <c r="H6" s="3263" t="s">
        <v>3256</v>
      </c>
      <c r="I6" s="3285">
        <v>45006</v>
      </c>
      <c r="J6" s="3285">
        <v>44826</v>
      </c>
      <c r="K6" s="3263" t="s">
        <v>3238</v>
      </c>
      <c r="L6" s="3263" t="s">
        <v>3257</v>
      </c>
      <c r="M6" s="3265">
        <v>21907.86</v>
      </c>
      <c r="N6" s="3265">
        <v>87631.44</v>
      </c>
      <c r="O6" s="3266" t="s">
        <v>3258</v>
      </c>
      <c r="P6" s="3737">
        <v>136.37</v>
      </c>
      <c r="Q6" s="3280">
        <v>31296.93</v>
      </c>
    </row>
    <row r="7" spans="1:20">
      <c r="A7" s="3261"/>
      <c r="B7" s="3262"/>
      <c r="C7" s="3262" t="s">
        <v>3252</v>
      </c>
      <c r="D7" s="3262" t="s">
        <v>3253</v>
      </c>
      <c r="E7" s="3262" t="s">
        <v>3254</v>
      </c>
      <c r="F7" s="3284" t="s">
        <v>3255</v>
      </c>
      <c r="G7" s="3284"/>
      <c r="H7" s="3263" t="s">
        <v>3259</v>
      </c>
      <c r="I7" s="3285">
        <v>45006</v>
      </c>
      <c r="J7" s="3285">
        <v>44826</v>
      </c>
      <c r="K7" s="3263" t="s">
        <v>3238</v>
      </c>
      <c r="L7" s="3263" t="s">
        <v>3257</v>
      </c>
      <c r="M7" s="3265">
        <v>23003.25</v>
      </c>
      <c r="N7" s="3265">
        <v>92013</v>
      </c>
      <c r="O7" s="3266" t="s">
        <v>3260</v>
      </c>
      <c r="P7" s="3738"/>
      <c r="Q7" s="3280">
        <v>32861.79</v>
      </c>
    </row>
    <row r="8" spans="1:20" s="3289" customFormat="1">
      <c r="A8" s="3286"/>
      <c r="B8" s="3270"/>
      <c r="C8" s="3270" t="s">
        <v>3252</v>
      </c>
      <c r="D8" s="3270" t="s">
        <v>3253</v>
      </c>
      <c r="E8" s="3270" t="s">
        <v>3254</v>
      </c>
      <c r="F8" s="3287" t="s">
        <v>3255</v>
      </c>
      <c r="G8" s="3287"/>
      <c r="H8" s="3271" t="s">
        <v>3261</v>
      </c>
      <c r="I8" s="3288">
        <v>45006</v>
      </c>
      <c r="J8" s="3288">
        <v>44826</v>
      </c>
      <c r="K8" s="3271" t="s">
        <v>3238</v>
      </c>
      <c r="L8" s="3271" t="s">
        <v>3257</v>
      </c>
      <c r="M8" s="3273">
        <v>24153.42</v>
      </c>
      <c r="N8" s="3273">
        <v>96613.68</v>
      </c>
      <c r="O8" s="3274" t="s">
        <v>3262</v>
      </c>
      <c r="P8" s="3739"/>
      <c r="Q8" s="3283">
        <v>34504.89</v>
      </c>
      <c r="R8" s="3276">
        <f>ROUND(N8/P6/365,2)</f>
        <v>1.94</v>
      </c>
      <c r="S8" s="3276"/>
    </row>
    <row r="9" spans="1:20" s="3277" customFormat="1">
      <c r="A9" s="3269"/>
      <c r="B9" s="3269"/>
      <c r="C9" s="3290" t="s">
        <v>3263</v>
      </c>
      <c r="D9" s="3290" t="s">
        <v>3264</v>
      </c>
      <c r="E9" s="3290" t="s">
        <v>3265</v>
      </c>
      <c r="F9" s="3291" t="s">
        <v>3266</v>
      </c>
      <c r="G9" s="3291" t="s">
        <v>3267</v>
      </c>
      <c r="H9" s="3291" t="s">
        <v>3268</v>
      </c>
      <c r="I9" s="3292">
        <v>44931</v>
      </c>
      <c r="J9" s="3292">
        <v>44751</v>
      </c>
      <c r="K9" s="3291" t="s">
        <v>3238</v>
      </c>
      <c r="L9" s="3291" t="s">
        <v>3257</v>
      </c>
      <c r="M9" s="3273">
        <v>26991.75</v>
      </c>
      <c r="N9" s="3273">
        <v>215934</v>
      </c>
      <c r="O9" s="3269" t="s">
        <v>3269</v>
      </c>
      <c r="P9" s="3293">
        <v>197.2</v>
      </c>
      <c r="Q9" s="3294">
        <v>35989</v>
      </c>
      <c r="R9" s="3276">
        <f t="shared" ref="R9:R16" si="0">ROUND(N9/P9/365/2,2)</f>
        <v>1.5</v>
      </c>
      <c r="S9" s="3276"/>
    </row>
    <row r="10" spans="1:20" s="3277" customFormat="1">
      <c r="A10" s="3269"/>
      <c r="B10" s="3269"/>
      <c r="C10" s="3290" t="s">
        <v>3270</v>
      </c>
      <c r="D10" s="3290" t="s">
        <v>3271</v>
      </c>
      <c r="E10" s="3290" t="s">
        <v>3272</v>
      </c>
      <c r="F10" s="3291" t="s">
        <v>3273</v>
      </c>
      <c r="G10" s="3291" t="s">
        <v>3274</v>
      </c>
      <c r="H10" s="3291" t="s">
        <v>3275</v>
      </c>
      <c r="I10" s="3292">
        <v>44895</v>
      </c>
      <c r="J10" s="3292">
        <v>44715</v>
      </c>
      <c r="K10" s="3291" t="s">
        <v>3238</v>
      </c>
      <c r="L10" s="3291" t="s">
        <v>3257</v>
      </c>
      <c r="M10" s="3273">
        <v>22418.85</v>
      </c>
      <c r="N10" s="3273">
        <v>179350.8</v>
      </c>
      <c r="O10" s="3269" t="s">
        <v>3276</v>
      </c>
      <c r="P10" s="3293">
        <v>152.6</v>
      </c>
      <c r="Q10" s="3283">
        <v>32026.93</v>
      </c>
      <c r="R10" s="3276">
        <f t="shared" si="0"/>
        <v>1.61</v>
      </c>
      <c r="S10" s="3276"/>
    </row>
    <row r="11" spans="1:20" s="3277" customFormat="1">
      <c r="A11" s="3269"/>
      <c r="B11" s="3274" t="s">
        <v>3277</v>
      </c>
      <c r="C11" s="3291" t="s">
        <v>3278</v>
      </c>
      <c r="D11" s="3291" t="s">
        <v>3279</v>
      </c>
      <c r="E11" s="3291" t="s">
        <v>3280</v>
      </c>
      <c r="F11" s="3291" t="s">
        <v>3281</v>
      </c>
      <c r="G11" s="3291"/>
      <c r="H11" s="3291" t="s">
        <v>3282</v>
      </c>
      <c r="I11" s="3292">
        <v>44894</v>
      </c>
      <c r="J11" s="3292">
        <v>44714</v>
      </c>
      <c r="K11" s="3291" t="s">
        <v>3238</v>
      </c>
      <c r="L11" s="3291" t="s">
        <v>3257</v>
      </c>
      <c r="M11" s="3273">
        <v>5040</v>
      </c>
      <c r="N11" s="3273">
        <v>40320</v>
      </c>
      <c r="O11" s="3269" t="s">
        <v>3283</v>
      </c>
      <c r="P11" s="3293">
        <v>22</v>
      </c>
      <c r="Q11" s="3295">
        <v>7200</v>
      </c>
      <c r="R11" s="3276">
        <f t="shared" si="0"/>
        <v>2.5099999999999998</v>
      </c>
      <c r="S11" s="3276"/>
    </row>
    <row r="12" spans="1:20" s="3277" customFormat="1">
      <c r="A12" s="3269"/>
      <c r="B12" s="3269"/>
      <c r="C12" s="3291" t="s">
        <v>3284</v>
      </c>
      <c r="D12" s="3291" t="s">
        <v>3285</v>
      </c>
      <c r="E12" s="3291" t="s">
        <v>3286</v>
      </c>
      <c r="F12" s="3291" t="s">
        <v>3287</v>
      </c>
      <c r="G12" s="3291" t="s">
        <v>3288</v>
      </c>
      <c r="H12" s="3291" t="s">
        <v>3289</v>
      </c>
      <c r="I12" s="3292">
        <v>44939</v>
      </c>
      <c r="J12" s="3292">
        <v>44759</v>
      </c>
      <c r="K12" s="3291" t="s">
        <v>3238</v>
      </c>
      <c r="L12" s="3291" t="s">
        <v>3257</v>
      </c>
      <c r="M12" s="3273">
        <v>24798.83</v>
      </c>
      <c r="N12" s="3273">
        <v>198390.64</v>
      </c>
      <c r="O12" s="3269" t="s">
        <v>3276</v>
      </c>
      <c r="P12" s="3293">
        <v>168.8</v>
      </c>
      <c r="Q12" s="3295">
        <v>35426.9</v>
      </c>
      <c r="R12" s="3276">
        <f t="shared" si="0"/>
        <v>1.61</v>
      </c>
      <c r="S12" s="3276"/>
    </row>
    <row r="13" spans="1:20" s="3277" customFormat="1">
      <c r="A13" s="3269"/>
      <c r="B13" s="3269"/>
      <c r="C13" s="3291" t="s">
        <v>3290</v>
      </c>
      <c r="D13" s="3291" t="s">
        <v>3291</v>
      </c>
      <c r="E13" s="3291" t="s">
        <v>3292</v>
      </c>
      <c r="F13" s="3291" t="s">
        <v>3293</v>
      </c>
      <c r="G13" s="3291" t="s">
        <v>3294</v>
      </c>
      <c r="H13" s="3291" t="s">
        <v>3295</v>
      </c>
      <c r="I13" s="3292">
        <v>44990</v>
      </c>
      <c r="J13" s="3292">
        <v>44723</v>
      </c>
      <c r="K13" s="3291" t="s">
        <v>3238</v>
      </c>
      <c r="L13" s="3291" t="s">
        <v>3257</v>
      </c>
      <c r="M13" s="3273">
        <v>4620</v>
      </c>
      <c r="N13" s="3273">
        <v>36960</v>
      </c>
      <c r="O13" s="3269" t="s">
        <v>3296</v>
      </c>
      <c r="P13" s="3293">
        <v>31</v>
      </c>
      <c r="Q13" s="3296">
        <v>6600</v>
      </c>
      <c r="R13" s="3276">
        <f t="shared" si="0"/>
        <v>1.63</v>
      </c>
      <c r="S13" s="3276"/>
    </row>
    <row r="14" spans="1:20" s="3277" customFormat="1">
      <c r="A14" s="3269"/>
      <c r="B14" s="3269"/>
      <c r="C14" s="3291" t="s">
        <v>3297</v>
      </c>
      <c r="D14" s="3291" t="s">
        <v>3298</v>
      </c>
      <c r="E14" s="3291" t="s">
        <v>3299</v>
      </c>
      <c r="F14" s="3291" t="s">
        <v>3300</v>
      </c>
      <c r="G14" s="3291" t="s">
        <v>3301</v>
      </c>
      <c r="H14" s="3291" t="s">
        <v>3302</v>
      </c>
      <c r="I14" s="3292">
        <v>44948</v>
      </c>
      <c r="J14" s="3292">
        <v>44768</v>
      </c>
      <c r="K14" s="3270" t="s">
        <v>3238</v>
      </c>
      <c r="L14" s="3291" t="s">
        <v>3303</v>
      </c>
      <c r="M14" s="3273">
        <v>170201.33</v>
      </c>
      <c r="N14" s="3273">
        <v>340402.66</v>
      </c>
      <c r="O14" s="3269" t="s">
        <v>3269</v>
      </c>
      <c r="P14" s="3293">
        <v>310.87</v>
      </c>
      <c r="Q14" s="3295">
        <v>19856.82</v>
      </c>
      <c r="R14" s="3276">
        <f t="shared" si="0"/>
        <v>1.5</v>
      </c>
      <c r="S14" s="3276"/>
    </row>
    <row r="15" spans="1:20" s="3277" customFormat="1">
      <c r="A15" s="3269"/>
      <c r="B15" s="3286"/>
      <c r="C15" s="3297" t="s">
        <v>3304</v>
      </c>
      <c r="D15" s="3297" t="s">
        <v>3305</v>
      </c>
      <c r="E15" s="3297" t="s">
        <v>3306</v>
      </c>
      <c r="F15" s="3297" t="s">
        <v>3307</v>
      </c>
      <c r="G15" s="3297" t="s">
        <v>3308</v>
      </c>
      <c r="H15" s="3297" t="s">
        <v>3309</v>
      </c>
      <c r="I15" s="3298">
        <v>44930</v>
      </c>
      <c r="J15" s="3298">
        <v>44750</v>
      </c>
      <c r="K15" s="3297" t="s">
        <v>3238</v>
      </c>
      <c r="L15" s="3297" t="s">
        <v>3257</v>
      </c>
      <c r="M15" s="3299">
        <v>14746.73</v>
      </c>
      <c r="N15" s="3299">
        <v>117973.84</v>
      </c>
      <c r="O15" s="3286" t="s">
        <v>3310</v>
      </c>
      <c r="P15" s="3300">
        <v>93.63</v>
      </c>
      <c r="Q15" s="3295">
        <v>21066.75</v>
      </c>
      <c r="R15" s="3276">
        <f t="shared" si="0"/>
        <v>1.73</v>
      </c>
      <c r="S15" s="3276"/>
    </row>
    <row r="16" spans="1:20" s="3277" customFormat="1">
      <c r="A16" s="3269"/>
      <c r="B16" s="3269"/>
      <c r="C16" s="3291" t="s">
        <v>3311</v>
      </c>
      <c r="D16" s="3291" t="s">
        <v>3312</v>
      </c>
      <c r="E16" s="3290" t="s">
        <v>3313</v>
      </c>
      <c r="F16" s="3290" t="s">
        <v>3314</v>
      </c>
      <c r="G16" s="3291" t="s">
        <v>3315</v>
      </c>
      <c r="H16" s="3291" t="s">
        <v>3316</v>
      </c>
      <c r="I16" s="3292">
        <v>44935</v>
      </c>
      <c r="J16" s="3298">
        <v>44755</v>
      </c>
      <c r="K16" s="3297" t="s">
        <v>3238</v>
      </c>
      <c r="L16" s="3297" t="s">
        <v>3257</v>
      </c>
      <c r="M16" s="3273">
        <v>7654.5</v>
      </c>
      <c r="N16" s="3273">
        <v>61236</v>
      </c>
      <c r="O16" s="3269" t="s">
        <v>3317</v>
      </c>
      <c r="P16" s="3293">
        <v>45</v>
      </c>
      <c r="Q16" s="3295">
        <v>10935</v>
      </c>
      <c r="R16" s="3276">
        <f t="shared" si="0"/>
        <v>1.86</v>
      </c>
      <c r="S16" s="3276"/>
    </row>
    <row r="17" spans="1:20">
      <c r="A17" s="3261"/>
      <c r="B17" s="3261" t="s">
        <v>3318</v>
      </c>
      <c r="C17" s="3301" t="s">
        <v>3319</v>
      </c>
      <c r="D17" s="3301" t="s">
        <v>3320</v>
      </c>
      <c r="E17" s="3301" t="s">
        <v>3321</v>
      </c>
      <c r="F17" s="3301" t="s">
        <v>3307</v>
      </c>
      <c r="G17" s="3301"/>
      <c r="H17" s="3301" t="s">
        <v>3322</v>
      </c>
      <c r="I17" s="3302">
        <v>44926</v>
      </c>
      <c r="J17" s="3303">
        <v>44746</v>
      </c>
      <c r="K17" s="3304" t="s">
        <v>3238</v>
      </c>
      <c r="L17" s="3304" t="s">
        <v>3257</v>
      </c>
      <c r="M17" s="3265">
        <v>14310</v>
      </c>
      <c r="N17" s="3265">
        <v>57240</v>
      </c>
      <c r="O17" s="3261" t="s">
        <v>3269</v>
      </c>
      <c r="P17" s="3733">
        <v>106</v>
      </c>
      <c r="Q17" s="3257">
        <v>20034</v>
      </c>
    </row>
    <row r="18" spans="1:20" s="3277" customFormat="1">
      <c r="A18" s="3269"/>
      <c r="B18" s="3269" t="s">
        <v>3318</v>
      </c>
      <c r="C18" s="3291" t="s">
        <v>3319</v>
      </c>
      <c r="D18" s="3291" t="s">
        <v>3320</v>
      </c>
      <c r="E18" s="3291" t="s">
        <v>3321</v>
      </c>
      <c r="F18" s="3291" t="s">
        <v>3307</v>
      </c>
      <c r="G18" s="3291"/>
      <c r="H18" s="3291" t="s">
        <v>3323</v>
      </c>
      <c r="I18" s="3292">
        <v>44926</v>
      </c>
      <c r="J18" s="3298">
        <v>44746</v>
      </c>
      <c r="K18" s="3297" t="s">
        <v>3238</v>
      </c>
      <c r="L18" s="3297" t="s">
        <v>3257</v>
      </c>
      <c r="M18" s="3273">
        <v>15025.5</v>
      </c>
      <c r="N18" s="3273">
        <v>60102</v>
      </c>
      <c r="O18" s="3269" t="s">
        <v>3249</v>
      </c>
      <c r="P18" s="3733"/>
      <c r="Q18" s="3305">
        <v>1001.7</v>
      </c>
      <c r="R18" s="3276">
        <f>ROUND(N18/P17/365,2)</f>
        <v>1.55</v>
      </c>
      <c r="S18" s="3276"/>
    </row>
    <row r="19" spans="1:20">
      <c r="A19" s="3261"/>
      <c r="B19" s="3301" t="s">
        <v>3324</v>
      </c>
      <c r="C19" s="3301" t="s">
        <v>3325</v>
      </c>
      <c r="D19" s="3301" t="s">
        <v>3326</v>
      </c>
      <c r="E19" s="3301" t="s">
        <v>3327</v>
      </c>
      <c r="F19" s="3301" t="s">
        <v>3328</v>
      </c>
      <c r="G19" s="3301" t="s">
        <v>3329</v>
      </c>
      <c r="H19" s="3301" t="s">
        <v>3330</v>
      </c>
      <c r="I19" s="3302">
        <v>46081</v>
      </c>
      <c r="J19" s="3303">
        <v>45901</v>
      </c>
      <c r="K19" s="3304" t="s">
        <v>3238</v>
      </c>
      <c r="L19" s="3304" t="s">
        <v>3257</v>
      </c>
      <c r="M19" s="3265">
        <v>494255.63</v>
      </c>
      <c r="N19" s="3265">
        <v>1482766.89</v>
      </c>
      <c r="O19" s="3261" t="s">
        <v>3269</v>
      </c>
      <c r="P19" s="3733">
        <v>3611</v>
      </c>
      <c r="Q19" s="3734">
        <v>659007.5</v>
      </c>
    </row>
    <row r="20" spans="1:20" s="3357" customFormat="1">
      <c r="A20" s="3352"/>
      <c r="B20" s="3353" t="s">
        <v>3324</v>
      </c>
      <c r="C20" s="3353" t="s">
        <v>3325</v>
      </c>
      <c r="D20" s="3353" t="s">
        <v>3326</v>
      </c>
      <c r="E20" s="3353" t="s">
        <v>3327</v>
      </c>
      <c r="F20" s="3353" t="s">
        <v>3328</v>
      </c>
      <c r="G20" s="3353" t="s">
        <v>3331</v>
      </c>
      <c r="H20" s="3353" t="s">
        <v>3332</v>
      </c>
      <c r="I20" s="3354">
        <v>46081</v>
      </c>
      <c r="J20" s="3354">
        <v>45901</v>
      </c>
      <c r="K20" s="3353" t="s">
        <v>3238</v>
      </c>
      <c r="L20" s="3353" t="s">
        <v>3257</v>
      </c>
      <c r="M20" s="3355">
        <v>494255.63</v>
      </c>
      <c r="N20" s="3355">
        <v>1812270.64</v>
      </c>
      <c r="O20" s="3352" t="s">
        <v>3269</v>
      </c>
      <c r="P20" s="3733"/>
      <c r="Q20" s="3734"/>
      <c r="R20" s="3356">
        <f>ROUND(N20/P19/365,2)</f>
        <v>1.38</v>
      </c>
      <c r="S20" s="3356">
        <v>1.38</v>
      </c>
    </row>
    <row r="21" spans="1:20">
      <c r="A21" s="3261"/>
      <c r="B21" s="3301" t="s">
        <v>3324</v>
      </c>
      <c r="C21" s="3301" t="s">
        <v>3325</v>
      </c>
      <c r="D21" s="3301" t="s">
        <v>3326</v>
      </c>
      <c r="E21" s="3301" t="s">
        <v>3327</v>
      </c>
      <c r="F21" s="3301" t="s">
        <v>3328</v>
      </c>
      <c r="G21" s="3301" t="s">
        <v>3333</v>
      </c>
      <c r="H21" s="3301" t="s">
        <v>3334</v>
      </c>
      <c r="I21" s="3302">
        <v>46081</v>
      </c>
      <c r="J21" s="3303">
        <v>45901</v>
      </c>
      <c r="K21" s="3304" t="s">
        <v>3238</v>
      </c>
      <c r="L21" s="3304" t="s">
        <v>3257</v>
      </c>
      <c r="M21" s="3265">
        <v>494255.63</v>
      </c>
      <c r="N21" s="3265">
        <v>1812270.64</v>
      </c>
      <c r="O21" s="3261" t="s">
        <v>3269</v>
      </c>
      <c r="P21" s="3733"/>
      <c r="Q21" s="3734"/>
    </row>
    <row r="22" spans="1:20">
      <c r="A22" s="3261"/>
      <c r="B22" s="3301" t="s">
        <v>3324</v>
      </c>
      <c r="C22" s="3301" t="s">
        <v>3325</v>
      </c>
      <c r="D22" s="3301" t="s">
        <v>3326</v>
      </c>
      <c r="E22" s="3301" t="s">
        <v>3327</v>
      </c>
      <c r="F22" s="3301" t="s">
        <v>3328</v>
      </c>
      <c r="G22" s="3301" t="s">
        <v>3335</v>
      </c>
      <c r="H22" s="3301" t="s">
        <v>3336</v>
      </c>
      <c r="I22" s="3302">
        <v>46081</v>
      </c>
      <c r="J22" s="3303">
        <v>45901</v>
      </c>
      <c r="K22" s="3304" t="s">
        <v>3238</v>
      </c>
      <c r="L22" s="3304" t="s">
        <v>3257</v>
      </c>
      <c r="M22" s="3265">
        <v>518968.41</v>
      </c>
      <c r="N22" s="3265">
        <v>1902884.17</v>
      </c>
      <c r="O22" s="3261" t="s">
        <v>3337</v>
      </c>
      <c r="P22" s="3733"/>
      <c r="Q22" s="3257">
        <v>32950.370000000003</v>
      </c>
    </row>
    <row r="23" spans="1:20">
      <c r="A23" s="3261"/>
      <c r="B23" s="3301" t="s">
        <v>3324</v>
      </c>
      <c r="C23" s="3301" t="s">
        <v>3325</v>
      </c>
      <c r="D23" s="3301" t="s">
        <v>3326</v>
      </c>
      <c r="E23" s="3301" t="s">
        <v>3327</v>
      </c>
      <c r="F23" s="3301" t="s">
        <v>3328</v>
      </c>
      <c r="G23" s="3301" t="s">
        <v>3338</v>
      </c>
      <c r="H23" s="3301" t="s">
        <v>3339</v>
      </c>
      <c r="I23" s="3302">
        <v>46081</v>
      </c>
      <c r="J23" s="3303">
        <v>45901</v>
      </c>
      <c r="K23" s="3304" t="s">
        <v>3238</v>
      </c>
      <c r="L23" s="3304" t="s">
        <v>3257</v>
      </c>
      <c r="M23" s="3265">
        <v>544916.82999999996</v>
      </c>
      <c r="N23" s="3265">
        <v>1998028.37</v>
      </c>
      <c r="O23" s="3261" t="s">
        <v>3340</v>
      </c>
      <c r="P23" s="3733"/>
      <c r="Q23" s="3257">
        <v>34597.89</v>
      </c>
    </row>
    <row r="24" spans="1:20">
      <c r="A24" s="3261"/>
      <c r="B24" s="3261"/>
      <c r="C24" s="3301" t="s">
        <v>3341</v>
      </c>
      <c r="D24" s="3301" t="s">
        <v>3342</v>
      </c>
      <c r="E24" s="3301" t="s">
        <v>3343</v>
      </c>
      <c r="F24" s="3301" t="s">
        <v>3344</v>
      </c>
      <c r="G24" s="3301" t="s">
        <v>3345</v>
      </c>
      <c r="H24" s="3301" t="s">
        <v>3346</v>
      </c>
      <c r="I24" s="3302">
        <v>45961</v>
      </c>
      <c r="J24" s="3303">
        <v>45781</v>
      </c>
      <c r="K24" s="3304" t="s">
        <v>3238</v>
      </c>
      <c r="L24" s="3304" t="s">
        <v>3347</v>
      </c>
      <c r="M24" s="3265">
        <v>36750</v>
      </c>
      <c r="N24" s="3265">
        <v>441000</v>
      </c>
      <c r="O24" s="3261" t="s">
        <v>3348</v>
      </c>
      <c r="P24" s="3733">
        <v>380</v>
      </c>
      <c r="Q24" s="3267">
        <v>52500</v>
      </c>
    </row>
    <row r="25" spans="1:20">
      <c r="A25" s="3261"/>
      <c r="B25" s="3261"/>
      <c r="C25" s="3301" t="s">
        <v>3341</v>
      </c>
      <c r="D25" s="3301" t="s">
        <v>3342</v>
      </c>
      <c r="E25" s="3301" t="s">
        <v>3343</v>
      </c>
      <c r="F25" s="3301" t="s">
        <v>3344</v>
      </c>
      <c r="G25" s="3301"/>
      <c r="H25" s="3301" t="s">
        <v>3349</v>
      </c>
      <c r="I25" s="3302">
        <v>45961</v>
      </c>
      <c r="J25" s="3303">
        <v>45781</v>
      </c>
      <c r="K25" s="3304" t="s">
        <v>3238</v>
      </c>
      <c r="L25" s="3304" t="s">
        <v>3347</v>
      </c>
      <c r="M25" s="3265">
        <v>38587.5</v>
      </c>
      <c r="N25" s="3265">
        <v>463050</v>
      </c>
      <c r="O25" s="3261" t="s">
        <v>3350</v>
      </c>
      <c r="P25" s="3733"/>
      <c r="Q25" s="3267">
        <v>2628</v>
      </c>
    </row>
    <row r="26" spans="1:20" s="3357" customFormat="1">
      <c r="A26" s="3352"/>
      <c r="B26" s="3352"/>
      <c r="C26" s="3353" t="s">
        <v>3341</v>
      </c>
      <c r="D26" s="3353" t="s">
        <v>3342</v>
      </c>
      <c r="E26" s="3353" t="s">
        <v>3343</v>
      </c>
      <c r="F26" s="3353" t="s">
        <v>3344</v>
      </c>
      <c r="G26" s="3353"/>
      <c r="H26" s="3353" t="s">
        <v>3351</v>
      </c>
      <c r="I26" s="3354">
        <v>45961</v>
      </c>
      <c r="J26" s="3354">
        <v>45781</v>
      </c>
      <c r="K26" s="3353" t="s">
        <v>3238</v>
      </c>
      <c r="L26" s="3353" t="s">
        <v>3347</v>
      </c>
      <c r="M26" s="3355">
        <v>40516.879999999997</v>
      </c>
      <c r="N26" s="3355">
        <v>486202.56</v>
      </c>
      <c r="O26" s="3352" t="s">
        <v>3352</v>
      </c>
      <c r="P26" s="3733"/>
      <c r="Q26" s="3358">
        <v>2756.25</v>
      </c>
      <c r="R26" s="3356">
        <f>ROUND(N26/P24/365,2)</f>
        <v>3.51</v>
      </c>
      <c r="S26" s="3356">
        <v>3.51</v>
      </c>
    </row>
    <row r="27" spans="1:20">
      <c r="A27" s="3261"/>
      <c r="B27" s="3261"/>
      <c r="C27" s="3301" t="s">
        <v>3341</v>
      </c>
      <c r="D27" s="3301" t="s">
        <v>3342</v>
      </c>
      <c r="E27" s="3301" t="s">
        <v>3343</v>
      </c>
      <c r="F27" s="3301" t="s">
        <v>3344</v>
      </c>
      <c r="G27" s="3301"/>
      <c r="H27" s="3301" t="s">
        <v>3353</v>
      </c>
      <c r="I27" s="3302">
        <v>45961</v>
      </c>
      <c r="J27" s="3303">
        <v>45781</v>
      </c>
      <c r="K27" s="3304" t="s">
        <v>3238</v>
      </c>
      <c r="L27" s="3304" t="s">
        <v>3347</v>
      </c>
      <c r="M27" s="3265">
        <v>42542.720000000001</v>
      </c>
      <c r="N27" s="3265">
        <v>510512.64000000001</v>
      </c>
      <c r="O27" s="3261" t="s">
        <v>3354</v>
      </c>
      <c r="P27" s="3733"/>
      <c r="Q27" s="3267">
        <v>2894.06</v>
      </c>
    </row>
    <row r="28" spans="1:20">
      <c r="A28" s="3261"/>
      <c r="B28" s="3261"/>
      <c r="C28" s="3301" t="s">
        <v>3341</v>
      </c>
      <c r="D28" s="3301" t="s">
        <v>3342</v>
      </c>
      <c r="E28" s="3301" t="s">
        <v>3343</v>
      </c>
      <c r="F28" s="3301" t="s">
        <v>3344</v>
      </c>
      <c r="G28" s="3301"/>
      <c r="H28" s="3301" t="s">
        <v>3355</v>
      </c>
      <c r="I28" s="3302">
        <v>45961</v>
      </c>
      <c r="J28" s="3303">
        <v>45781</v>
      </c>
      <c r="K28" s="3304" t="s">
        <v>3238</v>
      </c>
      <c r="L28" s="3304" t="s">
        <v>3347</v>
      </c>
      <c r="M28" s="3265">
        <v>44669.86</v>
      </c>
      <c r="N28" s="3265">
        <v>536038.31999999995</v>
      </c>
      <c r="O28" s="3261" t="s">
        <v>3356</v>
      </c>
      <c r="P28" s="3733"/>
      <c r="Q28" s="3267">
        <v>3038.77</v>
      </c>
    </row>
    <row r="29" spans="1:20" s="3277" customFormat="1">
      <c r="A29" s="3269"/>
      <c r="B29" s="3269"/>
      <c r="C29" s="3291" t="s">
        <v>3357</v>
      </c>
      <c r="D29" s="3291" t="s">
        <v>3358</v>
      </c>
      <c r="E29" s="3291" t="s">
        <v>3359</v>
      </c>
      <c r="F29" s="3291" t="s">
        <v>3360</v>
      </c>
      <c r="G29" s="3291" t="s">
        <v>3361</v>
      </c>
      <c r="H29" s="3291" t="s">
        <v>3362</v>
      </c>
      <c r="I29" s="3292">
        <v>45412</v>
      </c>
      <c r="J29" s="3298">
        <v>45232</v>
      </c>
      <c r="K29" s="3297" t="s">
        <v>3238</v>
      </c>
      <c r="L29" s="3291" t="s">
        <v>3257</v>
      </c>
      <c r="M29" s="3273">
        <v>75828.75</v>
      </c>
      <c r="N29" s="3273">
        <v>606630</v>
      </c>
      <c r="O29" s="3269" t="s">
        <v>3269</v>
      </c>
      <c r="P29" s="3733">
        <v>554</v>
      </c>
      <c r="Q29" s="3305">
        <v>106160.25</v>
      </c>
      <c r="R29" s="3276">
        <f>ROUND(N29/P29/365/2,2)</f>
        <v>1.5</v>
      </c>
      <c r="S29" s="3276"/>
    </row>
    <row r="30" spans="1:20">
      <c r="A30" s="3261"/>
      <c r="B30" s="3261"/>
      <c r="C30" s="3301" t="s">
        <v>3357</v>
      </c>
      <c r="D30" s="3301" t="s">
        <v>3358</v>
      </c>
      <c r="E30" s="3301" t="s">
        <v>3359</v>
      </c>
      <c r="F30" s="3301" t="s">
        <v>3360</v>
      </c>
      <c r="G30" s="3301" t="s">
        <v>3361</v>
      </c>
      <c r="H30" s="3301" t="s">
        <v>3363</v>
      </c>
      <c r="I30" s="3302">
        <v>45412</v>
      </c>
      <c r="J30" s="3303">
        <v>45232</v>
      </c>
      <c r="K30" s="3304" t="s">
        <v>3238</v>
      </c>
      <c r="L30" s="3301" t="s">
        <v>3257</v>
      </c>
      <c r="M30" s="3265">
        <v>79620.179999999993</v>
      </c>
      <c r="N30" s="3265">
        <v>318480.71999999997</v>
      </c>
      <c r="O30" s="3261" t="s">
        <v>3249</v>
      </c>
      <c r="P30" s="3733"/>
      <c r="Q30" s="3257">
        <v>5308.01</v>
      </c>
      <c r="T30" s="3351">
        <f>ROUND(1.575/1.5-1,2)</f>
        <v>0.05</v>
      </c>
    </row>
    <row r="31" spans="1:20" s="3277" customFormat="1">
      <c r="A31" s="3269"/>
      <c r="B31" s="3269" t="s">
        <v>3364</v>
      </c>
      <c r="C31" s="3291" t="s">
        <v>3365</v>
      </c>
      <c r="D31" s="3291" t="s">
        <v>3366</v>
      </c>
      <c r="E31" s="3291" t="s">
        <v>3367</v>
      </c>
      <c r="F31" s="3291" t="s">
        <v>3368</v>
      </c>
      <c r="G31" s="3291" t="s">
        <v>3369</v>
      </c>
      <c r="H31" s="3291" t="s">
        <v>3370</v>
      </c>
      <c r="I31" s="3292">
        <v>45423</v>
      </c>
      <c r="J31" s="3298">
        <v>45243</v>
      </c>
      <c r="K31" s="3297" t="s">
        <v>3238</v>
      </c>
      <c r="L31" s="3291" t="s">
        <v>3257</v>
      </c>
      <c r="M31" s="3273">
        <v>44955.23</v>
      </c>
      <c r="N31" s="3273">
        <v>359641.84</v>
      </c>
      <c r="O31" s="3269" t="s">
        <v>3276</v>
      </c>
      <c r="P31" s="3733">
        <v>306</v>
      </c>
      <c r="Q31" s="3305">
        <v>64221.75</v>
      </c>
      <c r="R31" s="3276">
        <f>ROUND(N31/P31/365/2,2)</f>
        <v>1.61</v>
      </c>
      <c r="S31" s="3276"/>
    </row>
    <row r="32" spans="1:20">
      <c r="A32" s="3261"/>
      <c r="B32" s="3261" t="s">
        <v>3364</v>
      </c>
      <c r="C32" s="3301" t="s">
        <v>3365</v>
      </c>
      <c r="D32" s="3301" t="s">
        <v>3366</v>
      </c>
      <c r="E32" s="3301" t="s">
        <v>3367</v>
      </c>
      <c r="F32" s="3301" t="s">
        <v>3368</v>
      </c>
      <c r="G32" s="3301"/>
      <c r="H32" s="3301" t="s">
        <v>3371</v>
      </c>
      <c r="I32" s="3302">
        <v>45423</v>
      </c>
      <c r="J32" s="3303">
        <v>45243</v>
      </c>
      <c r="K32" s="3304" t="s">
        <v>3238</v>
      </c>
      <c r="L32" s="3301" t="s">
        <v>3257</v>
      </c>
      <c r="M32" s="3265">
        <v>47189.03</v>
      </c>
      <c r="N32" s="3265">
        <v>188756.12</v>
      </c>
      <c r="O32" s="3261" t="s">
        <v>3372</v>
      </c>
      <c r="P32" s="3733"/>
      <c r="Q32" s="3257">
        <v>3071.48</v>
      </c>
      <c r="T32" s="3351">
        <f>ROUND(1.69/1.61-1,2)</f>
        <v>0.05</v>
      </c>
    </row>
    <row r="33" spans="1:20" s="3277" customFormat="1">
      <c r="A33" s="3269"/>
      <c r="B33" s="3269" t="s">
        <v>3373</v>
      </c>
      <c r="C33" s="3290" t="s">
        <v>3374</v>
      </c>
      <c r="D33" s="3290" t="s">
        <v>3375</v>
      </c>
      <c r="E33" s="3290" t="s">
        <v>3376</v>
      </c>
      <c r="F33" s="3291" t="s">
        <v>3377</v>
      </c>
      <c r="G33" s="3291"/>
      <c r="H33" s="3291" t="s">
        <v>3378</v>
      </c>
      <c r="I33" s="3292">
        <v>45043</v>
      </c>
      <c r="J33" s="3292">
        <v>44863</v>
      </c>
      <c r="K33" s="3291" t="s">
        <v>3238</v>
      </c>
      <c r="L33" s="3291" t="s">
        <v>3257</v>
      </c>
      <c r="M33" s="3273">
        <v>20567.75</v>
      </c>
      <c r="N33" s="3273">
        <v>164542</v>
      </c>
      <c r="O33" s="3269" t="s">
        <v>3276</v>
      </c>
      <c r="P33" s="3293">
        <v>140</v>
      </c>
      <c r="Q33" s="3294">
        <v>18882.5</v>
      </c>
      <c r="R33" s="3276">
        <f>ROUND(N33/P33/365/2,2)</f>
        <v>1.61</v>
      </c>
      <c r="S33" s="3276"/>
    </row>
    <row r="34" spans="1:20">
      <c r="A34" s="3261"/>
      <c r="B34" s="3261" t="s">
        <v>3379</v>
      </c>
      <c r="C34" s="3301" t="s">
        <v>3380</v>
      </c>
      <c r="D34" s="3301" t="s">
        <v>3381</v>
      </c>
      <c r="E34" s="3301" t="s">
        <v>3321</v>
      </c>
      <c r="F34" s="3301" t="s">
        <v>3382</v>
      </c>
      <c r="G34" s="3301" t="s">
        <v>3383</v>
      </c>
      <c r="H34" s="3301" t="s">
        <v>3384</v>
      </c>
      <c r="I34" s="3302">
        <v>45074</v>
      </c>
      <c r="J34" s="3302">
        <v>44894</v>
      </c>
      <c r="K34" s="3304" t="s">
        <v>3238</v>
      </c>
      <c r="L34" s="3304" t="s">
        <v>3239</v>
      </c>
      <c r="M34" s="3265">
        <v>22330.7</v>
      </c>
      <c r="N34" s="3265">
        <v>44661.4</v>
      </c>
      <c r="O34" s="3261" t="s">
        <v>3276</v>
      </c>
      <c r="P34" s="3733">
        <v>76</v>
      </c>
      <c r="Q34" s="3734">
        <v>10633.67</v>
      </c>
      <c r="T34" s="3351"/>
    </row>
    <row r="35" spans="1:20" s="3277" customFormat="1">
      <c r="A35" s="3269"/>
      <c r="B35" s="3269" t="s">
        <v>3379</v>
      </c>
      <c r="C35" s="3291" t="s">
        <v>3380</v>
      </c>
      <c r="D35" s="3291" t="s">
        <v>3381</v>
      </c>
      <c r="E35" s="3291" t="s">
        <v>3321</v>
      </c>
      <c r="F35" s="3291" t="s">
        <v>3382</v>
      </c>
      <c r="G35" s="3291" t="s">
        <v>3385</v>
      </c>
      <c r="H35" s="3291" t="s">
        <v>3386</v>
      </c>
      <c r="I35" s="3292">
        <v>45074</v>
      </c>
      <c r="J35" s="3292">
        <v>44894</v>
      </c>
      <c r="K35" s="3297" t="s">
        <v>3238</v>
      </c>
      <c r="L35" s="3297" t="s">
        <v>3239</v>
      </c>
      <c r="M35" s="3273">
        <v>22330.7</v>
      </c>
      <c r="N35" s="3273">
        <v>44661.4</v>
      </c>
      <c r="O35" s="3269" t="s">
        <v>3276</v>
      </c>
      <c r="P35" s="3733"/>
      <c r="Q35" s="3734"/>
      <c r="R35" s="3276">
        <f>ROUND(N35/P34/365,2)</f>
        <v>1.61</v>
      </c>
      <c r="S35" s="3276"/>
    </row>
    <row r="36" spans="1:20">
      <c r="A36" s="3261"/>
      <c r="B36" s="3261" t="s">
        <v>3387</v>
      </c>
      <c r="C36" s="3301" t="s">
        <v>3388</v>
      </c>
      <c r="D36" s="3301" t="s">
        <v>3389</v>
      </c>
      <c r="E36" s="3301" t="s">
        <v>3390</v>
      </c>
      <c r="F36" s="3301" t="s">
        <v>3382</v>
      </c>
      <c r="G36" s="3301" t="s">
        <v>3383</v>
      </c>
      <c r="H36" s="3301" t="s">
        <v>3384</v>
      </c>
      <c r="I36" s="3302">
        <v>45074</v>
      </c>
      <c r="J36" s="3302">
        <v>44894</v>
      </c>
      <c r="K36" s="3304" t="s">
        <v>3238</v>
      </c>
      <c r="L36" s="3304" t="s">
        <v>3239</v>
      </c>
      <c r="M36" s="3265">
        <v>17629.5</v>
      </c>
      <c r="N36" s="3265">
        <v>35259</v>
      </c>
      <c r="O36" s="3261" t="s">
        <v>3276</v>
      </c>
      <c r="P36" s="3733">
        <v>60</v>
      </c>
      <c r="Q36" s="3734">
        <v>8395</v>
      </c>
    </row>
    <row r="37" spans="1:20" s="3277" customFormat="1">
      <c r="A37" s="3269"/>
      <c r="B37" s="3269" t="s">
        <v>3387</v>
      </c>
      <c r="C37" s="3291" t="s">
        <v>3388</v>
      </c>
      <c r="D37" s="3291" t="s">
        <v>3389</v>
      </c>
      <c r="E37" s="3291" t="s">
        <v>3390</v>
      </c>
      <c r="F37" s="3291" t="s">
        <v>3382</v>
      </c>
      <c r="G37" s="3291" t="s">
        <v>3385</v>
      </c>
      <c r="H37" s="3291" t="s">
        <v>3386</v>
      </c>
      <c r="I37" s="3292">
        <v>45074</v>
      </c>
      <c r="J37" s="3292">
        <v>44894</v>
      </c>
      <c r="K37" s="3297" t="s">
        <v>3238</v>
      </c>
      <c r="L37" s="3297" t="s">
        <v>3239</v>
      </c>
      <c r="M37" s="3273">
        <v>17629.5</v>
      </c>
      <c r="N37" s="3273">
        <v>35259</v>
      </c>
      <c r="O37" s="3269" t="s">
        <v>3276</v>
      </c>
      <c r="P37" s="3733"/>
      <c r="Q37" s="3734"/>
      <c r="R37" s="3276">
        <f>ROUND(N37/P36/365,2)</f>
        <v>1.61</v>
      </c>
      <c r="S37" s="3276"/>
    </row>
    <row r="38" spans="1:20" s="3289" customFormat="1">
      <c r="A38" s="3286"/>
      <c r="B38" s="3286" t="s">
        <v>3391</v>
      </c>
      <c r="C38" s="3297" t="s">
        <v>3392</v>
      </c>
      <c r="D38" s="3297" t="s">
        <v>3393</v>
      </c>
      <c r="E38" s="3297" t="s">
        <v>3394</v>
      </c>
      <c r="F38" s="3297" t="s">
        <v>3395</v>
      </c>
      <c r="G38" s="3297" t="s">
        <v>3396</v>
      </c>
      <c r="H38" s="3297" t="s">
        <v>3397</v>
      </c>
      <c r="I38" s="3298">
        <v>45095</v>
      </c>
      <c r="J38" s="3298">
        <v>44915</v>
      </c>
      <c r="K38" s="3297" t="s">
        <v>3238</v>
      </c>
      <c r="L38" s="3297" t="s">
        <v>3257</v>
      </c>
      <c r="M38" s="3299">
        <v>30679.74</v>
      </c>
      <c r="N38" s="3299">
        <v>245437.92</v>
      </c>
      <c r="O38" s="3286" t="s">
        <v>3276</v>
      </c>
      <c r="P38" s="3300">
        <v>208.83</v>
      </c>
      <c r="Q38" s="3306">
        <v>43828.2</v>
      </c>
      <c r="R38" s="3276">
        <f>ROUND(N38/P38/365/2,2)</f>
        <v>1.61</v>
      </c>
      <c r="S38" s="3276"/>
    </row>
    <row r="39" spans="1:20" s="3289" customFormat="1">
      <c r="A39" s="3286"/>
      <c r="B39" s="3286" t="s">
        <v>3398</v>
      </c>
      <c r="C39" s="3297" t="s">
        <v>3399</v>
      </c>
      <c r="D39" s="3297" t="s">
        <v>3400</v>
      </c>
      <c r="E39" s="3297" t="s">
        <v>3401</v>
      </c>
      <c r="F39" s="3297" t="s">
        <v>3395</v>
      </c>
      <c r="G39" s="3297" t="s">
        <v>3402</v>
      </c>
      <c r="H39" s="3297" t="s">
        <v>3403</v>
      </c>
      <c r="I39" s="3298">
        <v>45061</v>
      </c>
      <c r="J39" s="3298">
        <f t="shared" ref="J39:J102" si="1">I39-180</f>
        <v>44881</v>
      </c>
      <c r="K39" s="3307" t="s">
        <v>3238</v>
      </c>
      <c r="L39" s="3297" t="s">
        <v>3303</v>
      </c>
      <c r="M39" s="3299">
        <v>29484</v>
      </c>
      <c r="N39" s="3299">
        <f>M39*2</f>
        <v>58968</v>
      </c>
      <c r="O39" s="3286" t="s">
        <v>3404</v>
      </c>
      <c r="P39" s="3300">
        <v>45</v>
      </c>
      <c r="Q39" s="3306">
        <v>3510</v>
      </c>
      <c r="R39" s="3276">
        <f>ROUND(N39/P39/365/2,2)</f>
        <v>1.8</v>
      </c>
      <c r="S39" s="3276"/>
    </row>
    <row r="40" spans="1:20">
      <c r="A40" s="3261"/>
      <c r="B40" s="3261" t="s">
        <v>3405</v>
      </c>
      <c r="C40" s="3301" t="s">
        <v>3406</v>
      </c>
      <c r="D40" s="3301" t="s">
        <v>3407</v>
      </c>
      <c r="E40" s="3301" t="s">
        <v>3408</v>
      </c>
      <c r="F40" s="3301" t="s">
        <v>3409</v>
      </c>
      <c r="G40" s="3301"/>
      <c r="H40" s="3301" t="s">
        <v>3410</v>
      </c>
      <c r="I40" s="3302">
        <v>44935</v>
      </c>
      <c r="J40" s="3302">
        <f t="shared" si="1"/>
        <v>44755</v>
      </c>
      <c r="K40" s="3304" t="s">
        <v>3238</v>
      </c>
      <c r="L40" s="3301" t="s">
        <v>3257</v>
      </c>
      <c r="M40" s="3265">
        <v>3402</v>
      </c>
      <c r="N40" s="3265">
        <f>M40*6</f>
        <v>20412</v>
      </c>
      <c r="O40" s="3261" t="s">
        <v>3411</v>
      </c>
      <c r="P40" s="3733">
        <v>10</v>
      </c>
      <c r="Q40" s="3734">
        <v>4860</v>
      </c>
    </row>
    <row r="41" spans="1:20" s="3277" customFormat="1">
      <c r="A41" s="3269"/>
      <c r="B41" s="3269" t="s">
        <v>3405</v>
      </c>
      <c r="C41" s="3291" t="s">
        <v>3406</v>
      </c>
      <c r="D41" s="3291" t="s">
        <v>3407</v>
      </c>
      <c r="E41" s="3291" t="s">
        <v>3408</v>
      </c>
      <c r="F41" s="3291" t="s">
        <v>3409</v>
      </c>
      <c r="G41" s="3291"/>
      <c r="H41" s="3291" t="s">
        <v>3412</v>
      </c>
      <c r="I41" s="3292">
        <v>44935</v>
      </c>
      <c r="J41" s="3292">
        <f t="shared" si="1"/>
        <v>44755</v>
      </c>
      <c r="K41" s="3297" t="s">
        <v>3238</v>
      </c>
      <c r="L41" s="3291" t="s">
        <v>3257</v>
      </c>
      <c r="M41" s="3273">
        <v>2268</v>
      </c>
      <c r="N41" s="3273">
        <v>2268</v>
      </c>
      <c r="O41" s="3269" t="s">
        <v>3411</v>
      </c>
      <c r="P41" s="3733"/>
      <c r="Q41" s="3734"/>
      <c r="R41" s="3276">
        <f>ROUND(N41/P40/365*6,2)</f>
        <v>3.73</v>
      </c>
      <c r="S41" s="3276"/>
    </row>
    <row r="42" spans="1:20" s="3277" customFormat="1">
      <c r="A42" s="3269"/>
      <c r="B42" s="3269" t="s">
        <v>3413</v>
      </c>
      <c r="C42" s="3291" t="s">
        <v>3414</v>
      </c>
      <c r="D42" s="3291" t="s">
        <v>3415</v>
      </c>
      <c r="E42" s="3291" t="s">
        <v>3416</v>
      </c>
      <c r="F42" s="3291" t="s">
        <v>3417</v>
      </c>
      <c r="G42" s="3291" t="s">
        <v>3418</v>
      </c>
      <c r="H42" s="3291" t="s">
        <v>3419</v>
      </c>
      <c r="I42" s="3292">
        <v>45113</v>
      </c>
      <c r="J42" s="3292">
        <f t="shared" si="1"/>
        <v>44933</v>
      </c>
      <c r="K42" s="3297" t="s">
        <v>3238</v>
      </c>
      <c r="L42" s="3291" t="s">
        <v>3239</v>
      </c>
      <c r="M42" s="3273">
        <v>41429.33</v>
      </c>
      <c r="N42" s="3273">
        <f>M42*4</f>
        <v>165717.32</v>
      </c>
      <c r="O42" s="3269" t="s">
        <v>3276</v>
      </c>
      <c r="P42" s="3293">
        <v>141</v>
      </c>
      <c r="Q42" s="3305">
        <v>19728.25</v>
      </c>
      <c r="R42" s="3276">
        <f>ROUND(N42/P42/365/2,2)</f>
        <v>1.61</v>
      </c>
      <c r="S42" s="3276"/>
    </row>
    <row r="43" spans="1:20" s="3277" customFormat="1">
      <c r="A43" s="3269"/>
      <c r="B43" s="3269" t="s">
        <v>3420</v>
      </c>
      <c r="C43" s="3291" t="s">
        <v>3421</v>
      </c>
      <c r="D43" s="3291" t="s">
        <v>3358</v>
      </c>
      <c r="E43" s="3291" t="s">
        <v>3422</v>
      </c>
      <c r="F43" s="3291" t="s">
        <v>3395</v>
      </c>
      <c r="G43" s="3291"/>
      <c r="H43" s="3291" t="s">
        <v>3423</v>
      </c>
      <c r="I43" s="3292">
        <v>45412</v>
      </c>
      <c r="J43" s="3292">
        <f t="shared" si="1"/>
        <v>45232</v>
      </c>
      <c r="K43" s="3270" t="s">
        <v>3238</v>
      </c>
      <c r="L43" s="3291" t="s">
        <v>3303</v>
      </c>
      <c r="M43" s="3273">
        <v>5040</v>
      </c>
      <c r="N43" s="3273">
        <f>M43*3</f>
        <v>15120</v>
      </c>
      <c r="O43" s="3269" t="s">
        <v>3424</v>
      </c>
      <c r="P43" s="3293">
        <v>8.8000000000000007</v>
      </c>
      <c r="Q43" s="3305">
        <v>600</v>
      </c>
      <c r="R43" s="3276">
        <f>ROUND(N43/P43/365/3,2)</f>
        <v>1.57</v>
      </c>
      <c r="S43" s="3276"/>
    </row>
    <row r="44" spans="1:20" s="3277" customFormat="1">
      <c r="A44" s="3269"/>
      <c r="B44" s="3269" t="s">
        <v>3425</v>
      </c>
      <c r="C44" s="3291" t="s">
        <v>3426</v>
      </c>
      <c r="D44" s="3291" t="s">
        <v>3427</v>
      </c>
      <c r="E44" s="3291" t="s">
        <v>3428</v>
      </c>
      <c r="F44" s="3291" t="s">
        <v>3429</v>
      </c>
      <c r="G44" s="3291" t="s">
        <v>3430</v>
      </c>
      <c r="H44" s="3291" t="s">
        <v>3431</v>
      </c>
      <c r="I44" s="3292">
        <v>45091</v>
      </c>
      <c r="J44" s="3292">
        <f t="shared" si="1"/>
        <v>44911</v>
      </c>
      <c r="K44" s="3297" t="s">
        <v>3238</v>
      </c>
      <c r="L44" s="3291" t="s">
        <v>3257</v>
      </c>
      <c r="M44" s="3273">
        <v>32882.85</v>
      </c>
      <c r="N44" s="3273">
        <f>M44*8</f>
        <v>263062.8</v>
      </c>
      <c r="O44" s="3269" t="s">
        <v>3432</v>
      </c>
      <c r="P44" s="3293">
        <v>234</v>
      </c>
      <c r="Q44" s="3305">
        <v>46975.5</v>
      </c>
      <c r="R44" s="3276">
        <f>ROUND(N44/P44/365/2,2)</f>
        <v>1.54</v>
      </c>
      <c r="S44" s="3276"/>
    </row>
    <row r="45" spans="1:20" s="3357" customFormat="1">
      <c r="A45" s="3352"/>
      <c r="B45" s="3352" t="s">
        <v>3433</v>
      </c>
      <c r="C45" s="3353" t="s">
        <v>3434</v>
      </c>
      <c r="D45" s="3353" t="s">
        <v>3435</v>
      </c>
      <c r="E45" s="3353" t="s">
        <v>3436</v>
      </c>
      <c r="F45" s="3353" t="s">
        <v>3437</v>
      </c>
      <c r="G45" s="3353" t="s">
        <v>3430</v>
      </c>
      <c r="H45" s="3353" t="s">
        <v>3431</v>
      </c>
      <c r="I45" s="3354">
        <v>46187</v>
      </c>
      <c r="J45" s="3354">
        <f t="shared" si="1"/>
        <v>46007</v>
      </c>
      <c r="K45" s="3353" t="s">
        <v>3238</v>
      </c>
      <c r="L45" s="3353" t="s">
        <v>3257</v>
      </c>
      <c r="M45" s="3355">
        <v>26964.38</v>
      </c>
      <c r="N45" s="3355">
        <f>M45*8</f>
        <v>215715.04</v>
      </c>
      <c r="O45" s="3352" t="s">
        <v>3269</v>
      </c>
      <c r="P45" s="3733">
        <v>197</v>
      </c>
      <c r="Q45" s="3359">
        <v>37750.129999999997</v>
      </c>
      <c r="R45" s="3356">
        <f>ROUND(N45/P45/365/2,2)</f>
        <v>1.5</v>
      </c>
      <c r="S45" s="3356">
        <v>1.5</v>
      </c>
    </row>
    <row r="46" spans="1:20">
      <c r="A46" s="3261"/>
      <c r="B46" s="3261" t="s">
        <v>3433</v>
      </c>
      <c r="C46" s="3301" t="s">
        <v>3434</v>
      </c>
      <c r="D46" s="3301" t="s">
        <v>3435</v>
      </c>
      <c r="E46" s="3301" t="s">
        <v>3436</v>
      </c>
      <c r="F46" s="3301" t="s">
        <v>3437</v>
      </c>
      <c r="G46" s="3301"/>
      <c r="H46" s="3301" t="s">
        <v>3438</v>
      </c>
      <c r="I46" s="3302">
        <v>46187</v>
      </c>
      <c r="J46" s="3302">
        <f t="shared" si="1"/>
        <v>46007</v>
      </c>
      <c r="K46" s="3304" t="s">
        <v>3238</v>
      </c>
      <c r="L46" s="3301" t="s">
        <v>3257</v>
      </c>
      <c r="M46" s="3265">
        <v>28402.48</v>
      </c>
      <c r="N46" s="3265">
        <f>M46*8</f>
        <v>227219.84</v>
      </c>
      <c r="O46" s="3261" t="s">
        <v>3337</v>
      </c>
      <c r="P46" s="3733"/>
      <c r="Q46" s="3257">
        <v>1977.38</v>
      </c>
    </row>
    <row r="47" spans="1:20">
      <c r="A47" s="3261"/>
      <c r="B47" s="3261" t="s">
        <v>3433</v>
      </c>
      <c r="C47" s="3301" t="s">
        <v>3434</v>
      </c>
      <c r="D47" s="3301" t="s">
        <v>3435</v>
      </c>
      <c r="E47" s="3301" t="s">
        <v>3436</v>
      </c>
      <c r="F47" s="3301" t="s">
        <v>3437</v>
      </c>
      <c r="G47" s="3301"/>
      <c r="H47" s="3301" t="s">
        <v>3439</v>
      </c>
      <c r="I47" s="3302">
        <v>46187</v>
      </c>
      <c r="J47" s="3302">
        <f t="shared" si="1"/>
        <v>46007</v>
      </c>
      <c r="K47" s="3304" t="s">
        <v>3238</v>
      </c>
      <c r="L47" s="3301" t="s">
        <v>3257</v>
      </c>
      <c r="M47" s="3265">
        <v>30739.39</v>
      </c>
      <c r="N47" s="3265">
        <f>M47*8</f>
        <v>245915.12</v>
      </c>
      <c r="O47" s="3261" t="s">
        <v>3440</v>
      </c>
      <c r="P47" s="3733"/>
      <c r="Q47" s="3257">
        <v>3235.73</v>
      </c>
    </row>
    <row r="48" spans="1:20" s="3277" customFormat="1">
      <c r="A48" s="3269"/>
      <c r="B48" s="3269" t="s">
        <v>3441</v>
      </c>
      <c r="C48" s="3291" t="s">
        <v>3442</v>
      </c>
      <c r="D48" s="3291" t="s">
        <v>3443</v>
      </c>
      <c r="E48" s="3291" t="s">
        <v>3444</v>
      </c>
      <c r="F48" s="3291" t="s">
        <v>3445</v>
      </c>
      <c r="G48" s="3291" t="s">
        <v>3446</v>
      </c>
      <c r="H48" s="3291" t="s">
        <v>3447</v>
      </c>
      <c r="I48" s="3292">
        <v>45094</v>
      </c>
      <c r="J48" s="3292">
        <f t="shared" si="1"/>
        <v>44914</v>
      </c>
      <c r="K48" s="3270" t="s">
        <v>3238</v>
      </c>
      <c r="L48" s="3291" t="s">
        <v>3303</v>
      </c>
      <c r="M48" s="3273">
        <v>29484</v>
      </c>
      <c r="N48" s="3273">
        <f>M48*2</f>
        <v>58968</v>
      </c>
      <c r="O48" s="3269" t="s">
        <v>3404</v>
      </c>
      <c r="P48" s="3293">
        <v>45</v>
      </c>
      <c r="Q48" s="3305">
        <v>3510</v>
      </c>
      <c r="R48" s="3276">
        <f>ROUND(N48/P48/365/2,2)</f>
        <v>1.8</v>
      </c>
      <c r="S48" s="3276"/>
    </row>
    <row r="49" spans="1:19">
      <c r="A49" s="3261"/>
      <c r="B49" s="3261" t="s">
        <v>3448</v>
      </c>
      <c r="C49" s="3262" t="s">
        <v>3449</v>
      </c>
      <c r="D49" s="3301" t="s">
        <v>3450</v>
      </c>
      <c r="E49" s="3301" t="s">
        <v>3451</v>
      </c>
      <c r="F49" s="3301" t="s">
        <v>3452</v>
      </c>
      <c r="G49" s="3301" t="s">
        <v>3453</v>
      </c>
      <c r="H49" s="3301" t="s">
        <v>3454</v>
      </c>
      <c r="I49" s="3302">
        <v>46265</v>
      </c>
      <c r="J49" s="3302">
        <f t="shared" si="1"/>
        <v>46085</v>
      </c>
      <c r="K49" s="3263" t="s">
        <v>3238</v>
      </c>
      <c r="L49" s="3263" t="s">
        <v>3257</v>
      </c>
      <c r="M49" s="3265">
        <v>240900</v>
      </c>
      <c r="N49" s="3265">
        <f>M49*3</f>
        <v>722700</v>
      </c>
      <c r="O49" s="3261" t="s">
        <v>3455</v>
      </c>
      <c r="P49" s="3733">
        <v>1760</v>
      </c>
      <c r="Q49" s="3734">
        <v>321200</v>
      </c>
    </row>
    <row r="50" spans="1:19" s="3357" customFormat="1">
      <c r="A50" s="3352"/>
      <c r="B50" s="3352" t="s">
        <v>3448</v>
      </c>
      <c r="C50" s="3360" t="s">
        <v>3449</v>
      </c>
      <c r="D50" s="3353" t="s">
        <v>3450</v>
      </c>
      <c r="E50" s="3353" t="s">
        <v>3451</v>
      </c>
      <c r="F50" s="3353" t="s">
        <v>3452</v>
      </c>
      <c r="G50" s="3353" t="s">
        <v>3456</v>
      </c>
      <c r="H50" s="3353" t="s">
        <v>3457</v>
      </c>
      <c r="I50" s="3354">
        <v>46265</v>
      </c>
      <c r="J50" s="3354">
        <f t="shared" si="1"/>
        <v>46085</v>
      </c>
      <c r="K50" s="3361" t="s">
        <v>3238</v>
      </c>
      <c r="L50" s="3361" t="s">
        <v>3257</v>
      </c>
      <c r="M50" s="3355">
        <v>240900</v>
      </c>
      <c r="N50" s="3355">
        <f>M50*3+160600</f>
        <v>883300</v>
      </c>
      <c r="O50" s="3352" t="s">
        <v>3455</v>
      </c>
      <c r="P50" s="3733"/>
      <c r="Q50" s="3734"/>
      <c r="R50" s="3356">
        <f>ROUND(N50/P49/365,2)</f>
        <v>1.38</v>
      </c>
      <c r="S50" s="3356">
        <v>1.38</v>
      </c>
    </row>
    <row r="51" spans="1:19">
      <c r="A51" s="3261"/>
      <c r="B51" s="3261" t="s">
        <v>3448</v>
      </c>
      <c r="C51" s="3262" t="s">
        <v>3449</v>
      </c>
      <c r="D51" s="3301" t="s">
        <v>3450</v>
      </c>
      <c r="E51" s="3301" t="s">
        <v>3451</v>
      </c>
      <c r="F51" s="3301" t="s">
        <v>3452</v>
      </c>
      <c r="G51" s="3301"/>
      <c r="H51" s="3301" t="s">
        <v>3458</v>
      </c>
      <c r="I51" s="3302">
        <v>46265</v>
      </c>
      <c r="J51" s="3302">
        <f t="shared" si="1"/>
        <v>46085</v>
      </c>
      <c r="K51" s="3263" t="s">
        <v>3238</v>
      </c>
      <c r="L51" s="3263" t="s">
        <v>3257</v>
      </c>
      <c r="M51" s="3265">
        <v>253748</v>
      </c>
      <c r="N51" s="3265">
        <f>M51*4</f>
        <v>1014992</v>
      </c>
      <c r="O51" s="3261" t="s">
        <v>3337</v>
      </c>
      <c r="P51" s="3733"/>
      <c r="Q51" s="3257">
        <v>338866</v>
      </c>
    </row>
    <row r="52" spans="1:19">
      <c r="A52" s="3261"/>
      <c r="B52" s="3261" t="s">
        <v>3448</v>
      </c>
      <c r="C52" s="3262" t="s">
        <v>3449</v>
      </c>
      <c r="D52" s="3301" t="s">
        <v>3450</v>
      </c>
      <c r="E52" s="3301" t="s">
        <v>3451</v>
      </c>
      <c r="F52" s="3301" t="s">
        <v>3452</v>
      </c>
      <c r="G52" s="3301"/>
      <c r="H52" s="3301" t="s">
        <v>3459</v>
      </c>
      <c r="I52" s="3302">
        <v>46265</v>
      </c>
      <c r="J52" s="3302">
        <f t="shared" si="1"/>
        <v>46085</v>
      </c>
      <c r="K52" s="3263" t="s">
        <v>3238</v>
      </c>
      <c r="L52" s="3263" t="s">
        <v>3257</v>
      </c>
      <c r="M52" s="3265">
        <v>266596</v>
      </c>
      <c r="N52" s="3265">
        <f>M52*4</f>
        <v>1066384</v>
      </c>
      <c r="O52" s="3261" t="s">
        <v>3460</v>
      </c>
      <c r="P52" s="3733"/>
      <c r="Q52" s="3257">
        <v>356532</v>
      </c>
    </row>
    <row r="53" spans="1:19">
      <c r="A53" s="3261"/>
      <c r="B53" s="3261" t="s">
        <v>3448</v>
      </c>
      <c r="C53" s="3262" t="s">
        <v>3449</v>
      </c>
      <c r="D53" s="3301" t="s">
        <v>3450</v>
      </c>
      <c r="E53" s="3301" t="s">
        <v>3451</v>
      </c>
      <c r="F53" s="3301" t="s">
        <v>3452</v>
      </c>
      <c r="G53" s="3301"/>
      <c r="H53" s="3301" t="s">
        <v>3461</v>
      </c>
      <c r="I53" s="3302">
        <v>46265</v>
      </c>
      <c r="J53" s="3302">
        <f t="shared" si="1"/>
        <v>46085</v>
      </c>
      <c r="K53" s="3263" t="s">
        <v>3238</v>
      </c>
      <c r="L53" s="3263" t="s">
        <v>3257</v>
      </c>
      <c r="M53" s="3265">
        <v>279444</v>
      </c>
      <c r="N53" s="3265">
        <f>M53*4</f>
        <v>1117776</v>
      </c>
      <c r="O53" s="3261" t="s">
        <v>3462</v>
      </c>
      <c r="P53" s="3733"/>
      <c r="Q53" s="3257">
        <v>374198</v>
      </c>
    </row>
    <row r="54" spans="1:19">
      <c r="A54" s="3261"/>
      <c r="B54" s="3261" t="s">
        <v>3463</v>
      </c>
      <c r="C54" s="3262" t="s">
        <v>3464</v>
      </c>
      <c r="D54" s="3301" t="s">
        <v>3465</v>
      </c>
      <c r="E54" s="3301" t="s">
        <v>3466</v>
      </c>
      <c r="F54" s="3301" t="s">
        <v>3467</v>
      </c>
      <c r="G54" s="3301"/>
      <c r="H54" s="3301" t="s">
        <v>3454</v>
      </c>
      <c r="I54" s="3302">
        <v>45169</v>
      </c>
      <c r="J54" s="3302">
        <f t="shared" si="1"/>
        <v>44989</v>
      </c>
      <c r="K54" s="3263" t="s">
        <v>3238</v>
      </c>
      <c r="L54" s="3301" t="s">
        <v>3239</v>
      </c>
      <c r="M54" s="3265">
        <v>48180</v>
      </c>
      <c r="N54" s="3265">
        <f>M54*2</f>
        <v>96360</v>
      </c>
      <c r="O54" s="3261" t="s">
        <v>3340</v>
      </c>
      <c r="P54" s="3733">
        <v>160</v>
      </c>
      <c r="Q54" s="3257">
        <v>22873.33</v>
      </c>
    </row>
    <row r="55" spans="1:19" s="3277" customFormat="1">
      <c r="A55" s="3269"/>
      <c r="B55" s="3269" t="s">
        <v>3463</v>
      </c>
      <c r="C55" s="3270" t="s">
        <v>3464</v>
      </c>
      <c r="D55" s="3291" t="s">
        <v>3465</v>
      </c>
      <c r="E55" s="3291" t="s">
        <v>3466</v>
      </c>
      <c r="F55" s="3291" t="s">
        <v>3467</v>
      </c>
      <c r="G55" s="3291"/>
      <c r="H55" s="3291" t="s">
        <v>3457</v>
      </c>
      <c r="I55" s="3292">
        <v>45169</v>
      </c>
      <c r="J55" s="3292">
        <f t="shared" si="1"/>
        <v>44989</v>
      </c>
      <c r="K55" s="3271" t="s">
        <v>3238</v>
      </c>
      <c r="L55" s="3291" t="s">
        <v>3239</v>
      </c>
      <c r="M55" s="3273">
        <v>50516</v>
      </c>
      <c r="N55" s="3273">
        <f>M55*2</f>
        <v>101032</v>
      </c>
      <c r="O55" s="3269" t="s">
        <v>3468</v>
      </c>
      <c r="P55" s="3733"/>
      <c r="Q55" s="3305">
        <v>24041.33</v>
      </c>
      <c r="R55" s="3276">
        <f>ROUND(N55/P54/365,2)</f>
        <v>1.73</v>
      </c>
      <c r="S55" s="3276"/>
    </row>
    <row r="56" spans="1:19" s="3277" customFormat="1">
      <c r="A56" s="3269"/>
      <c r="B56" s="3269" t="s">
        <v>3469</v>
      </c>
      <c r="C56" s="3270" t="s">
        <v>3470</v>
      </c>
      <c r="D56" s="3291" t="s">
        <v>3471</v>
      </c>
      <c r="E56" s="3291" t="s">
        <v>3472</v>
      </c>
      <c r="F56" s="3291" t="s">
        <v>3473</v>
      </c>
      <c r="G56" s="3291"/>
      <c r="H56" s="3291" t="s">
        <v>3474</v>
      </c>
      <c r="I56" s="3292">
        <v>45161</v>
      </c>
      <c r="J56" s="3292">
        <f t="shared" si="1"/>
        <v>44981</v>
      </c>
      <c r="K56" s="3271" t="s">
        <v>3238</v>
      </c>
      <c r="L56" s="3271" t="s">
        <v>3257</v>
      </c>
      <c r="M56" s="3273">
        <v>7992</v>
      </c>
      <c r="N56" s="3273">
        <f>M56*8</f>
        <v>63936</v>
      </c>
      <c r="O56" s="3269" t="s">
        <v>3475</v>
      </c>
      <c r="P56" s="3293">
        <v>48</v>
      </c>
      <c r="Q56" s="3305">
        <v>11404.8</v>
      </c>
      <c r="R56" s="3276">
        <f>ROUND(N56/P56/365/2,2)</f>
        <v>1.82</v>
      </c>
      <c r="S56" s="3276"/>
    </row>
    <row r="57" spans="1:19" s="3277" customFormat="1">
      <c r="A57" s="3269"/>
      <c r="B57" s="3269" t="s">
        <v>3476</v>
      </c>
      <c r="C57" s="3270" t="s">
        <v>3477</v>
      </c>
      <c r="D57" s="3291" t="s">
        <v>3478</v>
      </c>
      <c r="E57" s="3291" t="s">
        <v>3479</v>
      </c>
      <c r="F57" s="3291" t="s">
        <v>3480</v>
      </c>
      <c r="G57" s="3291" t="s">
        <v>3481</v>
      </c>
      <c r="H57" s="3291" t="s">
        <v>3482</v>
      </c>
      <c r="I57" s="3292">
        <v>45254</v>
      </c>
      <c r="J57" s="3292">
        <f t="shared" si="1"/>
        <v>45074</v>
      </c>
      <c r="K57" s="3271" t="s">
        <v>3238</v>
      </c>
      <c r="L57" s="3271" t="s">
        <v>3257</v>
      </c>
      <c r="M57" s="3273">
        <v>30410.89</v>
      </c>
      <c r="N57" s="3273">
        <f>M57*8</f>
        <v>243287.12</v>
      </c>
      <c r="O57" s="3269" t="s">
        <v>3276</v>
      </c>
      <c r="P57" s="3293">
        <v>207</v>
      </c>
      <c r="Q57" s="3305">
        <v>43444.13</v>
      </c>
      <c r="R57" s="3276">
        <f>ROUND(N57/P57/365/2,2)</f>
        <v>1.61</v>
      </c>
      <c r="S57" s="3276"/>
    </row>
    <row r="58" spans="1:19" s="3277" customFormat="1">
      <c r="A58" s="3269"/>
      <c r="B58" s="3269" t="s">
        <v>3483</v>
      </c>
      <c r="C58" s="3291" t="s">
        <v>3484</v>
      </c>
      <c r="D58" s="3291" t="s">
        <v>3485</v>
      </c>
      <c r="E58" s="3291" t="s">
        <v>3486</v>
      </c>
      <c r="F58" s="3291" t="s">
        <v>3487</v>
      </c>
      <c r="G58" s="3291"/>
      <c r="H58" s="3291" t="s">
        <v>3488</v>
      </c>
      <c r="I58" s="3292">
        <v>45206</v>
      </c>
      <c r="J58" s="3292">
        <f t="shared" si="1"/>
        <v>45026</v>
      </c>
      <c r="K58" s="3271" t="s">
        <v>3238</v>
      </c>
      <c r="L58" s="3271" t="s">
        <v>3239</v>
      </c>
      <c r="M58" s="3273">
        <v>15984</v>
      </c>
      <c r="N58" s="3273">
        <f>M58*4</f>
        <v>63936</v>
      </c>
      <c r="O58" s="3269" t="s">
        <v>3475</v>
      </c>
      <c r="P58" s="3293">
        <v>48</v>
      </c>
      <c r="Q58" s="3305">
        <v>7603.2</v>
      </c>
      <c r="R58" s="3276">
        <f>ROUND(N58/P58/365/2,2)</f>
        <v>1.82</v>
      </c>
      <c r="S58" s="3276"/>
    </row>
    <row r="59" spans="1:19">
      <c r="A59" s="3261"/>
      <c r="B59" s="3261" t="s">
        <v>3489</v>
      </c>
      <c r="C59" s="3301" t="s">
        <v>3490</v>
      </c>
      <c r="D59" s="3308" t="s">
        <v>3491</v>
      </c>
      <c r="E59" s="3301" t="s">
        <v>3492</v>
      </c>
      <c r="F59" s="3301" t="s">
        <v>3493</v>
      </c>
      <c r="G59" s="3301"/>
      <c r="H59" s="3301" t="s">
        <v>3494</v>
      </c>
      <c r="I59" s="3302">
        <v>44889</v>
      </c>
      <c r="J59" s="3302">
        <f t="shared" si="1"/>
        <v>44709</v>
      </c>
      <c r="K59" s="3263" t="s">
        <v>3238</v>
      </c>
      <c r="L59" s="3263" t="s">
        <v>3239</v>
      </c>
      <c r="M59" s="3265">
        <v>18270</v>
      </c>
      <c r="N59" s="3265">
        <v>30350</v>
      </c>
      <c r="O59" s="3261" t="s">
        <v>3310</v>
      </c>
      <c r="P59" s="3733">
        <v>58</v>
      </c>
      <c r="Q59" s="3734">
        <v>8700</v>
      </c>
    </row>
    <row r="60" spans="1:19" s="3277" customFormat="1">
      <c r="A60" s="3269"/>
      <c r="B60" s="3269" t="s">
        <v>3489</v>
      </c>
      <c r="C60" s="3291" t="s">
        <v>3490</v>
      </c>
      <c r="D60" s="3290" t="s">
        <v>3491</v>
      </c>
      <c r="E60" s="3291" t="s">
        <v>3492</v>
      </c>
      <c r="F60" s="3291" t="s">
        <v>3493</v>
      </c>
      <c r="G60" s="3291"/>
      <c r="H60" s="3291" t="s">
        <v>3495</v>
      </c>
      <c r="I60" s="3292">
        <v>44889</v>
      </c>
      <c r="J60" s="3292">
        <f t="shared" si="1"/>
        <v>44709</v>
      </c>
      <c r="K60" s="3271" t="s">
        <v>3238</v>
      </c>
      <c r="L60" s="3271" t="s">
        <v>3239</v>
      </c>
      <c r="M60" s="3273">
        <v>12890.5</v>
      </c>
      <c r="N60" s="3273">
        <v>12890.5</v>
      </c>
      <c r="O60" s="3269" t="s">
        <v>3310</v>
      </c>
      <c r="P60" s="3733"/>
      <c r="Q60" s="3734"/>
      <c r="R60" s="3276">
        <f>ROUND(N60/P59/129,2)</f>
        <v>1.72</v>
      </c>
      <c r="S60" s="3276"/>
    </row>
    <row r="61" spans="1:19">
      <c r="A61" s="3261"/>
      <c r="B61" s="3261" t="s">
        <v>3496</v>
      </c>
      <c r="C61" s="3301" t="s">
        <v>3497</v>
      </c>
      <c r="D61" s="3309" t="s">
        <v>3498</v>
      </c>
      <c r="E61" s="3309" t="s">
        <v>3499</v>
      </c>
      <c r="F61" s="3309" t="s">
        <v>3500</v>
      </c>
      <c r="G61" s="3309"/>
      <c r="H61" s="3309" t="s">
        <v>3501</v>
      </c>
      <c r="I61" s="3310">
        <v>45237</v>
      </c>
      <c r="J61" s="3310">
        <f t="shared" si="1"/>
        <v>45057</v>
      </c>
      <c r="K61" s="3263" t="s">
        <v>3238</v>
      </c>
      <c r="L61" s="3263" t="s">
        <v>3257</v>
      </c>
      <c r="M61" s="3311">
        <v>6955.2</v>
      </c>
      <c r="N61" s="3311">
        <f>M61*4</f>
        <v>27820.799999999999</v>
      </c>
      <c r="O61" s="3261" t="s">
        <v>3276</v>
      </c>
      <c r="P61" s="3737">
        <v>48</v>
      </c>
      <c r="Q61" s="3312">
        <v>9936</v>
      </c>
    </row>
    <row r="62" spans="1:19" s="3277" customFormat="1">
      <c r="A62" s="3269"/>
      <c r="B62" s="3269" t="s">
        <v>3496</v>
      </c>
      <c r="C62" s="3291" t="s">
        <v>3497</v>
      </c>
      <c r="D62" s="3313" t="s">
        <v>3498</v>
      </c>
      <c r="E62" s="3313" t="s">
        <v>3499</v>
      </c>
      <c r="F62" s="3313" t="s">
        <v>3500</v>
      </c>
      <c r="G62" s="3291"/>
      <c r="H62" s="3291" t="s">
        <v>3502</v>
      </c>
      <c r="I62" s="3292">
        <v>45237</v>
      </c>
      <c r="J62" s="3292">
        <f t="shared" si="1"/>
        <v>45057</v>
      </c>
      <c r="K62" s="3271" t="s">
        <v>3238</v>
      </c>
      <c r="L62" s="3271" t="s">
        <v>3257</v>
      </c>
      <c r="M62" s="3273">
        <v>7300.8</v>
      </c>
      <c r="N62" s="3273">
        <f>M62*4</f>
        <v>29203.200000000001</v>
      </c>
      <c r="O62" s="3269" t="s">
        <v>3372</v>
      </c>
      <c r="P62" s="3739"/>
      <c r="Q62" s="3305">
        <v>10411.200000000001</v>
      </c>
      <c r="R62" s="3276">
        <f>ROUND(N62/P61/365,2)</f>
        <v>1.67</v>
      </c>
      <c r="S62" s="3276"/>
    </row>
    <row r="63" spans="1:19" s="3277" customFormat="1">
      <c r="A63" s="3269"/>
      <c r="B63" s="3269" t="s">
        <v>3503</v>
      </c>
      <c r="C63" s="3291" t="s">
        <v>3504</v>
      </c>
      <c r="D63" s="3291" t="s">
        <v>3505</v>
      </c>
      <c r="E63" s="3291" t="s">
        <v>3506</v>
      </c>
      <c r="F63" s="3291" t="s">
        <v>3507</v>
      </c>
      <c r="G63" s="3291" t="s">
        <v>3508</v>
      </c>
      <c r="H63" s="3291" t="s">
        <v>3482</v>
      </c>
      <c r="I63" s="3292">
        <v>45254</v>
      </c>
      <c r="J63" s="3292">
        <f t="shared" si="1"/>
        <v>45074</v>
      </c>
      <c r="K63" s="3271" t="s">
        <v>3238</v>
      </c>
      <c r="L63" s="3271" t="s">
        <v>3257</v>
      </c>
      <c r="M63" s="3273">
        <v>7371</v>
      </c>
      <c r="N63" s="3273">
        <f>M63*8</f>
        <v>58968</v>
      </c>
      <c r="O63" s="3269" t="s">
        <v>3404</v>
      </c>
      <c r="P63" s="3293">
        <v>45</v>
      </c>
      <c r="Q63" s="3305">
        <v>10530</v>
      </c>
      <c r="R63" s="3276">
        <f>ROUND(N63/P63/365/2,2)</f>
        <v>1.8</v>
      </c>
      <c r="S63" s="3276"/>
    </row>
    <row r="64" spans="1:19" s="3277" customFormat="1">
      <c r="A64" s="3269"/>
      <c r="B64" s="3269" t="s">
        <v>3509</v>
      </c>
      <c r="C64" s="3291" t="s">
        <v>3510</v>
      </c>
      <c r="D64" s="3291" t="s">
        <v>3511</v>
      </c>
      <c r="E64" s="3291" t="s">
        <v>3512</v>
      </c>
      <c r="F64" s="3291" t="s">
        <v>3513</v>
      </c>
      <c r="G64" s="3291" t="s">
        <v>3514</v>
      </c>
      <c r="H64" s="3291" t="s">
        <v>3515</v>
      </c>
      <c r="I64" s="3292">
        <v>45294</v>
      </c>
      <c r="J64" s="3292">
        <f t="shared" si="1"/>
        <v>45114</v>
      </c>
      <c r="K64" s="3271" t="s">
        <v>3238</v>
      </c>
      <c r="L64" s="3271" t="s">
        <v>3257</v>
      </c>
      <c r="M64" s="3273">
        <v>11753</v>
      </c>
      <c r="N64" s="3273">
        <f>M64*4</f>
        <v>47012</v>
      </c>
      <c r="O64" s="3269" t="s">
        <v>3276</v>
      </c>
      <c r="P64" s="3738">
        <v>80</v>
      </c>
      <c r="Q64" s="3314">
        <v>16790</v>
      </c>
      <c r="R64" s="3276">
        <f>ROUND(N64/P64/365,2)</f>
        <v>1.61</v>
      </c>
      <c r="S64" s="3276"/>
    </row>
    <row r="65" spans="1:19">
      <c r="A65" s="3261"/>
      <c r="B65" s="3261" t="s">
        <v>3509</v>
      </c>
      <c r="C65" s="3301" t="s">
        <v>3510</v>
      </c>
      <c r="D65" s="3301" t="s">
        <v>3511</v>
      </c>
      <c r="E65" s="3301" t="s">
        <v>3512</v>
      </c>
      <c r="F65" s="3301" t="s">
        <v>3513</v>
      </c>
      <c r="G65" s="3301"/>
      <c r="H65" s="3301" t="s">
        <v>3516</v>
      </c>
      <c r="I65" s="3302">
        <v>45294</v>
      </c>
      <c r="J65" s="3302">
        <f t="shared" si="1"/>
        <v>45114</v>
      </c>
      <c r="K65" s="3263" t="s">
        <v>3238</v>
      </c>
      <c r="L65" s="3263" t="s">
        <v>3257</v>
      </c>
      <c r="M65" s="3265">
        <v>12337</v>
      </c>
      <c r="N65" s="3265">
        <f>M65*4</f>
        <v>49348</v>
      </c>
      <c r="O65" s="3261" t="s">
        <v>3372</v>
      </c>
      <c r="P65" s="3739"/>
      <c r="Q65" s="3257">
        <v>17593</v>
      </c>
    </row>
    <row r="66" spans="1:19" s="3277" customFormat="1">
      <c r="A66" s="3269"/>
      <c r="B66" s="3269" t="s">
        <v>3517</v>
      </c>
      <c r="C66" s="3291" t="s">
        <v>3518</v>
      </c>
      <c r="D66" s="3291" t="s">
        <v>3519</v>
      </c>
      <c r="E66" s="3291" t="s">
        <v>3520</v>
      </c>
      <c r="F66" s="3291" t="s">
        <v>3521</v>
      </c>
      <c r="G66" s="3291" t="s">
        <v>3522</v>
      </c>
      <c r="H66" s="3291" t="s">
        <v>3523</v>
      </c>
      <c r="I66" s="3292">
        <v>45259</v>
      </c>
      <c r="J66" s="3292">
        <f t="shared" si="1"/>
        <v>45079</v>
      </c>
      <c r="K66" s="3271" t="s">
        <v>3238</v>
      </c>
      <c r="L66" s="3271" t="s">
        <v>3257</v>
      </c>
      <c r="M66" s="3273">
        <v>247324</v>
      </c>
      <c r="N66" s="3273">
        <f>M66*3+82441.33</f>
        <v>824413.33</v>
      </c>
      <c r="O66" s="3269" t="s">
        <v>3432</v>
      </c>
      <c r="P66" s="3737">
        <v>1760</v>
      </c>
      <c r="Q66" s="3305">
        <v>353320</v>
      </c>
      <c r="R66" s="3276">
        <f>ROUND(N66/P66/365,2)</f>
        <v>1.28</v>
      </c>
      <c r="S66" s="3276"/>
    </row>
    <row r="67" spans="1:19">
      <c r="A67" s="3261"/>
      <c r="B67" s="3261" t="s">
        <v>3517</v>
      </c>
      <c r="C67" s="3301" t="s">
        <v>3518</v>
      </c>
      <c r="D67" s="3301" t="s">
        <v>3519</v>
      </c>
      <c r="E67" s="3301" t="s">
        <v>3520</v>
      </c>
      <c r="F67" s="3301" t="s">
        <v>3521</v>
      </c>
      <c r="G67" s="3301"/>
      <c r="H67" s="3301" t="s">
        <v>3524</v>
      </c>
      <c r="I67" s="3302">
        <v>45259</v>
      </c>
      <c r="J67" s="3302">
        <f t="shared" si="1"/>
        <v>45079</v>
      </c>
      <c r="K67" s="3263" t="s">
        <v>3238</v>
      </c>
      <c r="L67" s="3263" t="s">
        <v>3257</v>
      </c>
      <c r="M67" s="3265">
        <v>260172</v>
      </c>
      <c r="N67" s="3265">
        <f>M67*4</f>
        <v>1040688</v>
      </c>
      <c r="O67" s="3261" t="s">
        <v>3525</v>
      </c>
      <c r="P67" s="3739"/>
      <c r="Q67" s="3257">
        <v>370986</v>
      </c>
    </row>
    <row r="68" spans="1:19" s="3277" customFormat="1">
      <c r="A68" s="3269"/>
      <c r="B68" s="3269" t="s">
        <v>3526</v>
      </c>
      <c r="C68" s="3291" t="s">
        <v>3527</v>
      </c>
      <c r="D68" s="3291" t="s">
        <v>3528</v>
      </c>
      <c r="E68" s="3291" t="s">
        <v>3529</v>
      </c>
      <c r="F68" s="3291" t="s">
        <v>3513</v>
      </c>
      <c r="G68" s="3291" t="s">
        <v>3530</v>
      </c>
      <c r="H68" s="3291" t="s">
        <v>3531</v>
      </c>
      <c r="I68" s="3292">
        <v>45300</v>
      </c>
      <c r="J68" s="3292">
        <f t="shared" si="1"/>
        <v>45120</v>
      </c>
      <c r="K68" s="3271" t="s">
        <v>3238</v>
      </c>
      <c r="L68" s="3271" t="s">
        <v>3257</v>
      </c>
      <c r="M68" s="3273">
        <v>75576.899999999994</v>
      </c>
      <c r="N68" s="3273">
        <f>M68*8</f>
        <v>604615.19999999995</v>
      </c>
      <c r="O68" s="3269" t="s">
        <v>3532</v>
      </c>
      <c r="P68" s="3293">
        <v>493</v>
      </c>
      <c r="Q68" s="3305">
        <v>107967</v>
      </c>
      <c r="R68" s="3276">
        <f>ROUND(N68/P68/365/2,2)</f>
        <v>1.68</v>
      </c>
      <c r="S68" s="3276"/>
    </row>
    <row r="69" spans="1:19" s="3277" customFormat="1">
      <c r="A69" s="3269"/>
      <c r="B69" s="3269" t="s">
        <v>3533</v>
      </c>
      <c r="C69" s="3291" t="s">
        <v>3534</v>
      </c>
      <c r="D69" s="3291" t="s">
        <v>3535</v>
      </c>
      <c r="E69" s="3291" t="s">
        <v>3536</v>
      </c>
      <c r="F69" s="3291" t="s">
        <v>3537</v>
      </c>
      <c r="G69" s="3291"/>
      <c r="H69" s="3291" t="s">
        <v>3538</v>
      </c>
      <c r="I69" s="3292">
        <v>45284</v>
      </c>
      <c r="J69" s="3292">
        <f t="shared" si="1"/>
        <v>45104</v>
      </c>
      <c r="K69" s="3297" t="s">
        <v>3238</v>
      </c>
      <c r="L69" s="3297" t="s">
        <v>3257</v>
      </c>
      <c r="M69" s="3273">
        <v>1405.25</v>
      </c>
      <c r="N69" s="3273">
        <f>M69*8</f>
        <v>11242</v>
      </c>
      <c r="O69" s="3269" t="s">
        <v>3432</v>
      </c>
      <c r="P69" s="3293">
        <v>10</v>
      </c>
      <c r="Q69" s="3305">
        <v>2007.5</v>
      </c>
      <c r="R69" s="3276">
        <f>ROUND(N69/P69/365/2,2)</f>
        <v>1.54</v>
      </c>
      <c r="S69" s="3276"/>
    </row>
    <row r="70" spans="1:19" s="3277" customFormat="1">
      <c r="A70" s="3269"/>
      <c r="B70" s="3269" t="s">
        <v>3539</v>
      </c>
      <c r="C70" s="3291" t="s">
        <v>3540</v>
      </c>
      <c r="D70" s="3291" t="s">
        <v>3541</v>
      </c>
      <c r="E70" s="3291" t="s">
        <v>3486</v>
      </c>
      <c r="F70" s="3291" t="s">
        <v>3542</v>
      </c>
      <c r="G70" s="3291" t="s">
        <v>3543</v>
      </c>
      <c r="H70" s="3291" t="s">
        <v>3544</v>
      </c>
      <c r="I70" s="3292">
        <v>45324</v>
      </c>
      <c r="J70" s="3292">
        <f t="shared" si="1"/>
        <v>45144</v>
      </c>
      <c r="K70" s="3297" t="s">
        <v>3238</v>
      </c>
      <c r="L70" s="3297" t="s">
        <v>3257</v>
      </c>
      <c r="M70" s="3273">
        <v>57002.05</v>
      </c>
      <c r="N70" s="3273">
        <f>M70*4</f>
        <v>228008.2</v>
      </c>
      <c r="O70" s="3269" t="s">
        <v>3276</v>
      </c>
      <c r="P70" s="3733">
        <v>388</v>
      </c>
      <c r="Q70" s="3305">
        <v>81431.5</v>
      </c>
      <c r="R70" s="3276">
        <f>ROUND(N70/P70/365,2)</f>
        <v>1.61</v>
      </c>
      <c r="S70" s="3276"/>
    </row>
    <row r="71" spans="1:19">
      <c r="A71" s="3261"/>
      <c r="B71" s="3261" t="s">
        <v>3539</v>
      </c>
      <c r="C71" s="3301" t="s">
        <v>3540</v>
      </c>
      <c r="D71" s="3301" t="s">
        <v>3541</v>
      </c>
      <c r="E71" s="3301" t="s">
        <v>3486</v>
      </c>
      <c r="F71" s="3301" t="s">
        <v>3542</v>
      </c>
      <c r="G71" s="3301"/>
      <c r="H71" s="3301" t="s">
        <v>3545</v>
      </c>
      <c r="I71" s="3302">
        <v>45324</v>
      </c>
      <c r="J71" s="3302">
        <f t="shared" si="1"/>
        <v>45144</v>
      </c>
      <c r="K71" s="3304" t="s">
        <v>3238</v>
      </c>
      <c r="L71" s="3304" t="s">
        <v>3257</v>
      </c>
      <c r="M71" s="3265">
        <v>59834.45</v>
      </c>
      <c r="N71" s="3265">
        <f>M71*4</f>
        <v>239337.8</v>
      </c>
      <c r="O71" s="3261" t="s">
        <v>3372</v>
      </c>
      <c r="P71" s="3733"/>
      <c r="Q71" s="3257">
        <v>85326.05</v>
      </c>
    </row>
    <row r="72" spans="1:19">
      <c r="A72" s="3261"/>
      <c r="B72" s="3261" t="s">
        <v>3546</v>
      </c>
      <c r="C72" s="3301" t="s">
        <v>3547</v>
      </c>
      <c r="D72" s="3262" t="s">
        <v>3548</v>
      </c>
      <c r="E72" s="3262" t="s">
        <v>3549</v>
      </c>
      <c r="F72" s="3301" t="s">
        <v>3550</v>
      </c>
      <c r="G72" s="3301"/>
      <c r="H72" s="3301" t="s">
        <v>3551</v>
      </c>
      <c r="I72" s="3302">
        <v>44968</v>
      </c>
      <c r="J72" s="3302">
        <f t="shared" si="1"/>
        <v>44788</v>
      </c>
      <c r="K72" s="3304" t="s">
        <v>3238</v>
      </c>
      <c r="L72" s="3304" t="s">
        <v>3552</v>
      </c>
      <c r="M72" s="3265">
        <v>620.4</v>
      </c>
      <c r="N72" s="3265">
        <f>M72</f>
        <v>620.4</v>
      </c>
      <c r="O72" s="3261" t="s">
        <v>3553</v>
      </c>
      <c r="P72" s="3740">
        <v>22</v>
      </c>
      <c r="Q72" s="3742">
        <v>7207.2</v>
      </c>
    </row>
    <row r="73" spans="1:19" s="3277" customFormat="1">
      <c r="A73" s="3269"/>
      <c r="B73" s="3269" t="s">
        <v>3546</v>
      </c>
      <c r="C73" s="3291" t="s">
        <v>3547</v>
      </c>
      <c r="D73" s="3270" t="s">
        <v>3548</v>
      </c>
      <c r="E73" s="3270" t="s">
        <v>3549</v>
      </c>
      <c r="F73" s="3291" t="s">
        <v>3550</v>
      </c>
      <c r="G73" s="3291"/>
      <c r="H73" s="3291" t="s">
        <v>3554</v>
      </c>
      <c r="I73" s="3292">
        <v>44968</v>
      </c>
      <c r="J73" s="3292">
        <f t="shared" si="1"/>
        <v>44788</v>
      </c>
      <c r="K73" s="3297" t="s">
        <v>3238</v>
      </c>
      <c r="L73" s="3297" t="s">
        <v>3257</v>
      </c>
      <c r="M73" s="3273">
        <v>5049</v>
      </c>
      <c r="N73" s="3273">
        <f>M73*4</f>
        <v>20196</v>
      </c>
      <c r="O73" s="3269" t="s">
        <v>3553</v>
      </c>
      <c r="P73" s="3741"/>
      <c r="Q73" s="3743"/>
      <c r="R73" s="3276">
        <f>ROUND(N73/P72/365,2)</f>
        <v>2.52</v>
      </c>
      <c r="S73" s="3276"/>
    </row>
    <row r="74" spans="1:19" s="3277" customFormat="1">
      <c r="A74" s="3269"/>
      <c r="B74" s="3269" t="s">
        <v>3555</v>
      </c>
      <c r="C74" s="3291" t="s">
        <v>3556</v>
      </c>
      <c r="D74" s="3291" t="s">
        <v>3557</v>
      </c>
      <c r="E74" s="3291" t="s">
        <v>3558</v>
      </c>
      <c r="F74" s="3291" t="s">
        <v>3559</v>
      </c>
      <c r="G74" s="3291" t="s">
        <v>3560</v>
      </c>
      <c r="H74" s="3291" t="s">
        <v>3561</v>
      </c>
      <c r="I74" s="3292">
        <v>45349</v>
      </c>
      <c r="J74" s="3292">
        <f t="shared" si="1"/>
        <v>45169</v>
      </c>
      <c r="K74" s="3297" t="s">
        <v>3238</v>
      </c>
      <c r="L74" s="3297" t="s">
        <v>3257</v>
      </c>
      <c r="M74" s="3273">
        <v>41135.5</v>
      </c>
      <c r="N74" s="3273">
        <f>M74*8</f>
        <v>329084</v>
      </c>
      <c r="O74" s="3269" t="s">
        <v>3276</v>
      </c>
      <c r="P74" s="3293">
        <v>280</v>
      </c>
      <c r="Q74" s="3305">
        <v>58765</v>
      </c>
      <c r="R74" s="3276">
        <f>ROUND(N74/P74/365/2,2)</f>
        <v>1.61</v>
      </c>
      <c r="S74" s="3276"/>
    </row>
    <row r="75" spans="1:19" s="3277" customFormat="1">
      <c r="A75" s="3269"/>
      <c r="B75" s="3291" t="s">
        <v>3562</v>
      </c>
      <c r="C75" s="3269" t="s">
        <v>3563</v>
      </c>
      <c r="D75" s="3291" t="s">
        <v>3564</v>
      </c>
      <c r="E75" s="3291" t="s">
        <v>3565</v>
      </c>
      <c r="F75" s="3291" t="s">
        <v>3566</v>
      </c>
      <c r="G75" s="3291"/>
      <c r="H75" s="3291" t="s">
        <v>3567</v>
      </c>
      <c r="I75" s="3292">
        <v>44933</v>
      </c>
      <c r="J75" s="3292">
        <f t="shared" si="1"/>
        <v>44753</v>
      </c>
      <c r="K75" s="3297" t="s">
        <v>3238</v>
      </c>
      <c r="L75" s="3297" t="s">
        <v>3257</v>
      </c>
      <c r="M75" s="3273">
        <v>5049</v>
      </c>
      <c r="N75" s="3273">
        <f>M75*4</f>
        <v>20196</v>
      </c>
      <c r="O75" s="3269" t="s">
        <v>3553</v>
      </c>
      <c r="P75" s="3293">
        <v>22</v>
      </c>
      <c r="Q75" s="3305">
        <v>7207.2</v>
      </c>
      <c r="R75" s="3276">
        <f>ROUND(N75/P75/365,2)</f>
        <v>2.52</v>
      </c>
      <c r="S75" s="3276"/>
    </row>
    <row r="76" spans="1:19" s="3277" customFormat="1">
      <c r="A76" s="3269"/>
      <c r="B76" s="3291" t="s">
        <v>3568</v>
      </c>
      <c r="C76" s="3269" t="s">
        <v>3569</v>
      </c>
      <c r="D76" s="3291" t="s">
        <v>3570</v>
      </c>
      <c r="E76" s="3291" t="s">
        <v>3571</v>
      </c>
      <c r="F76" s="3291" t="s">
        <v>3572</v>
      </c>
      <c r="G76" s="3291" t="s">
        <v>3573</v>
      </c>
      <c r="H76" s="3291" t="s">
        <v>3574</v>
      </c>
      <c r="I76" s="3292">
        <v>45354</v>
      </c>
      <c r="J76" s="3292">
        <f t="shared" si="1"/>
        <v>45174</v>
      </c>
      <c r="K76" s="3297" t="s">
        <v>3238</v>
      </c>
      <c r="L76" s="3297" t="s">
        <v>3257</v>
      </c>
      <c r="M76" s="3273">
        <v>75582.38</v>
      </c>
      <c r="N76" s="3273">
        <f>M76*8</f>
        <v>604659.04</v>
      </c>
      <c r="O76" s="3269" t="s">
        <v>3340</v>
      </c>
      <c r="P76" s="3293">
        <v>502</v>
      </c>
      <c r="Q76" s="3305">
        <v>107647.63</v>
      </c>
      <c r="R76" s="3276">
        <f>ROUND(N76/P76/365/2,2)</f>
        <v>1.65</v>
      </c>
      <c r="S76" s="3276"/>
    </row>
    <row r="77" spans="1:19" s="3277" customFormat="1">
      <c r="A77" s="3269"/>
      <c r="B77" s="3269" t="s">
        <v>3575</v>
      </c>
      <c r="C77" s="3291" t="s">
        <v>3576</v>
      </c>
      <c r="D77" s="3291" t="s">
        <v>3577</v>
      </c>
      <c r="E77" s="3291" t="s">
        <v>3578</v>
      </c>
      <c r="F77" s="3291" t="s">
        <v>3579</v>
      </c>
      <c r="G77" s="3291"/>
      <c r="H77" s="3291" t="s">
        <v>3580</v>
      </c>
      <c r="I77" s="3292">
        <v>45337</v>
      </c>
      <c r="J77" s="3292">
        <f t="shared" si="1"/>
        <v>45157</v>
      </c>
      <c r="K77" s="3297" t="s">
        <v>3238</v>
      </c>
      <c r="L77" s="3291" t="s">
        <v>3239</v>
      </c>
      <c r="M77" s="3273">
        <v>16038</v>
      </c>
      <c r="N77" s="3273">
        <f>M77*2</f>
        <v>32076</v>
      </c>
      <c r="O77" s="3269" t="s">
        <v>3581</v>
      </c>
      <c r="P77" s="3737">
        <v>45</v>
      </c>
      <c r="Q77" s="3305">
        <v>7614</v>
      </c>
      <c r="R77" s="3276">
        <f>ROUND(N77/P77/365,2)</f>
        <v>1.95</v>
      </c>
      <c r="S77" s="3276"/>
    </row>
    <row r="78" spans="1:19">
      <c r="A78" s="3261"/>
      <c r="B78" s="3261" t="s">
        <v>3575</v>
      </c>
      <c r="C78" s="3301" t="s">
        <v>3576</v>
      </c>
      <c r="D78" s="3301" t="s">
        <v>3577</v>
      </c>
      <c r="E78" s="3301" t="s">
        <v>3578</v>
      </c>
      <c r="F78" s="3301" t="s">
        <v>3579</v>
      </c>
      <c r="G78" s="3301"/>
      <c r="H78" s="3301" t="s">
        <v>3582</v>
      </c>
      <c r="I78" s="3302">
        <v>45337</v>
      </c>
      <c r="J78" s="3302">
        <f t="shared" si="1"/>
        <v>45157</v>
      </c>
      <c r="K78" s="3304" t="s">
        <v>3238</v>
      </c>
      <c r="L78" s="3301" t="s">
        <v>3239</v>
      </c>
      <c r="M78" s="3265">
        <v>16848</v>
      </c>
      <c r="N78" s="3265">
        <f>M78*2</f>
        <v>33696</v>
      </c>
      <c r="O78" s="3261" t="s">
        <v>3583</v>
      </c>
      <c r="P78" s="3739"/>
      <c r="Q78" s="3257">
        <v>7992</v>
      </c>
    </row>
    <row r="79" spans="1:19" s="3277" customFormat="1">
      <c r="A79" s="3269"/>
      <c r="B79" s="3269" t="s">
        <v>3584</v>
      </c>
      <c r="C79" s="3291" t="s">
        <v>3585</v>
      </c>
      <c r="D79" s="3291" t="s">
        <v>3586</v>
      </c>
      <c r="E79" s="3291" t="s">
        <v>3587</v>
      </c>
      <c r="F79" s="3291" t="s">
        <v>3588</v>
      </c>
      <c r="G79" s="3291" t="s">
        <v>3589</v>
      </c>
      <c r="H79" s="3291" t="s">
        <v>3590</v>
      </c>
      <c r="I79" s="3292">
        <v>45443</v>
      </c>
      <c r="J79" s="3292">
        <f t="shared" si="1"/>
        <v>45263</v>
      </c>
      <c r="K79" s="3297" t="s">
        <v>3238</v>
      </c>
      <c r="L79" s="3297" t="s">
        <v>3257</v>
      </c>
      <c r="M79" s="3273">
        <v>55826.75</v>
      </c>
      <c r="N79" s="3273">
        <f>M79*4</f>
        <v>223307</v>
      </c>
      <c r="O79" s="3269" t="s">
        <v>3276</v>
      </c>
      <c r="P79" s="3744">
        <v>380</v>
      </c>
      <c r="Q79" s="3305">
        <v>79752.5</v>
      </c>
      <c r="R79" s="3276">
        <f>ROUND(N79/P79/365,2)</f>
        <v>1.61</v>
      </c>
      <c r="S79" s="3276"/>
    </row>
    <row r="80" spans="1:19">
      <c r="A80" s="3261"/>
      <c r="B80" s="3261" t="s">
        <v>3584</v>
      </c>
      <c r="C80" s="3301" t="s">
        <v>3585</v>
      </c>
      <c r="D80" s="3301" t="s">
        <v>3586</v>
      </c>
      <c r="E80" s="3301" t="s">
        <v>3587</v>
      </c>
      <c r="F80" s="3301" t="s">
        <v>3588</v>
      </c>
      <c r="G80" s="3301"/>
      <c r="H80" s="3301" t="s">
        <v>3591</v>
      </c>
      <c r="I80" s="3302">
        <v>45443</v>
      </c>
      <c r="J80" s="3302">
        <f t="shared" si="1"/>
        <v>45263</v>
      </c>
      <c r="K80" s="3304" t="s">
        <v>3238</v>
      </c>
      <c r="L80" s="3304" t="s">
        <v>3257</v>
      </c>
      <c r="M80" s="3265">
        <v>58600.75</v>
      </c>
      <c r="N80" s="3265">
        <f>M80*4</f>
        <v>234403</v>
      </c>
      <c r="O80" s="3261" t="s">
        <v>3372</v>
      </c>
      <c r="P80" s="3745"/>
      <c r="Q80" s="3257">
        <v>83566.75</v>
      </c>
    </row>
    <row r="81" spans="1:20" s="3277" customFormat="1">
      <c r="A81" s="3269"/>
      <c r="B81" s="3269" t="s">
        <v>3592</v>
      </c>
      <c r="C81" s="3291" t="s">
        <v>3593</v>
      </c>
      <c r="D81" s="3291" t="s">
        <v>3594</v>
      </c>
      <c r="E81" s="3291" t="s">
        <v>3595</v>
      </c>
      <c r="F81" s="3291" t="s">
        <v>3596</v>
      </c>
      <c r="G81" s="3291"/>
      <c r="H81" s="3291" t="s">
        <v>3597</v>
      </c>
      <c r="I81" s="3292">
        <v>45169</v>
      </c>
      <c r="J81" s="3292">
        <f t="shared" si="1"/>
        <v>44989</v>
      </c>
      <c r="K81" s="3297" t="s">
        <v>3238</v>
      </c>
      <c r="L81" s="3297" t="s">
        <v>3257</v>
      </c>
      <c r="M81" s="3273">
        <v>60225</v>
      </c>
      <c r="N81" s="3273">
        <f>M81*6+20075</f>
        <v>381425</v>
      </c>
      <c r="O81" s="3269" t="s">
        <v>3269</v>
      </c>
      <c r="P81" s="3293">
        <v>440</v>
      </c>
      <c r="Q81" s="3305">
        <v>80300</v>
      </c>
      <c r="R81" s="3276">
        <f>ROUND(N81/P81/365/2,2)</f>
        <v>1.19</v>
      </c>
      <c r="S81" s="3276"/>
    </row>
    <row r="82" spans="1:20" s="3277" customFormat="1">
      <c r="A82" s="3269"/>
      <c r="B82" s="3269" t="s">
        <v>3598</v>
      </c>
      <c r="C82" s="3291" t="s">
        <v>3599</v>
      </c>
      <c r="D82" s="3291" t="s">
        <v>3600</v>
      </c>
      <c r="E82" s="3291" t="s">
        <v>3601</v>
      </c>
      <c r="F82" s="3291" t="s">
        <v>3602</v>
      </c>
      <c r="G82" s="3291"/>
      <c r="H82" s="3291" t="s">
        <v>3603</v>
      </c>
      <c r="I82" s="3292">
        <v>45375</v>
      </c>
      <c r="J82" s="3292">
        <f t="shared" si="1"/>
        <v>45195</v>
      </c>
      <c r="K82" s="3297" t="s">
        <v>3238</v>
      </c>
      <c r="L82" s="3297" t="s">
        <v>3257</v>
      </c>
      <c r="M82" s="3273">
        <v>10347.75</v>
      </c>
      <c r="N82" s="3273">
        <f>M82*8</f>
        <v>82782</v>
      </c>
      <c r="O82" s="3269" t="s">
        <v>3317</v>
      </c>
      <c r="P82" s="3315">
        <v>60</v>
      </c>
      <c r="Q82" s="3305">
        <v>14782.5</v>
      </c>
      <c r="R82" s="3276">
        <f>ROUND(N82/P82/36/25,2)</f>
        <v>1.53</v>
      </c>
      <c r="S82" s="3276"/>
    </row>
    <row r="83" spans="1:20" s="3277" customFormat="1">
      <c r="A83" s="3269"/>
      <c r="B83" s="3269" t="s">
        <v>3604</v>
      </c>
      <c r="C83" s="3291" t="s">
        <v>3605</v>
      </c>
      <c r="D83" s="3291" t="s">
        <v>3606</v>
      </c>
      <c r="E83" s="3291" t="s">
        <v>3607</v>
      </c>
      <c r="F83" s="3291" t="s">
        <v>3608</v>
      </c>
      <c r="G83" s="3291"/>
      <c r="H83" s="3291" t="s">
        <v>3609</v>
      </c>
      <c r="I83" s="3292">
        <v>45169</v>
      </c>
      <c r="J83" s="3292">
        <f t="shared" si="1"/>
        <v>44989</v>
      </c>
      <c r="K83" s="3297" t="s">
        <v>3238</v>
      </c>
      <c r="L83" s="3297" t="s">
        <v>3257</v>
      </c>
      <c r="M83" s="3273">
        <v>37230</v>
      </c>
      <c r="N83" s="3273">
        <f>M83*4+12410+24820</f>
        <v>186150</v>
      </c>
      <c r="O83" s="3269" t="s">
        <v>3269</v>
      </c>
      <c r="P83" s="3293">
        <v>272</v>
      </c>
      <c r="Q83" s="3305">
        <v>49640</v>
      </c>
      <c r="R83" s="3276">
        <f>ROUND(N83/P83/518,2)</f>
        <v>1.32</v>
      </c>
      <c r="S83" s="3276"/>
    </row>
    <row r="84" spans="1:20" s="3277" customFormat="1">
      <c r="A84" s="3269"/>
      <c r="B84" s="3269" t="s">
        <v>3610</v>
      </c>
      <c r="C84" s="3291" t="s">
        <v>3611</v>
      </c>
      <c r="D84" s="3291" t="s">
        <v>3612</v>
      </c>
      <c r="E84" s="3291" t="s">
        <v>3613</v>
      </c>
      <c r="F84" s="3291" t="s">
        <v>3608</v>
      </c>
      <c r="G84" s="3291"/>
      <c r="H84" s="3291" t="s">
        <v>3614</v>
      </c>
      <c r="I84" s="3292">
        <v>45382</v>
      </c>
      <c r="J84" s="3292">
        <f t="shared" si="1"/>
        <v>45202</v>
      </c>
      <c r="K84" s="3297" t="s">
        <v>3238</v>
      </c>
      <c r="L84" s="3297" t="s">
        <v>3257</v>
      </c>
      <c r="M84" s="3273">
        <v>39372.550000000003</v>
      </c>
      <c r="N84" s="3273">
        <f t="shared" ref="N84:N92" si="2">M84*4</f>
        <v>157490.20000000001</v>
      </c>
      <c r="O84" s="3269" t="s">
        <v>3276</v>
      </c>
      <c r="P84" s="3737">
        <v>268</v>
      </c>
      <c r="Q84" s="3305">
        <v>56246.5</v>
      </c>
      <c r="R84" s="3276">
        <f>ROUND(N84/P84/365,2)</f>
        <v>1.61</v>
      </c>
      <c r="S84" s="3276"/>
    </row>
    <row r="85" spans="1:20">
      <c r="A85" s="3261"/>
      <c r="B85" s="3261" t="s">
        <v>3610</v>
      </c>
      <c r="C85" s="3301" t="s">
        <v>3611</v>
      </c>
      <c r="D85" s="3301" t="s">
        <v>3612</v>
      </c>
      <c r="E85" s="3301" t="s">
        <v>3613</v>
      </c>
      <c r="F85" s="3301" t="s">
        <v>3608</v>
      </c>
      <c r="G85" s="3301"/>
      <c r="H85" s="3301" t="s">
        <v>3615</v>
      </c>
      <c r="I85" s="3302">
        <v>45382</v>
      </c>
      <c r="J85" s="3292">
        <f t="shared" si="1"/>
        <v>45202</v>
      </c>
      <c r="K85" s="3304" t="s">
        <v>3238</v>
      </c>
      <c r="L85" s="3304" t="s">
        <v>3257</v>
      </c>
      <c r="M85" s="3265">
        <v>41328.949999999997</v>
      </c>
      <c r="N85" s="3265">
        <f t="shared" si="2"/>
        <v>165315.79999999999</v>
      </c>
      <c r="O85" s="3261" t="s">
        <v>3372</v>
      </c>
      <c r="P85" s="3739"/>
      <c r="Q85" s="3257">
        <v>58936.55</v>
      </c>
    </row>
    <row r="86" spans="1:20" s="3277" customFormat="1">
      <c r="A86" s="3269"/>
      <c r="B86" s="3269" t="s">
        <v>3616</v>
      </c>
      <c r="C86" s="3291" t="s">
        <v>3617</v>
      </c>
      <c r="D86" s="3291" t="s">
        <v>3264</v>
      </c>
      <c r="E86" s="3291" t="s">
        <v>3618</v>
      </c>
      <c r="F86" s="3291" t="s">
        <v>3619</v>
      </c>
      <c r="G86" s="3291" t="s">
        <v>3620</v>
      </c>
      <c r="H86" s="3291" t="s">
        <v>3621</v>
      </c>
      <c r="I86" s="3292">
        <v>45408</v>
      </c>
      <c r="J86" s="3292">
        <f t="shared" si="1"/>
        <v>45228</v>
      </c>
      <c r="K86" s="3297" t="s">
        <v>3238</v>
      </c>
      <c r="L86" s="3297" t="s">
        <v>3257</v>
      </c>
      <c r="M86" s="3273">
        <v>4243.13</v>
      </c>
      <c r="N86" s="3273">
        <f t="shared" si="2"/>
        <v>16972.52</v>
      </c>
      <c r="O86" s="3269" t="s">
        <v>3269</v>
      </c>
      <c r="P86" s="3737">
        <v>31</v>
      </c>
      <c r="Q86" s="3305">
        <v>5940.38</v>
      </c>
      <c r="R86" s="3276">
        <f>ROUND(N86/P86/365,2)</f>
        <v>1.5</v>
      </c>
      <c r="S86" s="3276"/>
    </row>
    <row r="87" spans="1:20">
      <c r="A87" s="3261"/>
      <c r="B87" s="3261" t="s">
        <v>3616</v>
      </c>
      <c r="C87" s="3301" t="s">
        <v>3617</v>
      </c>
      <c r="D87" s="3301" t="s">
        <v>3264</v>
      </c>
      <c r="E87" s="3301" t="s">
        <v>3618</v>
      </c>
      <c r="F87" s="3301" t="s">
        <v>3619</v>
      </c>
      <c r="G87" s="3301"/>
      <c r="H87" s="3301" t="s">
        <v>3622</v>
      </c>
      <c r="I87" s="3302">
        <v>45408</v>
      </c>
      <c r="J87" s="3292">
        <f t="shared" si="1"/>
        <v>45228</v>
      </c>
      <c r="K87" s="3304" t="s">
        <v>3238</v>
      </c>
      <c r="L87" s="3304" t="s">
        <v>3257</v>
      </c>
      <c r="M87" s="3265">
        <v>4469.43</v>
      </c>
      <c r="N87" s="3265">
        <f t="shared" si="2"/>
        <v>17877.72</v>
      </c>
      <c r="O87" s="3261" t="s">
        <v>3337</v>
      </c>
      <c r="P87" s="3739"/>
      <c r="Q87" s="3257">
        <v>6251.54</v>
      </c>
    </row>
    <row r="88" spans="1:20" s="3357" customFormat="1">
      <c r="A88" s="3352"/>
      <c r="B88" s="3352" t="s">
        <v>3623</v>
      </c>
      <c r="C88" s="3353" t="s">
        <v>3624</v>
      </c>
      <c r="D88" s="3353" t="s">
        <v>3450</v>
      </c>
      <c r="E88" s="3353" t="s">
        <v>3625</v>
      </c>
      <c r="F88" s="3353" t="s">
        <v>3626</v>
      </c>
      <c r="G88" s="3353" t="s">
        <v>3627</v>
      </c>
      <c r="H88" s="3353" t="s">
        <v>3628</v>
      </c>
      <c r="I88" s="3354">
        <v>46599</v>
      </c>
      <c r="J88" s="3354">
        <f t="shared" si="1"/>
        <v>46419</v>
      </c>
      <c r="K88" s="3353" t="s">
        <v>3238</v>
      </c>
      <c r="L88" s="3353" t="s">
        <v>3257</v>
      </c>
      <c r="M88" s="3355">
        <v>91467.72</v>
      </c>
      <c r="N88" s="3355">
        <f t="shared" si="2"/>
        <v>365870.88</v>
      </c>
      <c r="O88" s="3352" t="s">
        <v>3276</v>
      </c>
      <c r="P88" s="3737">
        <v>622.6</v>
      </c>
      <c r="Q88" s="3359">
        <v>130668.18</v>
      </c>
      <c r="R88" s="3356">
        <f>ROUND(N88/P88/365,2)</f>
        <v>1.61</v>
      </c>
      <c r="S88" s="3356">
        <v>1.61</v>
      </c>
    </row>
    <row r="89" spans="1:20">
      <c r="A89" s="3261"/>
      <c r="B89" s="3261" t="s">
        <v>3623</v>
      </c>
      <c r="C89" s="3301" t="s">
        <v>3624</v>
      </c>
      <c r="D89" s="3301" t="s">
        <v>3450</v>
      </c>
      <c r="E89" s="3301" t="s">
        <v>3625</v>
      </c>
      <c r="F89" s="3301" t="s">
        <v>3626</v>
      </c>
      <c r="G89" s="3301" t="s">
        <v>3629</v>
      </c>
      <c r="H89" s="3301" t="s">
        <v>3630</v>
      </c>
      <c r="I89" s="3302">
        <v>46599</v>
      </c>
      <c r="J89" s="3292">
        <f t="shared" si="1"/>
        <v>46419</v>
      </c>
      <c r="K89" s="3304" t="s">
        <v>3238</v>
      </c>
      <c r="L89" s="3304" t="s">
        <v>3257</v>
      </c>
      <c r="M89" s="3265">
        <v>96012.7</v>
      </c>
      <c r="N89" s="3265">
        <f t="shared" si="2"/>
        <v>384050.8</v>
      </c>
      <c r="O89" s="3261" t="s">
        <v>3372</v>
      </c>
      <c r="P89" s="3738"/>
      <c r="Q89" s="3257">
        <v>136917.53</v>
      </c>
      <c r="T89" s="3351">
        <f>ROUND(1.69/1.61-1,2)</f>
        <v>0.05</v>
      </c>
    </row>
    <row r="90" spans="1:20">
      <c r="A90" s="3261"/>
      <c r="B90" s="3261" t="s">
        <v>3623</v>
      </c>
      <c r="C90" s="3301" t="s">
        <v>3624</v>
      </c>
      <c r="D90" s="3301" t="s">
        <v>3450</v>
      </c>
      <c r="E90" s="3301" t="s">
        <v>3625</v>
      </c>
      <c r="F90" s="3301" t="s">
        <v>3626</v>
      </c>
      <c r="G90" s="3301"/>
      <c r="H90" s="3301" t="s">
        <v>3631</v>
      </c>
      <c r="I90" s="3302">
        <v>46599</v>
      </c>
      <c r="J90" s="3292">
        <f t="shared" si="1"/>
        <v>46419</v>
      </c>
      <c r="K90" s="3304" t="s">
        <v>3238</v>
      </c>
      <c r="L90" s="3304" t="s">
        <v>3257</v>
      </c>
      <c r="M90" s="3265">
        <v>100557.68</v>
      </c>
      <c r="N90" s="3265">
        <f t="shared" si="2"/>
        <v>402230.72</v>
      </c>
      <c r="O90" s="3261" t="s">
        <v>3632</v>
      </c>
      <c r="P90" s="3738"/>
      <c r="Q90" s="3257">
        <v>143735</v>
      </c>
      <c r="T90" s="3351">
        <f>ROUND(1.77/1.69-1,2)</f>
        <v>0.05</v>
      </c>
    </row>
    <row r="91" spans="1:20">
      <c r="A91" s="3261"/>
      <c r="B91" s="3261" t="s">
        <v>3623</v>
      </c>
      <c r="C91" s="3301" t="s">
        <v>3624</v>
      </c>
      <c r="D91" s="3301" t="s">
        <v>3450</v>
      </c>
      <c r="E91" s="3301" t="s">
        <v>3625</v>
      </c>
      <c r="F91" s="3301" t="s">
        <v>3626</v>
      </c>
      <c r="G91" s="3301"/>
      <c r="H91" s="3301" t="s">
        <v>3633</v>
      </c>
      <c r="I91" s="3302">
        <v>46599</v>
      </c>
      <c r="J91" s="3292">
        <f t="shared" si="1"/>
        <v>46419</v>
      </c>
      <c r="K91" s="3304" t="s">
        <v>3238</v>
      </c>
      <c r="L91" s="3304" t="s">
        <v>3257</v>
      </c>
      <c r="M91" s="3265">
        <v>105670.79</v>
      </c>
      <c r="N91" s="3265">
        <f t="shared" si="2"/>
        <v>422683.16</v>
      </c>
      <c r="O91" s="3261" t="s">
        <v>3634</v>
      </c>
      <c r="P91" s="3738"/>
      <c r="Q91" s="3257">
        <v>151120.59</v>
      </c>
      <c r="T91" s="3351">
        <f>ROUND(1.86/1.77-1,2)</f>
        <v>0.05</v>
      </c>
    </row>
    <row r="92" spans="1:20">
      <c r="A92" s="3261"/>
      <c r="B92" s="3261" t="s">
        <v>3623</v>
      </c>
      <c r="C92" s="3301" t="s">
        <v>3624</v>
      </c>
      <c r="D92" s="3301" t="s">
        <v>3450</v>
      </c>
      <c r="E92" s="3301" t="s">
        <v>3625</v>
      </c>
      <c r="F92" s="3301" t="s">
        <v>3626</v>
      </c>
      <c r="G92" s="3301"/>
      <c r="H92" s="3301" t="s">
        <v>3635</v>
      </c>
      <c r="I92" s="3302">
        <v>46599</v>
      </c>
      <c r="J92" s="3292">
        <f t="shared" si="1"/>
        <v>46419</v>
      </c>
      <c r="K92" s="3304" t="s">
        <v>3238</v>
      </c>
      <c r="L92" s="3304" t="s">
        <v>3257</v>
      </c>
      <c r="M92" s="3265">
        <v>110783.89</v>
      </c>
      <c r="N92" s="3265">
        <f t="shared" si="2"/>
        <v>443135.56</v>
      </c>
      <c r="O92" s="3261" t="s">
        <v>3636</v>
      </c>
      <c r="P92" s="3739"/>
      <c r="Q92" s="3257">
        <v>158506.18</v>
      </c>
      <c r="T92" s="3351">
        <f>ROUND(1.95/1.86-1,2)</f>
        <v>0.05</v>
      </c>
    </row>
    <row r="93" spans="1:20" s="3277" customFormat="1">
      <c r="A93" s="3269"/>
      <c r="B93" s="3269" t="s">
        <v>3637</v>
      </c>
      <c r="C93" s="3291" t="s">
        <v>3638</v>
      </c>
      <c r="D93" s="3291" t="s">
        <v>3639</v>
      </c>
      <c r="E93" s="3291" t="s">
        <v>3640</v>
      </c>
      <c r="F93" s="3291" t="s">
        <v>3641</v>
      </c>
      <c r="G93" s="3291"/>
      <c r="H93" s="3291" t="s">
        <v>3642</v>
      </c>
      <c r="I93" s="3292">
        <v>45388</v>
      </c>
      <c r="J93" s="3292">
        <f t="shared" si="1"/>
        <v>45208</v>
      </c>
      <c r="K93" s="3270" t="s">
        <v>3238</v>
      </c>
      <c r="L93" s="3297" t="s">
        <v>3303</v>
      </c>
      <c r="M93" s="3273">
        <v>20196</v>
      </c>
      <c r="N93" s="3273">
        <f>M93*2</f>
        <v>40392</v>
      </c>
      <c r="O93" s="3269" t="s">
        <v>3553</v>
      </c>
      <c r="P93" s="3293">
        <v>22</v>
      </c>
      <c r="Q93" s="3305">
        <v>2402.4</v>
      </c>
      <c r="R93" s="3276">
        <f>ROUND(N93/P93/365/2,2)</f>
        <v>2.52</v>
      </c>
      <c r="S93" s="3276"/>
    </row>
    <row r="94" spans="1:20" s="3277" customFormat="1">
      <c r="A94" s="3269"/>
      <c r="B94" s="3269" t="s">
        <v>3643</v>
      </c>
      <c r="C94" s="3291" t="s">
        <v>3644</v>
      </c>
      <c r="D94" s="3291" t="s">
        <v>3645</v>
      </c>
      <c r="E94" s="3291" t="s">
        <v>3646</v>
      </c>
      <c r="F94" s="3291" t="s">
        <v>3641</v>
      </c>
      <c r="G94" s="3291"/>
      <c r="H94" s="3291" t="s">
        <v>3647</v>
      </c>
      <c r="I94" s="3292">
        <v>45025</v>
      </c>
      <c r="J94" s="3292">
        <f t="shared" si="1"/>
        <v>44845</v>
      </c>
      <c r="K94" s="3297" t="s">
        <v>3238</v>
      </c>
      <c r="L94" s="3297" t="s">
        <v>3257</v>
      </c>
      <c r="M94" s="3273">
        <v>10080</v>
      </c>
      <c r="N94" s="3273">
        <f>M94*4</f>
        <v>40320</v>
      </c>
      <c r="O94" s="3269" t="s">
        <v>3310</v>
      </c>
      <c r="P94" s="3293">
        <v>64</v>
      </c>
      <c r="Q94" s="3305">
        <v>14400</v>
      </c>
      <c r="R94" s="3276">
        <f t="shared" ref="R94:R95" si="3">ROUND(N94/P94/365,2)</f>
        <v>1.73</v>
      </c>
      <c r="S94" s="3276"/>
    </row>
    <row r="95" spans="1:20" s="3277" customFormat="1">
      <c r="A95" s="3269"/>
      <c r="B95" s="3269" t="s">
        <v>3318</v>
      </c>
      <c r="C95" s="3291" t="s">
        <v>3648</v>
      </c>
      <c r="D95" s="3291" t="s">
        <v>3505</v>
      </c>
      <c r="E95" s="3316" t="s">
        <v>3649</v>
      </c>
      <c r="F95" s="3291" t="s">
        <v>3650</v>
      </c>
      <c r="G95" s="3291" t="s">
        <v>3651</v>
      </c>
      <c r="H95" s="3291" t="s">
        <v>3652</v>
      </c>
      <c r="I95" s="3292">
        <v>45164</v>
      </c>
      <c r="J95" s="3292">
        <f t="shared" si="1"/>
        <v>44984</v>
      </c>
      <c r="K95" s="3297" t="s">
        <v>3238</v>
      </c>
      <c r="L95" s="3297" t="s">
        <v>3257</v>
      </c>
      <c r="M95" s="3273">
        <v>7371</v>
      </c>
      <c r="N95" s="3273">
        <f>M95*4</f>
        <v>29484</v>
      </c>
      <c r="O95" s="3269" t="s">
        <v>3404</v>
      </c>
      <c r="P95" s="3293">
        <v>45</v>
      </c>
      <c r="Q95" s="3317">
        <v>10530</v>
      </c>
      <c r="R95" s="3276">
        <f t="shared" si="3"/>
        <v>1.8</v>
      </c>
      <c r="S95" s="3276"/>
    </row>
    <row r="96" spans="1:20" s="3277" customFormat="1">
      <c r="A96" s="3269"/>
      <c r="B96" s="3269" t="s">
        <v>3653</v>
      </c>
      <c r="C96" s="3291" t="s">
        <v>3654</v>
      </c>
      <c r="D96" s="3269" t="s">
        <v>3655</v>
      </c>
      <c r="E96" s="3316" t="s">
        <v>3656</v>
      </c>
      <c r="F96" s="3291" t="s">
        <v>3657</v>
      </c>
      <c r="G96" s="3291"/>
      <c r="H96" s="3291" t="s">
        <v>3658</v>
      </c>
      <c r="I96" s="3292">
        <v>45445</v>
      </c>
      <c r="J96" s="3292">
        <f t="shared" si="1"/>
        <v>45265</v>
      </c>
      <c r="K96" s="3270" t="s">
        <v>3238</v>
      </c>
      <c r="L96" s="3291" t="s">
        <v>3303</v>
      </c>
      <c r="M96" s="3273">
        <v>15120</v>
      </c>
      <c r="N96" s="3273">
        <f>M96*2</f>
        <v>30240</v>
      </c>
      <c r="O96" s="3269" t="s">
        <v>3659</v>
      </c>
      <c r="P96" s="3293">
        <v>10</v>
      </c>
      <c r="Q96" s="3317">
        <v>1800</v>
      </c>
      <c r="R96" s="3276">
        <f>ROUND(N96/P96/365/2,2)</f>
        <v>4.1399999999999997</v>
      </c>
      <c r="S96" s="3276"/>
    </row>
    <row r="97" spans="1:20" s="3277" customFormat="1">
      <c r="A97" s="3269"/>
      <c r="B97" s="3269" t="s">
        <v>3660</v>
      </c>
      <c r="C97" s="3291" t="s">
        <v>3661</v>
      </c>
      <c r="D97" s="3291" t="s">
        <v>3662</v>
      </c>
      <c r="E97" s="3316" t="s">
        <v>3663</v>
      </c>
      <c r="F97" s="3291" t="s">
        <v>3657</v>
      </c>
      <c r="G97" s="3291"/>
      <c r="H97" s="3291" t="s">
        <v>3658</v>
      </c>
      <c r="I97" s="3292">
        <v>45445</v>
      </c>
      <c r="J97" s="3292">
        <f t="shared" si="1"/>
        <v>45265</v>
      </c>
      <c r="K97" s="3270" t="s">
        <v>3238</v>
      </c>
      <c r="L97" s="3291" t="s">
        <v>3303</v>
      </c>
      <c r="M97" s="3273">
        <v>15120</v>
      </c>
      <c r="N97" s="3273">
        <f>M97*2</f>
        <v>30240</v>
      </c>
      <c r="O97" s="3269" t="s">
        <v>3659</v>
      </c>
      <c r="P97" s="3293">
        <v>10</v>
      </c>
      <c r="Q97" s="3317">
        <v>1800</v>
      </c>
      <c r="R97" s="3276">
        <f>ROUND(N97/P97/365/2,2)</f>
        <v>4.1399999999999997</v>
      </c>
      <c r="S97" s="3276"/>
    </row>
    <row r="98" spans="1:20" s="3277" customFormat="1">
      <c r="A98" s="3269"/>
      <c r="B98" s="3269" t="s">
        <v>3664</v>
      </c>
      <c r="C98" s="3291" t="s">
        <v>3665</v>
      </c>
      <c r="D98" s="3270" t="s">
        <v>3666</v>
      </c>
      <c r="E98" s="3316" t="s">
        <v>3667</v>
      </c>
      <c r="F98" s="3291" t="s">
        <v>3668</v>
      </c>
      <c r="G98" s="3291"/>
      <c r="H98" s="3291" t="s">
        <v>3669</v>
      </c>
      <c r="I98" s="3292">
        <v>45449</v>
      </c>
      <c r="J98" s="3292">
        <f t="shared" si="1"/>
        <v>45269</v>
      </c>
      <c r="K98" s="3297" t="s">
        <v>3238</v>
      </c>
      <c r="L98" s="3297" t="s">
        <v>3257</v>
      </c>
      <c r="M98" s="3273">
        <v>9185.4</v>
      </c>
      <c r="N98" s="3273">
        <f>M98*4</f>
        <v>36741.599999999999</v>
      </c>
      <c r="O98" s="3269" t="s">
        <v>3317</v>
      </c>
      <c r="P98" s="3737">
        <v>54</v>
      </c>
      <c r="Q98" s="3317">
        <v>13122</v>
      </c>
      <c r="R98" s="3276">
        <f>ROUND(N98/P98/365,2)</f>
        <v>1.86</v>
      </c>
      <c r="S98" s="3276"/>
    </row>
    <row r="99" spans="1:20">
      <c r="A99" s="3261"/>
      <c r="B99" s="3261" t="s">
        <v>3664</v>
      </c>
      <c r="C99" s="3301" t="s">
        <v>3665</v>
      </c>
      <c r="D99" s="3262" t="s">
        <v>3666</v>
      </c>
      <c r="E99" s="3318" t="s">
        <v>3667</v>
      </c>
      <c r="F99" s="3301" t="s">
        <v>3668</v>
      </c>
      <c r="G99" s="3301"/>
      <c r="H99" s="3301" t="s">
        <v>3670</v>
      </c>
      <c r="I99" s="3302">
        <v>45449</v>
      </c>
      <c r="J99" s="3302">
        <f t="shared" si="1"/>
        <v>45269</v>
      </c>
      <c r="K99" s="3304" t="s">
        <v>3238</v>
      </c>
      <c r="L99" s="3304" t="s">
        <v>3257</v>
      </c>
      <c r="M99" s="3265">
        <v>9622.7999999999993</v>
      </c>
      <c r="N99" s="3265">
        <f>M99*4</f>
        <v>38491.199999999997</v>
      </c>
      <c r="O99" s="3261" t="s">
        <v>3581</v>
      </c>
      <c r="P99" s="3739"/>
      <c r="Q99" s="3319">
        <v>13753.8</v>
      </c>
      <c r="T99" s="3351">
        <f>ROUND(1.98/1.89-1,2)</f>
        <v>0.05</v>
      </c>
    </row>
    <row r="100" spans="1:20" s="3357" customFormat="1">
      <c r="A100" s="3352"/>
      <c r="B100" s="3352" t="s">
        <v>3671</v>
      </c>
      <c r="C100" s="3353" t="s">
        <v>3672</v>
      </c>
      <c r="D100" s="3353" t="s">
        <v>3450</v>
      </c>
      <c r="E100" s="3362" t="s">
        <v>3673</v>
      </c>
      <c r="F100" s="3353" t="s">
        <v>3674</v>
      </c>
      <c r="G100" s="3353"/>
      <c r="H100" s="3353" t="s">
        <v>3675</v>
      </c>
      <c r="I100" s="3354">
        <v>46531</v>
      </c>
      <c r="J100" s="3354">
        <f t="shared" si="1"/>
        <v>46351</v>
      </c>
      <c r="K100" s="3353" t="s">
        <v>3238</v>
      </c>
      <c r="L100" s="3353" t="s">
        <v>3257</v>
      </c>
      <c r="M100" s="3355">
        <v>39009.379999999997</v>
      </c>
      <c r="N100" s="3355">
        <f>M100*8</f>
        <v>312075.03999999998</v>
      </c>
      <c r="O100" s="3352" t="s">
        <v>3455</v>
      </c>
      <c r="P100" s="3737">
        <v>285</v>
      </c>
      <c r="Q100" s="3363">
        <v>54613.13</v>
      </c>
      <c r="R100" s="3356">
        <f>ROUND(N100/P100/365/2,2)</f>
        <v>1.5</v>
      </c>
      <c r="S100" s="3356">
        <v>1.5</v>
      </c>
    </row>
    <row r="101" spans="1:20">
      <c r="A101" s="3261"/>
      <c r="B101" s="3261" t="s">
        <v>3671</v>
      </c>
      <c r="C101" s="3301" t="s">
        <v>3672</v>
      </c>
      <c r="D101" s="3301" t="s">
        <v>3450</v>
      </c>
      <c r="E101" s="3318" t="s">
        <v>3673</v>
      </c>
      <c r="F101" s="3301" t="s">
        <v>3674</v>
      </c>
      <c r="G101" s="3301"/>
      <c r="H101" s="3301" t="s">
        <v>3676</v>
      </c>
      <c r="I101" s="3302">
        <v>46531</v>
      </c>
      <c r="J101" s="3302">
        <f t="shared" si="1"/>
        <v>46351</v>
      </c>
      <c r="K101" s="3304" t="s">
        <v>3238</v>
      </c>
      <c r="L101" s="3304" t="s">
        <v>3257</v>
      </c>
      <c r="M101" s="3265">
        <v>41089.879999999997</v>
      </c>
      <c r="N101" s="3265">
        <f>M101*4</f>
        <v>164359.51999999999</v>
      </c>
      <c r="O101" s="3261" t="s">
        <v>3337</v>
      </c>
      <c r="P101" s="3738"/>
      <c r="Q101" s="3319">
        <v>57473.81</v>
      </c>
      <c r="T101" s="3351">
        <f>ROUND(1.58/1.5-1,2)</f>
        <v>0.05</v>
      </c>
    </row>
    <row r="102" spans="1:20">
      <c r="A102" s="3261"/>
      <c r="B102" s="3261" t="s">
        <v>3671</v>
      </c>
      <c r="C102" s="3301" t="s">
        <v>3672</v>
      </c>
      <c r="D102" s="3301" t="s">
        <v>3450</v>
      </c>
      <c r="E102" s="3318" t="s">
        <v>3673</v>
      </c>
      <c r="F102" s="3301" t="s">
        <v>3674</v>
      </c>
      <c r="G102" s="3301"/>
      <c r="H102" s="3301" t="s">
        <v>3677</v>
      </c>
      <c r="I102" s="3302">
        <v>46531</v>
      </c>
      <c r="J102" s="3302">
        <f t="shared" si="1"/>
        <v>46351</v>
      </c>
      <c r="K102" s="3304" t="s">
        <v>3238</v>
      </c>
      <c r="L102" s="3304" t="s">
        <v>3257</v>
      </c>
      <c r="M102" s="3265">
        <v>43170.38</v>
      </c>
      <c r="N102" s="3265">
        <f>M102*4</f>
        <v>172681.52</v>
      </c>
      <c r="O102" s="3261" t="s">
        <v>3460</v>
      </c>
      <c r="P102" s="3738"/>
      <c r="Q102" s="3319">
        <v>60334.5</v>
      </c>
      <c r="T102" s="3351">
        <f>ROUND(1.66/1.58-1,2)</f>
        <v>0.05</v>
      </c>
    </row>
    <row r="103" spans="1:20">
      <c r="A103" s="3261"/>
      <c r="B103" s="3261" t="s">
        <v>3671</v>
      </c>
      <c r="C103" s="3301" t="s">
        <v>3672</v>
      </c>
      <c r="D103" s="3301" t="s">
        <v>3450</v>
      </c>
      <c r="E103" s="3318" t="s">
        <v>3673</v>
      </c>
      <c r="F103" s="3301" t="s">
        <v>3674</v>
      </c>
      <c r="G103" s="3301"/>
      <c r="H103" s="3301" t="s">
        <v>3678</v>
      </c>
      <c r="I103" s="3302">
        <v>46531</v>
      </c>
      <c r="J103" s="3302">
        <f t="shared" ref="J103:J138" si="4">I103-180</f>
        <v>46351</v>
      </c>
      <c r="K103" s="3304" t="s">
        <v>3238</v>
      </c>
      <c r="L103" s="3304" t="s">
        <v>3257</v>
      </c>
      <c r="M103" s="3265">
        <v>45250.879999999997</v>
      </c>
      <c r="N103" s="3265">
        <f>M103*4</f>
        <v>181003.51999999999</v>
      </c>
      <c r="O103" s="3261" t="s">
        <v>3462</v>
      </c>
      <c r="P103" s="3739"/>
      <c r="Q103" s="3319">
        <v>63195.19</v>
      </c>
      <c r="T103" s="3351">
        <f>ROUND(1.74/1.66-1,2)</f>
        <v>0.05</v>
      </c>
    </row>
    <row r="104" spans="1:20" s="3357" customFormat="1">
      <c r="A104" s="3352"/>
      <c r="B104" s="3352" t="s">
        <v>3679</v>
      </c>
      <c r="C104" s="3353" t="s">
        <v>3680</v>
      </c>
      <c r="D104" s="3353" t="s">
        <v>3681</v>
      </c>
      <c r="E104" s="3362" t="s">
        <v>3682</v>
      </c>
      <c r="F104" s="3353" t="s">
        <v>3674</v>
      </c>
      <c r="G104" s="3353"/>
      <c r="H104" s="3353" t="s">
        <v>3675</v>
      </c>
      <c r="I104" s="3354">
        <v>46531</v>
      </c>
      <c r="J104" s="3354">
        <f t="shared" si="4"/>
        <v>46351</v>
      </c>
      <c r="K104" s="3353" t="s">
        <v>3238</v>
      </c>
      <c r="L104" s="3353" t="s">
        <v>3257</v>
      </c>
      <c r="M104" s="3355">
        <v>43800</v>
      </c>
      <c r="N104" s="3355">
        <f>M104*8</f>
        <v>350400</v>
      </c>
      <c r="O104" s="3352" t="s">
        <v>3683</v>
      </c>
      <c r="P104" s="3737">
        <v>300</v>
      </c>
      <c r="Q104" s="3363">
        <v>57487.5</v>
      </c>
      <c r="R104" s="3356">
        <f>ROUND(N104/P104/365/2,2)</f>
        <v>1.6</v>
      </c>
      <c r="S104" s="3356">
        <v>1.6</v>
      </c>
    </row>
    <row r="105" spans="1:20">
      <c r="A105" s="3261"/>
      <c r="B105" s="3261" t="s">
        <v>3679</v>
      </c>
      <c r="C105" s="3301" t="s">
        <v>3680</v>
      </c>
      <c r="D105" s="3301" t="s">
        <v>3681</v>
      </c>
      <c r="E105" s="3318" t="s">
        <v>3682</v>
      </c>
      <c r="F105" s="3301" t="s">
        <v>3674</v>
      </c>
      <c r="G105" s="3301"/>
      <c r="H105" s="3301" t="s">
        <v>3676</v>
      </c>
      <c r="I105" s="3302">
        <v>46531</v>
      </c>
      <c r="J105" s="3302">
        <f t="shared" si="4"/>
        <v>46351</v>
      </c>
      <c r="K105" s="3304" t="s">
        <v>3238</v>
      </c>
      <c r="L105" s="3304" t="s">
        <v>3257</v>
      </c>
      <c r="M105" s="3265">
        <v>45990</v>
      </c>
      <c r="N105" s="3265">
        <f>M105*4</f>
        <v>183960</v>
      </c>
      <c r="O105" s="3261" t="s">
        <v>3532</v>
      </c>
      <c r="P105" s="3738"/>
      <c r="Q105" s="3319">
        <v>60498.75</v>
      </c>
      <c r="T105" s="3351">
        <f>ROUND(1.68/1.6-1,2)</f>
        <v>0.05</v>
      </c>
    </row>
    <row r="106" spans="1:20">
      <c r="A106" s="3261"/>
      <c r="B106" s="3261" t="s">
        <v>3679</v>
      </c>
      <c r="C106" s="3301" t="s">
        <v>3680</v>
      </c>
      <c r="D106" s="3301" t="s">
        <v>3681</v>
      </c>
      <c r="E106" s="3318" t="s">
        <v>3682</v>
      </c>
      <c r="F106" s="3301" t="s">
        <v>3674</v>
      </c>
      <c r="G106" s="3301"/>
      <c r="H106" s="3301" t="s">
        <v>3677</v>
      </c>
      <c r="I106" s="3302">
        <v>46531</v>
      </c>
      <c r="J106" s="3302">
        <f t="shared" si="4"/>
        <v>46351</v>
      </c>
      <c r="K106" s="3304" t="s">
        <v>3238</v>
      </c>
      <c r="L106" s="3304" t="s">
        <v>3257</v>
      </c>
      <c r="M106" s="3265">
        <v>48180</v>
      </c>
      <c r="N106" s="3265">
        <f t="shared" ref="N106:N109" si="5">M106*4</f>
        <v>192720</v>
      </c>
      <c r="O106" s="3261" t="s">
        <v>3684</v>
      </c>
      <c r="P106" s="3738"/>
      <c r="Q106" s="3319">
        <v>63510</v>
      </c>
      <c r="T106" s="3351">
        <f>ROUND(1.76/1.68-1,2)</f>
        <v>0.05</v>
      </c>
    </row>
    <row r="107" spans="1:20">
      <c r="A107" s="3261"/>
      <c r="B107" s="3261" t="s">
        <v>3679</v>
      </c>
      <c r="C107" s="3301" t="s">
        <v>3680</v>
      </c>
      <c r="D107" s="3301" t="s">
        <v>3681</v>
      </c>
      <c r="E107" s="3318" t="s">
        <v>3682</v>
      </c>
      <c r="F107" s="3301" t="s">
        <v>3674</v>
      </c>
      <c r="G107" s="3301"/>
      <c r="H107" s="3301" t="s">
        <v>3678</v>
      </c>
      <c r="I107" s="3302">
        <v>46531</v>
      </c>
      <c r="J107" s="3302">
        <f t="shared" si="4"/>
        <v>46351</v>
      </c>
      <c r="K107" s="3304" t="s">
        <v>3238</v>
      </c>
      <c r="L107" s="3304" t="s">
        <v>3257</v>
      </c>
      <c r="M107" s="3265">
        <v>50643.75</v>
      </c>
      <c r="N107" s="3265">
        <f t="shared" si="5"/>
        <v>202575</v>
      </c>
      <c r="O107" s="3261" t="s">
        <v>3475</v>
      </c>
      <c r="P107" s="3739"/>
      <c r="Q107" s="3319">
        <v>66795</v>
      </c>
      <c r="T107" s="3351">
        <f>ROUND(1.85/1.76-1,2)</f>
        <v>0.05</v>
      </c>
    </row>
    <row r="108" spans="1:20" s="3357" customFormat="1">
      <c r="A108" s="3352"/>
      <c r="B108" s="3352" t="s">
        <v>3685</v>
      </c>
      <c r="C108" s="3353" t="s">
        <v>3686</v>
      </c>
      <c r="D108" s="3353" t="s">
        <v>3687</v>
      </c>
      <c r="E108" s="3362" t="s">
        <v>3688</v>
      </c>
      <c r="F108" s="3353" t="s">
        <v>3689</v>
      </c>
      <c r="G108" s="3353" t="s">
        <v>3690</v>
      </c>
      <c r="H108" s="3353" t="s">
        <v>3691</v>
      </c>
      <c r="I108" s="3354">
        <v>45488</v>
      </c>
      <c r="J108" s="3354">
        <f t="shared" si="4"/>
        <v>45308</v>
      </c>
      <c r="K108" s="3353" t="s">
        <v>3238</v>
      </c>
      <c r="L108" s="3353" t="s">
        <v>3257</v>
      </c>
      <c r="M108" s="3355">
        <v>7971.6</v>
      </c>
      <c r="N108" s="3355">
        <f t="shared" si="5"/>
        <v>31886.400000000001</v>
      </c>
      <c r="O108" s="3352" t="s">
        <v>3404</v>
      </c>
      <c r="P108" s="3737">
        <v>48</v>
      </c>
      <c r="Q108" s="3363">
        <v>11388</v>
      </c>
      <c r="R108" s="3356">
        <f>ROUND(N108/P108/365,2)</f>
        <v>1.82</v>
      </c>
      <c r="S108" s="3356">
        <v>1.82</v>
      </c>
    </row>
    <row r="109" spans="1:20">
      <c r="A109" s="3261"/>
      <c r="B109" s="3261" t="s">
        <v>3685</v>
      </c>
      <c r="C109" s="3301" t="s">
        <v>3686</v>
      </c>
      <c r="D109" s="3301" t="s">
        <v>3687</v>
      </c>
      <c r="E109" s="3318" t="s">
        <v>3688</v>
      </c>
      <c r="F109" s="3301" t="s">
        <v>3689</v>
      </c>
      <c r="G109" s="3301"/>
      <c r="H109" s="3301" t="s">
        <v>3692</v>
      </c>
      <c r="I109" s="3302">
        <v>45488</v>
      </c>
      <c r="J109" s="3302">
        <f t="shared" si="4"/>
        <v>45308</v>
      </c>
      <c r="K109" s="3304" t="s">
        <v>3238</v>
      </c>
      <c r="L109" s="3304" t="s">
        <v>3257</v>
      </c>
      <c r="M109" s="3265">
        <v>8935.7999999999993</v>
      </c>
      <c r="N109" s="3265">
        <f t="shared" si="5"/>
        <v>35743.199999999997</v>
      </c>
      <c r="O109" s="3261" t="s">
        <v>3693</v>
      </c>
      <c r="P109" s="3739"/>
      <c r="Q109" s="3319">
        <v>11957.4</v>
      </c>
      <c r="T109" s="3351">
        <f>ROUND(1.91/1.82-1,2)</f>
        <v>0.05</v>
      </c>
    </row>
    <row r="110" spans="1:20" s="3277" customFormat="1">
      <c r="A110" s="3269"/>
      <c r="B110" s="3269" t="s">
        <v>3694</v>
      </c>
      <c r="C110" s="3291" t="s">
        <v>3695</v>
      </c>
      <c r="D110" s="3291" t="s">
        <v>3696</v>
      </c>
      <c r="E110" s="3316" t="s">
        <v>3697</v>
      </c>
      <c r="F110" s="3291" t="s">
        <v>3698</v>
      </c>
      <c r="G110" s="3291" t="s">
        <v>3699</v>
      </c>
      <c r="H110" s="3291" t="s">
        <v>3700</v>
      </c>
      <c r="I110" s="3292">
        <v>45077</v>
      </c>
      <c r="J110" s="3292">
        <f t="shared" si="4"/>
        <v>44897</v>
      </c>
      <c r="K110" s="3297" t="s">
        <v>3238</v>
      </c>
      <c r="L110" s="3297" t="s">
        <v>3257</v>
      </c>
      <c r="M110" s="3273">
        <v>3781.8</v>
      </c>
      <c r="N110" s="3273">
        <f>M110*3+3361.6</f>
        <v>14707.000000000002</v>
      </c>
      <c r="O110" s="3269" t="s">
        <v>3701</v>
      </c>
      <c r="P110" s="3293">
        <v>11</v>
      </c>
      <c r="Q110" s="3317">
        <v>5405.4</v>
      </c>
      <c r="R110" s="3276">
        <f>ROUND(N110/P110/365,2)</f>
        <v>3.66</v>
      </c>
      <c r="S110" s="3276"/>
    </row>
    <row r="111" spans="1:20" s="3357" customFormat="1">
      <c r="A111" s="3352"/>
      <c r="B111" s="3352" t="s">
        <v>3702</v>
      </c>
      <c r="C111" s="3364" t="s">
        <v>3703</v>
      </c>
      <c r="D111" s="3364" t="s">
        <v>3704</v>
      </c>
      <c r="E111" s="3365" t="s">
        <v>3705</v>
      </c>
      <c r="F111" s="3366" t="s">
        <v>3706</v>
      </c>
      <c r="G111" s="3366"/>
      <c r="H111" s="3366" t="s">
        <v>3707</v>
      </c>
      <c r="I111" s="3354">
        <v>45478</v>
      </c>
      <c r="J111" s="3354">
        <f t="shared" si="4"/>
        <v>45298</v>
      </c>
      <c r="K111" s="3366" t="s">
        <v>3238</v>
      </c>
      <c r="L111" s="3366" t="s">
        <v>3257</v>
      </c>
      <c r="M111" s="3355">
        <v>2835</v>
      </c>
      <c r="N111" s="3355">
        <v>22680</v>
      </c>
      <c r="O111" s="3352" t="s">
        <v>3708</v>
      </c>
      <c r="P111" s="3367">
        <v>10</v>
      </c>
      <c r="Q111" s="3368">
        <v>4050</v>
      </c>
      <c r="R111" s="3356">
        <f>ROUND(N111/P111/365/2,2)</f>
        <v>3.11</v>
      </c>
      <c r="S111" s="3356">
        <v>3.11</v>
      </c>
    </row>
    <row r="112" spans="1:20" s="3357" customFormat="1">
      <c r="A112" s="3352"/>
      <c r="B112" s="3352" t="s">
        <v>3709</v>
      </c>
      <c r="C112" s="3364" t="s">
        <v>3710</v>
      </c>
      <c r="D112" s="3364" t="s">
        <v>3711</v>
      </c>
      <c r="E112" s="3365" t="s">
        <v>3712</v>
      </c>
      <c r="F112" s="3366" t="s">
        <v>3706</v>
      </c>
      <c r="G112" s="3366"/>
      <c r="H112" s="3366" t="s">
        <v>3707</v>
      </c>
      <c r="I112" s="3354">
        <v>45478</v>
      </c>
      <c r="J112" s="3354">
        <f t="shared" si="4"/>
        <v>45298</v>
      </c>
      <c r="K112" s="3366" t="s">
        <v>3238</v>
      </c>
      <c r="L112" s="3366" t="s">
        <v>3257</v>
      </c>
      <c r="M112" s="3355">
        <v>2835</v>
      </c>
      <c r="N112" s="3355">
        <v>22680</v>
      </c>
      <c r="O112" s="3352" t="s">
        <v>3708</v>
      </c>
      <c r="P112" s="3367">
        <v>10</v>
      </c>
      <c r="Q112" s="3368">
        <v>4050</v>
      </c>
      <c r="R112" s="3356">
        <f>ROUND(N112/P112/365/2,2)</f>
        <v>3.11</v>
      </c>
      <c r="S112" s="3356">
        <v>3.11</v>
      </c>
    </row>
    <row r="113" spans="1:20" s="3357" customFormat="1">
      <c r="A113" s="3352"/>
      <c r="B113" s="3352" t="s">
        <v>3713</v>
      </c>
      <c r="C113" s="3364" t="s">
        <v>3714</v>
      </c>
      <c r="D113" s="3360" t="s">
        <v>3715</v>
      </c>
      <c r="E113" s="3369" t="s">
        <v>3716</v>
      </c>
      <c r="F113" s="3353" t="s">
        <v>3717</v>
      </c>
      <c r="G113" s="3353"/>
      <c r="H113" s="3353" t="s">
        <v>3718</v>
      </c>
      <c r="I113" s="3354">
        <v>45482</v>
      </c>
      <c r="J113" s="3354">
        <f t="shared" si="4"/>
        <v>45302</v>
      </c>
      <c r="K113" s="3353" t="s">
        <v>3238</v>
      </c>
      <c r="L113" s="3353" t="s">
        <v>3257</v>
      </c>
      <c r="M113" s="3355">
        <v>5953.5</v>
      </c>
      <c r="N113" s="3355">
        <f>M113*8</f>
        <v>47628</v>
      </c>
      <c r="O113" s="3352" t="s">
        <v>3317</v>
      </c>
      <c r="P113" s="3367">
        <v>35</v>
      </c>
      <c r="Q113" s="3363">
        <v>8505</v>
      </c>
      <c r="R113" s="3356">
        <f>ROUND(N113/P113/365/2,2)</f>
        <v>1.86</v>
      </c>
      <c r="S113" s="3356">
        <v>1.86</v>
      </c>
    </row>
    <row r="114" spans="1:20" s="3357" customFormat="1">
      <c r="A114" s="3352"/>
      <c r="B114" s="3352" t="s">
        <v>3719</v>
      </c>
      <c r="C114" s="3364" t="s">
        <v>3720</v>
      </c>
      <c r="D114" s="3360" t="s">
        <v>3721</v>
      </c>
      <c r="E114" s="3369" t="s">
        <v>3722</v>
      </c>
      <c r="F114" s="3370" t="s">
        <v>3723</v>
      </c>
      <c r="G114" s="3353"/>
      <c r="H114" s="3353" t="s">
        <v>3724</v>
      </c>
      <c r="I114" s="3354">
        <v>45483</v>
      </c>
      <c r="J114" s="3354">
        <f t="shared" si="4"/>
        <v>45303</v>
      </c>
      <c r="K114" s="3353" t="s">
        <v>3238</v>
      </c>
      <c r="L114" s="3353" t="s">
        <v>3239</v>
      </c>
      <c r="M114" s="3355">
        <v>17280</v>
      </c>
      <c r="N114" s="3355">
        <f>M114*2</f>
        <v>34560</v>
      </c>
      <c r="O114" s="3352" t="s">
        <v>3725</v>
      </c>
      <c r="P114" s="3737">
        <v>50</v>
      </c>
      <c r="Q114" s="3363">
        <v>8190</v>
      </c>
      <c r="R114" s="3356">
        <f>ROUND(N114/P114/365,2)</f>
        <v>1.89</v>
      </c>
      <c r="S114" s="3356">
        <v>1.89</v>
      </c>
    </row>
    <row r="115" spans="1:20">
      <c r="A115" s="3261"/>
      <c r="B115" s="3261" t="s">
        <v>3719</v>
      </c>
      <c r="C115" s="3322" t="s">
        <v>3720</v>
      </c>
      <c r="D115" s="3262" t="s">
        <v>3721</v>
      </c>
      <c r="E115" s="3323" t="s">
        <v>3722</v>
      </c>
      <c r="F115" s="3324" t="s">
        <v>3723</v>
      </c>
      <c r="G115" s="3301"/>
      <c r="H115" s="3301" t="s">
        <v>3726</v>
      </c>
      <c r="I115" s="3302">
        <v>45483</v>
      </c>
      <c r="J115" s="3302">
        <f t="shared" si="4"/>
        <v>45303</v>
      </c>
      <c r="K115" s="3304" t="s">
        <v>3238</v>
      </c>
      <c r="L115" s="3301" t="s">
        <v>3239</v>
      </c>
      <c r="M115" s="3265">
        <v>17730</v>
      </c>
      <c r="N115" s="3265">
        <f>M115*2</f>
        <v>35460</v>
      </c>
      <c r="O115" s="3261" t="s">
        <v>3727</v>
      </c>
      <c r="P115" s="3739"/>
      <c r="Q115" s="3319">
        <v>8400</v>
      </c>
      <c r="T115" s="3351">
        <f>ROUND(1.97/1.92-1,2)</f>
        <v>0.03</v>
      </c>
    </row>
    <row r="116" spans="1:20" s="3357" customFormat="1">
      <c r="A116" s="3352"/>
      <c r="B116" s="3352" t="s">
        <v>3728</v>
      </c>
      <c r="C116" s="3364" t="s">
        <v>3729</v>
      </c>
      <c r="D116" s="3360" t="s">
        <v>3730</v>
      </c>
      <c r="E116" s="3369" t="s">
        <v>3731</v>
      </c>
      <c r="F116" s="3370" t="s">
        <v>3723</v>
      </c>
      <c r="G116" s="3353"/>
      <c r="H116" s="3353" t="s">
        <v>3724</v>
      </c>
      <c r="I116" s="3354">
        <v>45483</v>
      </c>
      <c r="J116" s="3354">
        <f t="shared" si="4"/>
        <v>45303</v>
      </c>
      <c r="K116" s="3353" t="s">
        <v>3238</v>
      </c>
      <c r="L116" s="3353" t="s">
        <v>3239</v>
      </c>
      <c r="M116" s="3355">
        <v>15552</v>
      </c>
      <c r="N116" s="3355">
        <f>M116*2</f>
        <v>31104</v>
      </c>
      <c r="O116" s="3352" t="s">
        <v>3725</v>
      </c>
      <c r="P116" s="3737">
        <v>45</v>
      </c>
      <c r="Q116" s="3363">
        <v>7371</v>
      </c>
      <c r="R116" s="3356">
        <f>ROUND(N116/P116/365,2)</f>
        <v>1.89</v>
      </c>
      <c r="S116" s="3356">
        <v>1.89</v>
      </c>
    </row>
    <row r="117" spans="1:20">
      <c r="A117" s="3261"/>
      <c r="B117" s="3261" t="s">
        <v>3728</v>
      </c>
      <c r="C117" s="3322" t="s">
        <v>3729</v>
      </c>
      <c r="D117" s="3262" t="s">
        <v>3730</v>
      </c>
      <c r="E117" s="3323" t="s">
        <v>3731</v>
      </c>
      <c r="F117" s="3324" t="s">
        <v>3723</v>
      </c>
      <c r="G117" s="3301"/>
      <c r="H117" s="3301" t="s">
        <v>3726</v>
      </c>
      <c r="I117" s="3302">
        <v>45483</v>
      </c>
      <c r="J117" s="3302">
        <f t="shared" si="4"/>
        <v>45303</v>
      </c>
      <c r="K117" s="3304" t="s">
        <v>3238</v>
      </c>
      <c r="L117" s="3301" t="s">
        <v>3239</v>
      </c>
      <c r="M117" s="3265">
        <v>15957</v>
      </c>
      <c r="N117" s="3265">
        <f>M117*2</f>
        <v>31914</v>
      </c>
      <c r="O117" s="3261" t="s">
        <v>3727</v>
      </c>
      <c r="P117" s="3739"/>
      <c r="Q117" s="3319">
        <v>7560</v>
      </c>
      <c r="T117" s="3351">
        <f>ROUND(1.97/1.92-1,2)</f>
        <v>0.03</v>
      </c>
    </row>
    <row r="118" spans="1:20" s="3357" customFormat="1">
      <c r="A118" s="3352"/>
      <c r="B118" s="3352" t="s">
        <v>3732</v>
      </c>
      <c r="C118" s="3353" t="s">
        <v>3733</v>
      </c>
      <c r="D118" s="3353" t="s">
        <v>3734</v>
      </c>
      <c r="E118" s="3362" t="s">
        <v>3735</v>
      </c>
      <c r="F118" s="3353" t="s">
        <v>3736</v>
      </c>
      <c r="G118" s="3353" t="s">
        <v>3737</v>
      </c>
      <c r="H118" s="3353" t="s">
        <v>3738</v>
      </c>
      <c r="I118" s="3354">
        <v>45487</v>
      </c>
      <c r="J118" s="3354">
        <f t="shared" si="4"/>
        <v>45307</v>
      </c>
      <c r="K118" s="3353" t="s">
        <v>3238</v>
      </c>
      <c r="L118" s="3353" t="s">
        <v>3257</v>
      </c>
      <c r="M118" s="3355">
        <v>7654.5</v>
      </c>
      <c r="N118" s="3355">
        <f>M118*8</f>
        <v>61236</v>
      </c>
      <c r="O118" s="3352" t="s">
        <v>3317</v>
      </c>
      <c r="P118" s="3367">
        <v>45</v>
      </c>
      <c r="Q118" s="3363">
        <v>10935</v>
      </c>
      <c r="R118" s="3356">
        <f>ROUND(N118/P118/365/2,2)</f>
        <v>1.86</v>
      </c>
      <c r="S118" s="3356">
        <v>1.86</v>
      </c>
    </row>
    <row r="119" spans="1:20" s="3357" customFormat="1">
      <c r="A119" s="3352"/>
      <c r="B119" s="3352" t="s">
        <v>3739</v>
      </c>
      <c r="C119" s="3353" t="s">
        <v>3740</v>
      </c>
      <c r="D119" s="3353" t="s">
        <v>3741</v>
      </c>
      <c r="E119" s="3362" t="s">
        <v>3742</v>
      </c>
      <c r="F119" s="3353" t="s">
        <v>3743</v>
      </c>
      <c r="G119" s="3353"/>
      <c r="H119" s="3353" t="s">
        <v>3744</v>
      </c>
      <c r="I119" s="3354">
        <v>45581</v>
      </c>
      <c r="J119" s="3354">
        <f t="shared" si="4"/>
        <v>45401</v>
      </c>
      <c r="K119" s="3353" t="s">
        <v>3238</v>
      </c>
      <c r="L119" s="3353" t="s">
        <v>3257</v>
      </c>
      <c r="M119" s="3355">
        <v>7971.6</v>
      </c>
      <c r="N119" s="3355">
        <f>M119*8</f>
        <v>63772.800000000003</v>
      </c>
      <c r="O119" s="3352" t="s">
        <v>3404</v>
      </c>
      <c r="P119" s="3371">
        <v>48</v>
      </c>
      <c r="Q119" s="3359">
        <v>11388</v>
      </c>
      <c r="R119" s="3356">
        <f>ROUND(N119/P119/365/2,2)</f>
        <v>1.82</v>
      </c>
      <c r="S119" s="3356">
        <v>1.82</v>
      </c>
    </row>
    <row r="120" spans="1:20" s="3277" customFormat="1">
      <c r="A120" s="3269"/>
      <c r="B120" s="3326" t="s">
        <v>3745</v>
      </c>
      <c r="C120" s="3291" t="s">
        <v>3746</v>
      </c>
      <c r="D120" s="3291" t="s">
        <v>3747</v>
      </c>
      <c r="E120" s="3316" t="s">
        <v>3748</v>
      </c>
      <c r="F120" s="3291" t="s">
        <v>3749</v>
      </c>
      <c r="G120" s="3291"/>
      <c r="H120" s="3291" t="s">
        <v>3750</v>
      </c>
      <c r="I120" s="3292">
        <v>45124</v>
      </c>
      <c r="J120" s="3292">
        <f t="shared" si="4"/>
        <v>44944</v>
      </c>
      <c r="K120" s="3297" t="s">
        <v>3238</v>
      </c>
      <c r="L120" s="3297" t="s">
        <v>3257</v>
      </c>
      <c r="M120" s="3273">
        <v>6463.8</v>
      </c>
      <c r="N120" s="3273">
        <f>M120*3+4227</f>
        <v>23618.400000000001</v>
      </c>
      <c r="O120" s="3269" t="s">
        <v>3317</v>
      </c>
      <c r="P120" s="3325">
        <v>38</v>
      </c>
      <c r="Q120" s="3305">
        <v>9234</v>
      </c>
      <c r="R120" s="3276">
        <f>ROUND(N120/P120/365,2)</f>
        <v>1.7</v>
      </c>
      <c r="S120" s="3276"/>
    </row>
    <row r="121" spans="1:20" s="3277" customFormat="1">
      <c r="A121" s="3269"/>
      <c r="B121" s="3326" t="s">
        <v>3751</v>
      </c>
      <c r="C121" s="3291" t="s">
        <v>3752</v>
      </c>
      <c r="D121" s="3291" t="s">
        <v>3753</v>
      </c>
      <c r="E121" s="3316" t="s">
        <v>3754</v>
      </c>
      <c r="F121" s="3291" t="s">
        <v>3755</v>
      </c>
      <c r="G121" s="3291"/>
      <c r="H121" s="3291" t="s">
        <v>3756</v>
      </c>
      <c r="I121" s="3292">
        <v>45138</v>
      </c>
      <c r="J121" s="3292">
        <f t="shared" si="4"/>
        <v>44958</v>
      </c>
      <c r="K121" s="3297" t="s">
        <v>3238</v>
      </c>
      <c r="L121" s="3297" t="s">
        <v>3257</v>
      </c>
      <c r="M121" s="3273">
        <v>16425</v>
      </c>
      <c r="N121" s="3273">
        <f>M121*4</f>
        <v>65700</v>
      </c>
      <c r="O121" s="3269" t="s">
        <v>3269</v>
      </c>
      <c r="P121" s="3325">
        <v>120</v>
      </c>
      <c r="Q121" s="3305">
        <v>22995</v>
      </c>
      <c r="R121" s="3276">
        <f t="shared" ref="R121:R138" si="6">ROUND(N121/P121/365,2)</f>
        <v>1.5</v>
      </c>
      <c r="S121" s="3276"/>
    </row>
    <row r="122" spans="1:20" s="3277" customFormat="1">
      <c r="A122" s="3269"/>
      <c r="B122" s="3326" t="s">
        <v>3757</v>
      </c>
      <c r="C122" s="3291" t="s">
        <v>3758</v>
      </c>
      <c r="D122" s="3291" t="s">
        <v>3753</v>
      </c>
      <c r="E122" s="3316" t="s">
        <v>3754</v>
      </c>
      <c r="F122" s="3291" t="s">
        <v>3755</v>
      </c>
      <c r="G122" s="3291"/>
      <c r="H122" s="3291" t="s">
        <v>3756</v>
      </c>
      <c r="I122" s="3292">
        <v>45138</v>
      </c>
      <c r="J122" s="3292">
        <f t="shared" si="4"/>
        <v>44958</v>
      </c>
      <c r="K122" s="3297" t="s">
        <v>3238</v>
      </c>
      <c r="L122" s="3297" t="s">
        <v>3257</v>
      </c>
      <c r="M122" s="3273">
        <v>27375</v>
      </c>
      <c r="N122" s="3273">
        <f>M122*4</f>
        <v>109500</v>
      </c>
      <c r="O122" s="3269" t="s">
        <v>3269</v>
      </c>
      <c r="P122" s="3325">
        <v>200</v>
      </c>
      <c r="Q122" s="3305">
        <v>38325</v>
      </c>
      <c r="R122" s="3276">
        <f t="shared" si="6"/>
        <v>1.5</v>
      </c>
      <c r="S122" s="3276"/>
    </row>
    <row r="123" spans="1:20" s="3357" customFormat="1">
      <c r="A123" s="3352"/>
      <c r="B123" s="3352" t="s">
        <v>3759</v>
      </c>
      <c r="C123" s="3353" t="s">
        <v>3760</v>
      </c>
      <c r="D123" s="3353" t="s">
        <v>3747</v>
      </c>
      <c r="E123" s="3362" t="s">
        <v>3761</v>
      </c>
      <c r="F123" s="3353" t="s">
        <v>3762</v>
      </c>
      <c r="G123" s="3353"/>
      <c r="H123" s="3353" t="s">
        <v>3763</v>
      </c>
      <c r="I123" s="3354">
        <v>45508</v>
      </c>
      <c r="J123" s="3354">
        <f t="shared" si="4"/>
        <v>45328</v>
      </c>
      <c r="K123" s="3353" t="s">
        <v>3238</v>
      </c>
      <c r="L123" s="3353" t="s">
        <v>3257</v>
      </c>
      <c r="M123" s="3355">
        <v>19874.25</v>
      </c>
      <c r="N123" s="3355">
        <f>M123*8</f>
        <v>158994</v>
      </c>
      <c r="O123" s="3352" t="s">
        <v>3340</v>
      </c>
      <c r="P123" s="3371">
        <v>132</v>
      </c>
      <c r="Q123" s="3359">
        <v>28305.75</v>
      </c>
      <c r="R123" s="3356">
        <f>ROUND(N123/P123/365/2,2)</f>
        <v>1.65</v>
      </c>
      <c r="S123" s="3356">
        <v>1.65</v>
      </c>
    </row>
    <row r="124" spans="1:20" s="3357" customFormat="1">
      <c r="A124" s="3352"/>
      <c r="B124" s="3352" t="s">
        <v>3764</v>
      </c>
      <c r="C124" s="3353" t="s">
        <v>3765</v>
      </c>
      <c r="D124" s="3353" t="s">
        <v>3766</v>
      </c>
      <c r="E124" s="3362" t="s">
        <v>3767</v>
      </c>
      <c r="F124" s="3353" t="s">
        <v>3768</v>
      </c>
      <c r="G124" s="3353"/>
      <c r="H124" s="3353" t="s">
        <v>3769</v>
      </c>
      <c r="I124" s="3354">
        <v>45555</v>
      </c>
      <c r="J124" s="3354">
        <f t="shared" si="4"/>
        <v>45375</v>
      </c>
      <c r="K124" s="3361" t="s">
        <v>3238</v>
      </c>
      <c r="L124" s="3361" t="s">
        <v>3257</v>
      </c>
      <c r="M124" s="3355">
        <v>7113.6</v>
      </c>
      <c r="N124" s="3355">
        <f>M124*8</f>
        <v>56908.800000000003</v>
      </c>
      <c r="O124" s="3352" t="s">
        <v>3583</v>
      </c>
      <c r="P124" s="3371">
        <v>38</v>
      </c>
      <c r="Q124" s="3359">
        <v>10157.4</v>
      </c>
      <c r="R124" s="3356">
        <f>ROUND(N124/P124/365/2,2)</f>
        <v>2.0499999999999998</v>
      </c>
      <c r="S124" s="3356">
        <v>2.0499999999999998</v>
      </c>
    </row>
    <row r="125" spans="1:20" s="3357" customFormat="1">
      <c r="A125" s="3352"/>
      <c r="B125" s="3352" t="s">
        <v>3770</v>
      </c>
      <c r="C125" s="3353" t="s">
        <v>3771</v>
      </c>
      <c r="D125" s="3353" t="s">
        <v>3772</v>
      </c>
      <c r="E125" s="3362" t="s">
        <v>3773</v>
      </c>
      <c r="F125" s="3353" t="s">
        <v>3774</v>
      </c>
      <c r="G125" s="3353"/>
      <c r="H125" s="3353" t="s">
        <v>3775</v>
      </c>
      <c r="I125" s="3354">
        <v>45590</v>
      </c>
      <c r="J125" s="3354">
        <f t="shared" si="4"/>
        <v>45410</v>
      </c>
      <c r="K125" s="3361" t="s">
        <v>3238</v>
      </c>
      <c r="L125" s="3361" t="s">
        <v>3257</v>
      </c>
      <c r="M125" s="3355">
        <v>6394.5</v>
      </c>
      <c r="N125" s="3355">
        <f>M125*8</f>
        <v>51156</v>
      </c>
      <c r="O125" s="3352" t="s">
        <v>3776</v>
      </c>
      <c r="P125" s="3371">
        <v>35</v>
      </c>
      <c r="Q125" s="3359">
        <v>9135</v>
      </c>
      <c r="R125" s="3356">
        <f>ROUND(N125/P125/365/2,2)</f>
        <v>2</v>
      </c>
      <c r="S125" s="3356">
        <v>2</v>
      </c>
    </row>
    <row r="126" spans="1:20" s="3357" customFormat="1">
      <c r="A126" s="3352"/>
      <c r="B126" s="3352" t="s">
        <v>3777</v>
      </c>
      <c r="C126" s="3353" t="s">
        <v>3778</v>
      </c>
      <c r="D126" s="3353" t="s">
        <v>3779</v>
      </c>
      <c r="E126" s="3362" t="s">
        <v>3780</v>
      </c>
      <c r="F126" s="3353" t="s">
        <v>3781</v>
      </c>
      <c r="G126" s="3353"/>
      <c r="H126" s="3353" t="s">
        <v>3782</v>
      </c>
      <c r="I126" s="3354">
        <v>45518</v>
      </c>
      <c r="J126" s="3354">
        <f t="shared" si="4"/>
        <v>45338</v>
      </c>
      <c r="K126" s="3361" t="s">
        <v>3238</v>
      </c>
      <c r="L126" s="3361" t="s">
        <v>3257</v>
      </c>
      <c r="M126" s="3355">
        <v>201662.5</v>
      </c>
      <c r="N126" s="3355">
        <f>M126*4</f>
        <v>806650</v>
      </c>
      <c r="O126" s="3352" t="s">
        <v>3783</v>
      </c>
      <c r="P126" s="3746">
        <v>1300</v>
      </c>
      <c r="Q126" s="3359">
        <v>287072.5</v>
      </c>
      <c r="R126" s="3356">
        <f t="shared" si="6"/>
        <v>1.7</v>
      </c>
      <c r="S126" s="3356">
        <v>1.7</v>
      </c>
    </row>
    <row r="127" spans="1:20">
      <c r="A127" s="3261"/>
      <c r="B127" s="3327" t="s">
        <v>3777</v>
      </c>
      <c r="C127" s="3301" t="s">
        <v>3778</v>
      </c>
      <c r="D127" s="3301" t="s">
        <v>3779</v>
      </c>
      <c r="E127" s="3318" t="s">
        <v>3780</v>
      </c>
      <c r="F127" s="3301" t="s">
        <v>3781</v>
      </c>
      <c r="G127" s="3301"/>
      <c r="H127" s="3301" t="s">
        <v>3784</v>
      </c>
      <c r="I127" s="3302">
        <v>45518</v>
      </c>
      <c r="J127" s="3302">
        <f t="shared" si="4"/>
        <v>45338</v>
      </c>
      <c r="K127" s="3263" t="s">
        <v>3238</v>
      </c>
      <c r="L127" s="3263" t="s">
        <v>3257</v>
      </c>
      <c r="M127" s="3265">
        <v>212338.75</v>
      </c>
      <c r="N127" s="3265">
        <f>M127*4</f>
        <v>849355</v>
      </c>
      <c r="O127" s="3261" t="s">
        <v>3785</v>
      </c>
      <c r="P127" s="3747"/>
      <c r="Q127" s="3257">
        <v>302493.75</v>
      </c>
      <c r="T127" s="3351">
        <f>ROUND(1.79/1.7-1,2)</f>
        <v>0.05</v>
      </c>
    </row>
    <row r="128" spans="1:20" s="3357" customFormat="1">
      <c r="A128" s="3352"/>
      <c r="B128" s="3352" t="s">
        <v>3786</v>
      </c>
      <c r="C128" s="3353" t="s">
        <v>3787</v>
      </c>
      <c r="D128" s="3360" t="s">
        <v>3788</v>
      </c>
      <c r="E128" s="3369" t="s">
        <v>3789</v>
      </c>
      <c r="F128" s="3353" t="s">
        <v>3790</v>
      </c>
      <c r="G128" s="3353"/>
      <c r="H128" s="3353" t="s">
        <v>3791</v>
      </c>
      <c r="I128" s="3354">
        <v>45497</v>
      </c>
      <c r="J128" s="3354">
        <f t="shared" si="4"/>
        <v>45317</v>
      </c>
      <c r="K128" s="3361" t="s">
        <v>3238</v>
      </c>
      <c r="L128" s="3361" t="s">
        <v>3257</v>
      </c>
      <c r="M128" s="3355">
        <v>5049</v>
      </c>
      <c r="N128" s="3355">
        <f>M128*8</f>
        <v>40392</v>
      </c>
      <c r="O128" s="3352" t="s">
        <v>3553</v>
      </c>
      <c r="P128" s="3371">
        <v>22</v>
      </c>
      <c r="Q128" s="3359">
        <v>7207.2</v>
      </c>
      <c r="R128" s="3356">
        <f>ROUND(N128/P128/365/2,2)</f>
        <v>2.52</v>
      </c>
      <c r="S128" s="3356">
        <v>2.52</v>
      </c>
    </row>
    <row r="129" spans="1:25" s="3277" customFormat="1" ht="27.75" customHeight="1">
      <c r="A129" s="3269"/>
      <c r="B129" s="3326" t="s">
        <v>3792</v>
      </c>
      <c r="C129" s="3291" t="s">
        <v>3793</v>
      </c>
      <c r="D129" s="3291" t="s">
        <v>3794</v>
      </c>
      <c r="E129" s="3316" t="s">
        <v>3795</v>
      </c>
      <c r="F129" s="3291" t="s">
        <v>3796</v>
      </c>
      <c r="G129" s="3291"/>
      <c r="H129" s="3291" t="s">
        <v>3797</v>
      </c>
      <c r="I129" s="3292">
        <v>45291</v>
      </c>
      <c r="J129" s="3292">
        <f t="shared" si="4"/>
        <v>45111</v>
      </c>
      <c r="K129" s="3271" t="s">
        <v>3238</v>
      </c>
      <c r="L129" s="3271" t="s">
        <v>3257</v>
      </c>
      <c r="M129" s="3273">
        <v>243090</v>
      </c>
      <c r="N129" s="3273">
        <f>M129*5+81030</f>
        <v>1296480</v>
      </c>
      <c r="O129" s="3269" t="s">
        <v>3798</v>
      </c>
      <c r="P129" s="3325">
        <v>1665</v>
      </c>
      <c r="Q129" s="3305"/>
      <c r="R129" s="3276">
        <f>ROUND(N129/P129/487,2)</f>
        <v>1.6</v>
      </c>
      <c r="S129" s="3276"/>
    </row>
    <row r="130" spans="1:25" s="3277" customFormat="1" ht="27.75" customHeight="1">
      <c r="A130" s="3269"/>
      <c r="B130" s="3326" t="s">
        <v>3799</v>
      </c>
      <c r="C130" s="3291" t="s">
        <v>3800</v>
      </c>
      <c r="D130" s="3291" t="s">
        <v>3801</v>
      </c>
      <c r="E130" s="3316" t="s">
        <v>3802</v>
      </c>
      <c r="F130" s="3291" t="s">
        <v>3803</v>
      </c>
      <c r="G130" s="3291"/>
      <c r="H130" s="3291" t="s">
        <v>3457</v>
      </c>
      <c r="I130" s="3292">
        <v>45169</v>
      </c>
      <c r="J130" s="3292">
        <f t="shared" si="4"/>
        <v>44989</v>
      </c>
      <c r="K130" s="3271" t="s">
        <v>3238</v>
      </c>
      <c r="L130" s="3271" t="s">
        <v>3257</v>
      </c>
      <c r="M130" s="3273">
        <v>5049</v>
      </c>
      <c r="N130" s="3273">
        <f>M130*4</f>
        <v>20196</v>
      </c>
      <c r="O130" s="3269" t="s">
        <v>3553</v>
      </c>
      <c r="P130" s="3325">
        <v>22</v>
      </c>
      <c r="Q130" s="3328">
        <v>7207.2</v>
      </c>
      <c r="R130" s="3276">
        <f t="shared" si="6"/>
        <v>2.52</v>
      </c>
      <c r="S130" s="3276"/>
    </row>
    <row r="131" spans="1:25" s="3357" customFormat="1" ht="27.75" customHeight="1">
      <c r="A131" s="3352"/>
      <c r="B131" s="3352" t="s">
        <v>3804</v>
      </c>
      <c r="C131" s="3353" t="s">
        <v>3805</v>
      </c>
      <c r="D131" s="3353" t="s">
        <v>3806</v>
      </c>
      <c r="E131" s="3362" t="s">
        <v>3807</v>
      </c>
      <c r="F131" s="3353" t="s">
        <v>3808</v>
      </c>
      <c r="G131" s="3353"/>
      <c r="H131" s="3353" t="s">
        <v>3809</v>
      </c>
      <c r="I131" s="3354">
        <v>45520</v>
      </c>
      <c r="J131" s="3354">
        <f t="shared" si="4"/>
        <v>45340</v>
      </c>
      <c r="K131" s="3361" t="s">
        <v>3238</v>
      </c>
      <c r="L131" s="3361" t="s">
        <v>3257</v>
      </c>
      <c r="M131" s="3355">
        <v>16929</v>
      </c>
      <c r="N131" s="3355">
        <f>M131*8</f>
        <v>135432</v>
      </c>
      <c r="O131" s="3352" t="s">
        <v>3340</v>
      </c>
      <c r="P131" s="3371">
        <v>114</v>
      </c>
      <c r="Q131" s="3359">
        <v>24111</v>
      </c>
      <c r="R131" s="3356">
        <f>ROUND(N131/P131/365/2,2)</f>
        <v>1.63</v>
      </c>
      <c r="S131" s="3356">
        <v>1.63</v>
      </c>
    </row>
    <row r="132" spans="1:25" s="3357" customFormat="1" ht="27.75" customHeight="1">
      <c r="A132" s="3352"/>
      <c r="B132" s="3352" t="s">
        <v>3810</v>
      </c>
      <c r="C132" s="3353" t="s">
        <v>3811</v>
      </c>
      <c r="D132" s="3362" t="s">
        <v>3450</v>
      </c>
      <c r="E132" s="3353" t="s">
        <v>3812</v>
      </c>
      <c r="F132" s="3353" t="s">
        <v>3813</v>
      </c>
      <c r="G132" s="3353"/>
      <c r="H132" s="3372" t="s">
        <v>3814</v>
      </c>
      <c r="I132" s="3354">
        <v>45532</v>
      </c>
      <c r="J132" s="3354">
        <f t="shared" si="4"/>
        <v>45352</v>
      </c>
      <c r="K132" s="3361" t="s">
        <v>3238</v>
      </c>
      <c r="L132" s="3361" t="s">
        <v>3257</v>
      </c>
      <c r="M132" s="3355">
        <v>14844.55</v>
      </c>
      <c r="N132" s="3355">
        <f>M132*4</f>
        <v>59378.2</v>
      </c>
      <c r="O132" s="3352" t="s">
        <v>3815</v>
      </c>
      <c r="P132" s="3742">
        <v>83</v>
      </c>
      <c r="Q132" s="3373">
        <v>21206.5</v>
      </c>
      <c r="R132" s="3356">
        <f t="shared" si="6"/>
        <v>1.96</v>
      </c>
      <c r="S132" s="3356">
        <v>1.96</v>
      </c>
    </row>
    <row r="133" spans="1:25" ht="27.75" customHeight="1">
      <c r="A133" s="3261"/>
      <c r="B133" s="3327" t="s">
        <v>3810</v>
      </c>
      <c r="C133" s="3301" t="s">
        <v>3811</v>
      </c>
      <c r="D133" s="3318" t="s">
        <v>3450</v>
      </c>
      <c r="E133" s="3301" t="s">
        <v>3812</v>
      </c>
      <c r="F133" s="3301" t="s">
        <v>3813</v>
      </c>
      <c r="G133" s="3301"/>
      <c r="H133" s="3301" t="s">
        <v>3816</v>
      </c>
      <c r="I133" s="3302">
        <v>45532</v>
      </c>
      <c r="J133" s="3302">
        <f t="shared" si="4"/>
        <v>45352</v>
      </c>
      <c r="K133" s="3263" t="s">
        <v>3238</v>
      </c>
      <c r="L133" s="3263" t="s">
        <v>3257</v>
      </c>
      <c r="M133" s="3265">
        <v>15601.93</v>
      </c>
      <c r="N133" s="3265">
        <f>M133*4</f>
        <v>62407.72</v>
      </c>
      <c r="O133" s="3261" t="s">
        <v>3817</v>
      </c>
      <c r="P133" s="3743"/>
      <c r="Q133" s="3257">
        <v>22266.83</v>
      </c>
      <c r="T133" s="3351">
        <f>ROUND(2.06/1.96-1,2)</f>
        <v>0.05</v>
      </c>
    </row>
    <row r="134" spans="1:25" s="3357" customFormat="1" ht="27.75" customHeight="1">
      <c r="A134" s="3374">
        <v>280</v>
      </c>
      <c r="B134" s="3352" t="s">
        <v>3818</v>
      </c>
      <c r="C134" s="3353" t="s">
        <v>3819</v>
      </c>
      <c r="D134" s="3375" t="s">
        <v>3820</v>
      </c>
      <c r="E134" s="3362" t="s">
        <v>3821</v>
      </c>
      <c r="F134" s="3353" t="s">
        <v>3768</v>
      </c>
      <c r="G134" s="3353"/>
      <c r="H134" s="3376" t="s">
        <v>3822</v>
      </c>
      <c r="I134" s="3354">
        <v>45556</v>
      </c>
      <c r="J134" s="3354">
        <f t="shared" si="4"/>
        <v>45376</v>
      </c>
      <c r="K134" s="3361" t="s">
        <v>3238</v>
      </c>
      <c r="L134" s="3361" t="s">
        <v>3257</v>
      </c>
      <c r="M134" s="3355">
        <v>6975.15</v>
      </c>
      <c r="N134" s="3355">
        <f>M134*8</f>
        <v>55801.2</v>
      </c>
      <c r="O134" s="3352" t="s">
        <v>3404</v>
      </c>
      <c r="P134" s="3371">
        <v>42</v>
      </c>
      <c r="Q134" s="3359">
        <v>9964.5</v>
      </c>
      <c r="R134" s="3356">
        <f>ROUND(N134/P134/365/2,2)</f>
        <v>1.82</v>
      </c>
      <c r="S134" s="3356">
        <v>1.82</v>
      </c>
    </row>
    <row r="135" spans="1:25" s="3357" customFormat="1" ht="27.75" customHeight="1">
      <c r="A135" s="3374">
        <v>282</v>
      </c>
      <c r="B135" s="3352" t="s">
        <v>3823</v>
      </c>
      <c r="C135" s="3353" t="s">
        <v>3824</v>
      </c>
      <c r="D135" s="3353" t="s">
        <v>3825</v>
      </c>
      <c r="E135" s="3362" t="s">
        <v>3826</v>
      </c>
      <c r="F135" s="3353" t="s">
        <v>3790</v>
      </c>
      <c r="G135" s="3353" t="s">
        <v>3827</v>
      </c>
      <c r="H135" s="3353" t="s">
        <v>3828</v>
      </c>
      <c r="I135" s="3354">
        <v>45528</v>
      </c>
      <c r="J135" s="3354">
        <f t="shared" si="4"/>
        <v>45348</v>
      </c>
      <c r="K135" s="3361" t="s">
        <v>3238</v>
      </c>
      <c r="L135" s="3361" t="s">
        <v>3257</v>
      </c>
      <c r="M135" s="3355">
        <v>15278.9</v>
      </c>
      <c r="N135" s="3355">
        <f>M135*4</f>
        <v>61115.6</v>
      </c>
      <c r="O135" s="3352" t="s">
        <v>3404</v>
      </c>
      <c r="P135" s="3748">
        <v>92</v>
      </c>
      <c r="Q135" s="3359">
        <v>21827</v>
      </c>
      <c r="R135" s="3356">
        <f t="shared" si="6"/>
        <v>1.82</v>
      </c>
      <c r="S135" s="3356">
        <v>1.82</v>
      </c>
    </row>
    <row r="136" spans="1:25" ht="27.75" customHeight="1">
      <c r="A136" s="3330">
        <v>283</v>
      </c>
      <c r="B136" s="3327" t="s">
        <v>3823</v>
      </c>
      <c r="C136" s="3301" t="s">
        <v>3824</v>
      </c>
      <c r="D136" s="3301" t="s">
        <v>3825</v>
      </c>
      <c r="E136" s="3318" t="s">
        <v>3826</v>
      </c>
      <c r="F136" s="3301" t="s">
        <v>3790</v>
      </c>
      <c r="G136" s="3301"/>
      <c r="H136" s="3301" t="s">
        <v>3829</v>
      </c>
      <c r="I136" s="3302">
        <v>45528</v>
      </c>
      <c r="J136" s="3302">
        <f t="shared" si="4"/>
        <v>45348</v>
      </c>
      <c r="K136" s="3263" t="s">
        <v>3238</v>
      </c>
      <c r="L136" s="3263" t="s">
        <v>3257</v>
      </c>
      <c r="M136" s="3265">
        <v>16034.45</v>
      </c>
      <c r="N136" s="3265">
        <f>M136*4</f>
        <v>64137.8</v>
      </c>
      <c r="O136" s="3261" t="s">
        <v>3693</v>
      </c>
      <c r="P136" s="3748"/>
      <c r="Q136" s="3257">
        <v>22918.35</v>
      </c>
      <c r="T136" s="3351">
        <f>ROUND(1.91/1.82-1,2)</f>
        <v>0.05</v>
      </c>
    </row>
    <row r="137" spans="1:25" s="3277" customFormat="1" ht="27.75" customHeight="1">
      <c r="A137" s="3329">
        <v>286</v>
      </c>
      <c r="B137" s="3326" t="s">
        <v>3830</v>
      </c>
      <c r="C137" s="3291" t="s">
        <v>3831</v>
      </c>
      <c r="D137" s="3270" t="s">
        <v>3832</v>
      </c>
      <c r="E137" s="3320" t="s">
        <v>3833</v>
      </c>
      <c r="F137" s="3321" t="s">
        <v>3834</v>
      </c>
      <c r="G137" s="3321"/>
      <c r="H137" s="3321" t="s">
        <v>3835</v>
      </c>
      <c r="I137" s="3331">
        <v>45183</v>
      </c>
      <c r="J137" s="3331">
        <f t="shared" si="4"/>
        <v>45003</v>
      </c>
      <c r="K137" s="3271" t="s">
        <v>3238</v>
      </c>
      <c r="L137" s="3271" t="s">
        <v>3257</v>
      </c>
      <c r="M137" s="3332">
        <v>6259.75</v>
      </c>
      <c r="N137" s="3332">
        <f>M137*4</f>
        <v>25039</v>
      </c>
      <c r="O137" s="3269" t="s">
        <v>3815</v>
      </c>
      <c r="P137" s="3325">
        <v>35</v>
      </c>
      <c r="Q137" s="3305">
        <v>8942.5</v>
      </c>
      <c r="R137" s="3276">
        <f t="shared" si="6"/>
        <v>1.96</v>
      </c>
      <c r="S137" s="3276"/>
      <c r="T137" s="3283"/>
      <c r="U137" s="3332"/>
      <c r="V137" s="3332"/>
      <c r="W137" s="3333"/>
      <c r="X137" s="3333"/>
      <c r="Y137" s="3334"/>
    </row>
    <row r="138" spans="1:25" s="3277" customFormat="1" ht="27.75" customHeight="1">
      <c r="A138" s="3329">
        <v>289</v>
      </c>
      <c r="B138" s="3326" t="s">
        <v>3836</v>
      </c>
      <c r="C138" s="3291" t="s">
        <v>3837</v>
      </c>
      <c r="D138" s="3291" t="s">
        <v>3838</v>
      </c>
      <c r="E138" s="3316" t="s">
        <v>3578</v>
      </c>
      <c r="F138" s="3291" t="s">
        <v>3839</v>
      </c>
      <c r="G138" s="3291"/>
      <c r="H138" s="3291" t="s">
        <v>3840</v>
      </c>
      <c r="I138" s="3292">
        <v>45218</v>
      </c>
      <c r="J138" s="3292">
        <f t="shared" si="4"/>
        <v>45038</v>
      </c>
      <c r="K138" s="3271" t="s">
        <v>3238</v>
      </c>
      <c r="L138" s="3271" t="s">
        <v>3257</v>
      </c>
      <c r="M138" s="3273">
        <v>7760.81</v>
      </c>
      <c r="N138" s="3273">
        <f>M138*4</f>
        <v>31043.24</v>
      </c>
      <c r="O138" s="3269" t="s">
        <v>3317</v>
      </c>
      <c r="P138" s="3325">
        <v>45</v>
      </c>
      <c r="Q138" s="3305">
        <v>11086.88</v>
      </c>
      <c r="R138" s="3276">
        <f t="shared" si="6"/>
        <v>1.89</v>
      </c>
      <c r="S138" s="3276"/>
    </row>
    <row r="139" spans="1:25" ht="27.75" customHeight="1">
      <c r="Q139" s="3339" t="s">
        <v>3885</v>
      </c>
      <c r="R139" s="3276">
        <f>ROUND(AVERAGE(R2:R138),2)</f>
        <v>1.89</v>
      </c>
      <c r="S139" s="3276">
        <f>ROUND(AVERAGE(S2:S138),2)</f>
        <v>1.96</v>
      </c>
    </row>
    <row r="140" spans="1:25">
      <c r="Q140" s="3339" t="s">
        <v>3883</v>
      </c>
      <c r="R140" s="3350">
        <v>46599</v>
      </c>
      <c r="S140" s="3350"/>
    </row>
  </sheetData>
  <autoFilter ref="A1:Y140"/>
  <mergeCells count="43">
    <mergeCell ref="P114:P115"/>
    <mergeCell ref="P116:P117"/>
    <mergeCell ref="P126:P127"/>
    <mergeCell ref="P132:P133"/>
    <mergeCell ref="P135:P136"/>
    <mergeCell ref="P108:P109"/>
    <mergeCell ref="P70:P71"/>
    <mergeCell ref="P72:P73"/>
    <mergeCell ref="Q72:Q73"/>
    <mergeCell ref="P77:P78"/>
    <mergeCell ref="P79:P80"/>
    <mergeCell ref="P84:P85"/>
    <mergeCell ref="P86:P87"/>
    <mergeCell ref="P88:P92"/>
    <mergeCell ref="P98:P99"/>
    <mergeCell ref="P100:P103"/>
    <mergeCell ref="P104:P107"/>
    <mergeCell ref="P66:P67"/>
    <mergeCell ref="P36:P37"/>
    <mergeCell ref="Q36:Q37"/>
    <mergeCell ref="P40:P41"/>
    <mergeCell ref="Q40:Q41"/>
    <mergeCell ref="P45:P47"/>
    <mergeCell ref="P49:P53"/>
    <mergeCell ref="Q49:Q50"/>
    <mergeCell ref="P54:P55"/>
    <mergeCell ref="P59:P60"/>
    <mergeCell ref="Q59:Q60"/>
    <mergeCell ref="P61:P62"/>
    <mergeCell ref="P64:P65"/>
    <mergeCell ref="P34:P35"/>
    <mergeCell ref="Q34:Q35"/>
    <mergeCell ref="E2:E3"/>
    <mergeCell ref="F2:F3"/>
    <mergeCell ref="P2:P3"/>
    <mergeCell ref="P4:P5"/>
    <mergeCell ref="P6:P8"/>
    <mergeCell ref="P17:P18"/>
    <mergeCell ref="P19:P23"/>
    <mergeCell ref="Q19:Q21"/>
    <mergeCell ref="P24:P28"/>
    <mergeCell ref="P29:P30"/>
    <mergeCell ref="P31:P32"/>
  </mergeCells>
  <phoneticPr fontId="140"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3" sqref="K3:L3"/>
    </sheetView>
  </sheetViews>
  <sheetFormatPr defaultRowHeight="13.5"/>
  <cols>
    <col min="1" max="1" width="11.125" customWidth="1"/>
    <col min="9" max="9" width="13.875" customWidth="1"/>
    <col min="11" max="11" width="13.625" bestFit="1" customWidth="1"/>
    <col min="12" max="12" width="12.5" bestFit="1" customWidth="1"/>
  </cols>
  <sheetData>
    <row r="1" spans="1:13">
      <c r="A1" s="3758" t="s">
        <v>3896</v>
      </c>
      <c r="B1" s="3759"/>
      <c r="C1" s="3759"/>
      <c r="D1" s="3759"/>
      <c r="E1" s="3759"/>
      <c r="F1" s="3759"/>
      <c r="G1" s="3759"/>
      <c r="H1" s="3759"/>
      <c r="I1" s="3760"/>
    </row>
    <row r="2" spans="1:13">
      <c r="A2" s="3761" t="s">
        <v>3841</v>
      </c>
      <c r="B2" s="3762"/>
      <c r="C2" s="3342" t="s">
        <v>3842</v>
      </c>
      <c r="D2" s="3342" t="s">
        <v>3843</v>
      </c>
      <c r="E2" s="3342" t="s">
        <v>3844</v>
      </c>
      <c r="F2" s="3342" t="s">
        <v>3845</v>
      </c>
      <c r="G2" s="3342" t="s">
        <v>3846</v>
      </c>
      <c r="H2" s="3342" t="s">
        <v>3847</v>
      </c>
      <c r="I2" s="3343" t="s">
        <v>3848</v>
      </c>
      <c r="K2" s="3378" t="s">
        <v>3894</v>
      </c>
      <c r="L2" s="3378" t="s">
        <v>3893</v>
      </c>
      <c r="M2" s="3249"/>
    </row>
    <row r="3" spans="1:13">
      <c r="A3" s="3763" t="s">
        <v>3849</v>
      </c>
      <c r="B3" s="3342" t="s">
        <v>3850</v>
      </c>
      <c r="C3" s="3342"/>
      <c r="D3" s="3344" t="s">
        <v>3851</v>
      </c>
      <c r="E3" s="3342">
        <v>670</v>
      </c>
      <c r="F3" s="3345">
        <v>0.7</v>
      </c>
      <c r="G3" s="3346">
        <v>0.749</v>
      </c>
      <c r="H3" s="3752">
        <v>9672333.5600000005</v>
      </c>
      <c r="I3" s="3764">
        <v>0.54259999999999997</v>
      </c>
      <c r="K3" s="3249">
        <v>942.3</v>
      </c>
      <c r="L3" s="3249">
        <v>1167.54</v>
      </c>
      <c r="M3" s="3249" t="s">
        <v>3895</v>
      </c>
    </row>
    <row r="4" spans="1:13">
      <c r="A4" s="3763"/>
      <c r="B4" s="3342" t="s">
        <v>3852</v>
      </c>
      <c r="C4" s="3342"/>
      <c r="D4" s="3344" t="s">
        <v>3851</v>
      </c>
      <c r="E4" s="3342">
        <v>620</v>
      </c>
      <c r="F4" s="3345">
        <v>0.7</v>
      </c>
      <c r="G4" s="3346">
        <v>0.89100000000000001</v>
      </c>
      <c r="H4" s="3753"/>
      <c r="I4" s="3765"/>
    </row>
    <row r="5" spans="1:13">
      <c r="A5" s="3763"/>
      <c r="B5" s="3342" t="s">
        <v>3853</v>
      </c>
      <c r="C5" s="3342"/>
      <c r="D5" s="3344" t="s">
        <v>3851</v>
      </c>
      <c r="E5" s="3342">
        <v>670</v>
      </c>
      <c r="F5" s="3345">
        <v>0.7</v>
      </c>
      <c r="G5" s="3346">
        <v>0.81899999999999995</v>
      </c>
      <c r="H5" s="3753"/>
      <c r="I5" s="3765"/>
    </row>
    <row r="6" spans="1:13">
      <c r="A6" s="3763"/>
      <c r="B6" s="3342" t="s">
        <v>3854</v>
      </c>
      <c r="C6" s="3342"/>
      <c r="D6" s="3344" t="s">
        <v>3851</v>
      </c>
      <c r="E6" s="3342">
        <v>700</v>
      </c>
      <c r="F6" s="3345">
        <v>0.7</v>
      </c>
      <c r="G6" s="3346">
        <v>0.82199999999999995</v>
      </c>
      <c r="H6" s="3753"/>
      <c r="I6" s="3765"/>
    </row>
    <row r="7" spans="1:13">
      <c r="A7" s="3763"/>
      <c r="B7" s="3342" t="s">
        <v>3855</v>
      </c>
      <c r="C7" s="3342"/>
      <c r="D7" s="3344" t="s">
        <v>3856</v>
      </c>
      <c r="E7" s="3342">
        <v>1000</v>
      </c>
      <c r="F7" s="3345">
        <v>0.7</v>
      </c>
      <c r="G7" s="3345">
        <v>0.64</v>
      </c>
      <c r="H7" s="3753"/>
      <c r="I7" s="3765"/>
      <c r="K7" s="3245" t="s">
        <v>3897</v>
      </c>
    </row>
    <row r="8" spans="1:13">
      <c r="A8" s="3763"/>
      <c r="B8" s="3342" t="s">
        <v>3857</v>
      </c>
      <c r="C8" s="3342"/>
      <c r="D8" s="3344" t="s">
        <v>3851</v>
      </c>
      <c r="E8" s="3342">
        <v>700</v>
      </c>
      <c r="F8" s="3345">
        <v>0.7</v>
      </c>
      <c r="G8" s="3345">
        <v>0.62</v>
      </c>
      <c r="H8" s="3753"/>
      <c r="I8" s="3765"/>
    </row>
    <row r="9" spans="1:13">
      <c r="A9" s="3763"/>
      <c r="C9" s="3342"/>
      <c r="D9" s="3342"/>
      <c r="E9" s="3342"/>
      <c r="F9" s="3342"/>
      <c r="G9" s="3342"/>
      <c r="H9" s="3754"/>
      <c r="I9" s="3766"/>
    </row>
    <row r="10" spans="1:13">
      <c r="A10" s="3749" t="s">
        <v>3858</v>
      </c>
      <c r="B10" s="3342" t="s">
        <v>3859</v>
      </c>
      <c r="C10" s="3342" t="s">
        <v>3860</v>
      </c>
      <c r="D10" s="3342" t="s">
        <v>3860</v>
      </c>
      <c r="E10" s="3342" t="s">
        <v>3860</v>
      </c>
      <c r="F10" s="3342" t="s">
        <v>3860</v>
      </c>
      <c r="G10" s="3342" t="s">
        <v>3860</v>
      </c>
      <c r="H10" s="3752"/>
      <c r="I10" s="3755"/>
    </row>
    <row r="11" spans="1:13">
      <c r="A11" s="3750"/>
      <c r="B11" s="3342" t="s">
        <v>3861</v>
      </c>
      <c r="C11" s="3342" t="s">
        <v>3860</v>
      </c>
      <c r="D11" s="3342" t="s">
        <v>3860</v>
      </c>
      <c r="E11" s="3342" t="s">
        <v>3860</v>
      </c>
      <c r="F11" s="3342" t="s">
        <v>3860</v>
      </c>
      <c r="G11" s="3342" t="s">
        <v>3860</v>
      </c>
      <c r="H11" s="3753"/>
      <c r="I11" s="3756"/>
    </row>
    <row r="12" spans="1:13">
      <c r="A12" s="3750"/>
      <c r="B12" s="3342" t="s">
        <v>3862</v>
      </c>
      <c r="C12" s="3342" t="s">
        <v>3860</v>
      </c>
      <c r="D12" s="3342" t="s">
        <v>3860</v>
      </c>
      <c r="E12" s="3342" t="s">
        <v>3860</v>
      </c>
      <c r="F12" s="3342" t="s">
        <v>3860</v>
      </c>
      <c r="G12" s="3342" t="s">
        <v>3860</v>
      </c>
      <c r="H12" s="3753"/>
      <c r="I12" s="3756"/>
    </row>
    <row r="13" spans="1:13">
      <c r="A13" s="3751"/>
      <c r="B13" s="3342" t="s">
        <v>3863</v>
      </c>
      <c r="C13" s="3342"/>
      <c r="D13" s="3342"/>
      <c r="E13" s="3342"/>
      <c r="F13" s="3342"/>
      <c r="G13" s="3342"/>
      <c r="H13" s="3754"/>
      <c r="I13" s="3757"/>
    </row>
    <row r="14" spans="1:13">
      <c r="A14" s="3763" t="s">
        <v>3864</v>
      </c>
      <c r="B14" s="3342" t="s">
        <v>3865</v>
      </c>
      <c r="C14" s="3342" t="s">
        <v>3860</v>
      </c>
      <c r="D14" s="3342" t="s">
        <v>3860</v>
      </c>
      <c r="E14" s="3342" t="s">
        <v>3860</v>
      </c>
      <c r="F14" s="3342" t="s">
        <v>3860</v>
      </c>
      <c r="G14" s="3342" t="s">
        <v>3860</v>
      </c>
      <c r="H14" s="3752"/>
      <c r="I14" s="3767"/>
    </row>
    <row r="15" spans="1:13">
      <c r="A15" s="3763"/>
      <c r="B15" s="3342" t="s">
        <v>3866</v>
      </c>
      <c r="C15" s="3342" t="s">
        <v>3860</v>
      </c>
      <c r="D15" s="3342" t="s">
        <v>3860</v>
      </c>
      <c r="E15" s="3342" t="s">
        <v>3860</v>
      </c>
      <c r="F15" s="3342" t="s">
        <v>3860</v>
      </c>
      <c r="G15" s="3342" t="s">
        <v>3860</v>
      </c>
      <c r="H15" s="3753"/>
      <c r="I15" s="3765"/>
    </row>
    <row r="16" spans="1:13">
      <c r="A16" s="3763"/>
      <c r="B16" s="3342" t="s">
        <v>3867</v>
      </c>
      <c r="C16" s="3342" t="s">
        <v>3860</v>
      </c>
      <c r="D16" s="3342" t="s">
        <v>3860</v>
      </c>
      <c r="E16" s="3342" t="s">
        <v>3860</v>
      </c>
      <c r="F16" s="3342" t="s">
        <v>3860</v>
      </c>
      <c r="G16" s="3342" t="s">
        <v>3860</v>
      </c>
      <c r="H16" s="3753"/>
      <c r="I16" s="3765"/>
    </row>
    <row r="17" spans="1:9">
      <c r="A17" s="3763"/>
      <c r="B17" s="3342" t="s">
        <v>3863</v>
      </c>
      <c r="C17" s="3342"/>
      <c r="D17" s="3342"/>
      <c r="E17" s="3342"/>
      <c r="F17" s="3342"/>
      <c r="G17" s="3342"/>
      <c r="H17" s="3753"/>
      <c r="I17" s="3765"/>
    </row>
    <row r="18" spans="1:9">
      <c r="A18" s="3763"/>
      <c r="B18" s="3342"/>
      <c r="C18" s="3342"/>
      <c r="D18" s="3342"/>
      <c r="E18" s="3342"/>
      <c r="F18" s="3342"/>
      <c r="G18" s="3342"/>
      <c r="H18" s="3754"/>
      <c r="I18" s="3766"/>
    </row>
    <row r="19" spans="1:9">
      <c r="A19" s="3749" t="s">
        <v>3868</v>
      </c>
      <c r="B19" s="3342" t="s">
        <v>3869</v>
      </c>
      <c r="C19" s="3342" t="s">
        <v>3860</v>
      </c>
      <c r="D19" s="3342" t="s">
        <v>3860</v>
      </c>
      <c r="E19" s="3342" t="s">
        <v>3860</v>
      </c>
      <c r="F19" s="3342" t="s">
        <v>3860</v>
      </c>
      <c r="G19" s="3342" t="s">
        <v>3860</v>
      </c>
      <c r="H19" s="3752"/>
      <c r="I19" s="3767"/>
    </row>
    <row r="20" spans="1:9">
      <c r="A20" s="3750"/>
      <c r="B20" s="3342" t="s">
        <v>3870</v>
      </c>
      <c r="C20" s="3342" t="s">
        <v>3860</v>
      </c>
      <c r="D20" s="3342" t="s">
        <v>3860</v>
      </c>
      <c r="E20" s="3342" t="s">
        <v>3860</v>
      </c>
      <c r="F20" s="3342" t="s">
        <v>3860</v>
      </c>
      <c r="G20" s="3342" t="s">
        <v>3860</v>
      </c>
      <c r="H20" s="3753"/>
      <c r="I20" s="3765"/>
    </row>
    <row r="21" spans="1:9">
      <c r="A21" s="3750"/>
      <c r="B21" s="3342" t="s">
        <v>3871</v>
      </c>
      <c r="C21" s="3342" t="s">
        <v>3860</v>
      </c>
      <c r="D21" s="3342" t="s">
        <v>3860</v>
      </c>
      <c r="E21" s="3342" t="s">
        <v>3860</v>
      </c>
      <c r="F21" s="3342" t="s">
        <v>3860</v>
      </c>
      <c r="G21" s="3342" t="s">
        <v>3860</v>
      </c>
      <c r="H21" s="3753"/>
      <c r="I21" s="3765"/>
    </row>
    <row r="22" spans="1:9">
      <c r="A22" s="3750"/>
      <c r="B22" s="3342" t="s">
        <v>3872</v>
      </c>
      <c r="C22" s="3342" t="s">
        <v>3860</v>
      </c>
      <c r="D22" s="3342" t="s">
        <v>3860</v>
      </c>
      <c r="E22" s="3342" t="s">
        <v>3860</v>
      </c>
      <c r="F22" s="3342" t="s">
        <v>3860</v>
      </c>
      <c r="G22" s="3342" t="s">
        <v>3860</v>
      </c>
      <c r="H22" s="3753"/>
      <c r="I22" s="3765"/>
    </row>
    <row r="23" spans="1:9">
      <c r="A23" s="3750"/>
      <c r="B23" s="3342" t="s">
        <v>3873</v>
      </c>
      <c r="C23" s="3342" t="s">
        <v>3860</v>
      </c>
      <c r="D23" s="3342" t="s">
        <v>3860</v>
      </c>
      <c r="E23" s="3342" t="s">
        <v>3860</v>
      </c>
      <c r="F23" s="3342" t="s">
        <v>3860</v>
      </c>
      <c r="G23" s="3342" t="s">
        <v>3860</v>
      </c>
      <c r="H23" s="3753"/>
      <c r="I23" s="3765"/>
    </row>
    <row r="24" spans="1:9">
      <c r="A24" s="3750"/>
      <c r="B24" s="3347" t="s">
        <v>3874</v>
      </c>
      <c r="C24" s="3342" t="s">
        <v>3860</v>
      </c>
      <c r="D24" s="3342" t="s">
        <v>3860</v>
      </c>
      <c r="E24" s="3342" t="s">
        <v>3860</v>
      </c>
      <c r="F24" s="3342" t="s">
        <v>3860</v>
      </c>
      <c r="G24" s="3342" t="s">
        <v>3860</v>
      </c>
      <c r="H24" s="3753"/>
      <c r="I24" s="3765"/>
    </row>
    <row r="25" spans="1:9" ht="14.25" thickBot="1">
      <c r="A25" s="3768"/>
      <c r="B25" s="3348"/>
      <c r="C25" s="3349"/>
      <c r="D25" s="3349"/>
      <c r="E25" s="3349"/>
      <c r="F25" s="3349"/>
      <c r="G25" s="3349"/>
      <c r="H25" s="3769"/>
      <c r="I25" s="3770"/>
    </row>
  </sheetData>
  <mergeCells count="14">
    <mergeCell ref="A14:A18"/>
    <mergeCell ref="H14:H18"/>
    <mergeCell ref="I14:I18"/>
    <mergeCell ref="A19:A25"/>
    <mergeCell ref="H19:H25"/>
    <mergeCell ref="I19:I25"/>
    <mergeCell ref="A10:A13"/>
    <mergeCell ref="H10:H13"/>
    <mergeCell ref="I10:I13"/>
    <mergeCell ref="A1:I1"/>
    <mergeCell ref="A2:B2"/>
    <mergeCell ref="A3:A9"/>
    <mergeCell ref="H3:H9"/>
    <mergeCell ref="I3:I9"/>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97" t="str">
        <f>IF(项目基本情况!B9="房地产市场价值","估价结果一览表","结果表-2")</f>
        <v>结果表-2</v>
      </c>
      <c r="B1" s="3397"/>
      <c r="C1" s="3397"/>
      <c r="D1" s="3397"/>
      <c r="E1" s="3397"/>
      <c r="F1" s="3397"/>
      <c r="G1" s="3397"/>
      <c r="H1" s="3397"/>
      <c r="I1" s="3397"/>
    </row>
    <row r="2" spans="1:9" ht="30" customHeight="1" thickTop="1">
      <c r="A2" s="3398" t="s">
        <v>1365</v>
      </c>
      <c r="B2" s="3398" t="s">
        <v>1366</v>
      </c>
      <c r="C2" s="3398" t="s">
        <v>1367</v>
      </c>
      <c r="D2" s="3398" t="str">
        <f>结果表!D116</f>
        <v>出让国有建设用地使用权价值</v>
      </c>
      <c r="E2" s="3398"/>
      <c r="F2" s="3398" t="str">
        <f>结果表!F116</f>
        <v>在建建筑物价值</v>
      </c>
      <c r="G2" s="3398"/>
      <c r="H2" s="3398" t="str">
        <f>IF(项目基本情况!B9="房地产市场价值","房地产市场价值","房地产价值")</f>
        <v>房地产价值</v>
      </c>
      <c r="I2" s="3398"/>
    </row>
    <row r="3" spans="1:9" ht="15">
      <c r="A3" s="3399"/>
      <c r="B3" s="3399"/>
      <c r="C3" s="3399"/>
      <c r="D3" s="943" t="s">
        <v>1362</v>
      </c>
      <c r="E3" s="943" t="s">
        <v>1368</v>
      </c>
      <c r="F3" s="943" t="s">
        <v>1362</v>
      </c>
      <c r="G3" s="943" t="s">
        <v>1363</v>
      </c>
      <c r="H3" s="943" t="s">
        <v>1362</v>
      </c>
      <c r="I3" s="943" t="s">
        <v>1363</v>
      </c>
    </row>
    <row r="4" spans="1:9" ht="15">
      <c r="A4" s="1640" t="str">
        <f>项目基本情况!S2</f>
        <v>北京市房地产</v>
      </c>
      <c r="B4" s="943">
        <f>项目基本情况!C17</f>
        <v>33133.130000000005</v>
      </c>
      <c r="C4" s="943">
        <f>项目基本情况!C18</f>
        <v>22578.39</v>
      </c>
      <c r="D4" s="943">
        <f ca="1">结果表!D118</f>
        <v>8421</v>
      </c>
      <c r="E4" s="943">
        <f ca="1">结果表!E118</f>
        <v>2541</v>
      </c>
      <c r="F4" s="943">
        <f ca="1">结果表!F118</f>
        <v>15101</v>
      </c>
      <c r="G4" s="943">
        <f ca="1">结果表!G118</f>
        <v>4558</v>
      </c>
      <c r="H4" s="943">
        <f ca="1">结果表!H118</f>
        <v>23522</v>
      </c>
      <c r="I4" s="943">
        <f ca="1">结果表!I118</f>
        <v>7099</v>
      </c>
    </row>
    <row r="5" spans="1:9" ht="30" customHeight="1">
      <c r="A5" s="3399" t="s">
        <v>1364</v>
      </c>
      <c r="B5" s="3399"/>
      <c r="C5" s="3399"/>
      <c r="D5" s="3400" t="str">
        <f ca="1">结果表!D119</f>
        <v>捌仟肆佰贰拾壹万元整</v>
      </c>
      <c r="E5" s="3400"/>
      <c r="F5" s="3400" t="str">
        <f ca="1">结果表!F119</f>
        <v>壹亿伍仟壹佰零壹万元整</v>
      </c>
      <c r="G5" s="3400"/>
      <c r="H5" s="3400" t="str">
        <f ca="1">结果表!H119</f>
        <v>贰亿叁仟伍佰贰拾贰万元整</v>
      </c>
      <c r="I5" s="3400"/>
    </row>
    <row r="6" spans="1:9" ht="15.75">
      <c r="A6" s="3401" t="str">
        <f>结果表!A120</f>
        <v>估价师知悉的法定优先受偿款</v>
      </c>
      <c r="B6" s="3401"/>
      <c r="C6" s="3401"/>
      <c r="D6" s="3401">
        <f>结果表!D120</f>
        <v>0</v>
      </c>
      <c r="E6" s="3401"/>
      <c r="F6" s="3401"/>
      <c r="G6" s="3401"/>
      <c r="H6" s="3401"/>
      <c r="I6" s="3401"/>
    </row>
    <row r="7" spans="1:9" ht="15">
      <c r="A7" s="3399" t="s">
        <v>1364</v>
      </c>
      <c r="B7" s="3399"/>
      <c r="C7" s="3399"/>
      <c r="D7" s="3402" t="str">
        <f>结果表!D121</f>
        <v>零元整</v>
      </c>
      <c r="E7" s="3403"/>
      <c r="F7" s="3403"/>
      <c r="G7" s="3403"/>
      <c r="H7" s="3403"/>
      <c r="I7" s="3404"/>
    </row>
    <row r="8" spans="1:9" ht="15.75">
      <c r="A8" s="3401" t="str">
        <f>结果表!A122</f>
        <v>房地产抵押价值</v>
      </c>
      <c r="B8" s="3401"/>
      <c r="C8" s="3401"/>
      <c r="D8" s="3401">
        <f ca="1">结果表!D122</f>
        <v>23522</v>
      </c>
      <c r="E8" s="3401"/>
      <c r="F8" s="3401"/>
      <c r="G8" s="3401"/>
      <c r="H8" s="3401"/>
      <c r="I8" s="3401"/>
    </row>
    <row r="9" spans="1:9" ht="15">
      <c r="A9" s="3399" t="s">
        <v>1364</v>
      </c>
      <c r="B9" s="3399"/>
      <c r="C9" s="3399"/>
      <c r="D9" s="3400" t="str">
        <f ca="1">结果表!D123</f>
        <v>贰亿叁仟伍佰贰拾贰万元整</v>
      </c>
      <c r="E9" s="3400"/>
      <c r="F9" s="3400"/>
      <c r="G9" s="3400"/>
      <c r="H9" s="3400"/>
      <c r="I9" s="3400"/>
    </row>
    <row r="10" spans="1:9" ht="15.75">
      <c r="A10" s="3401" t="str">
        <f>结果表!A124</f>
        <v/>
      </c>
      <c r="B10" s="3401"/>
      <c r="C10" s="3401"/>
      <c r="D10" s="3401" t="str">
        <f>结果表!D124</f>
        <v>——</v>
      </c>
      <c r="E10" s="3401"/>
      <c r="F10" s="3401"/>
      <c r="G10" s="3401"/>
      <c r="H10" s="3401"/>
      <c r="I10" s="3401"/>
    </row>
    <row r="11" spans="1:9" ht="15">
      <c r="A11" s="3399" t="s">
        <v>1364</v>
      </c>
      <c r="B11" s="3399"/>
      <c r="C11" s="3399"/>
      <c r="D11" s="3400" t="e">
        <f>结果表!D125</f>
        <v>#VALUE!</v>
      </c>
      <c r="E11" s="3400"/>
      <c r="F11" s="3400"/>
      <c r="G11" s="3400"/>
      <c r="H11" s="3400"/>
      <c r="I11" s="3400"/>
    </row>
    <row r="12" spans="1:9" ht="15.75">
      <c r="A12" s="3401" t="str">
        <f>结果表!A126</f>
        <v/>
      </c>
      <c r="B12" s="3401"/>
      <c r="C12" s="3401"/>
      <c r="D12" s="3401" t="str">
        <f>结果表!D126</f>
        <v>——</v>
      </c>
      <c r="E12" s="3401"/>
      <c r="F12" s="3401"/>
      <c r="G12" s="3401"/>
      <c r="H12" s="3401"/>
      <c r="I12" s="3401"/>
    </row>
    <row r="13" spans="1:9" ht="15.75" thickBot="1">
      <c r="A13" s="3405" t="s">
        <v>1364</v>
      </c>
      <c r="B13" s="3405"/>
      <c r="C13" s="3405"/>
      <c r="D13" s="3406" t="e">
        <f>结果表!D127</f>
        <v>#VALUE!</v>
      </c>
      <c r="E13" s="3406"/>
      <c r="F13" s="3406"/>
      <c r="G13" s="3406"/>
      <c r="H13" s="3406"/>
      <c r="I13" s="3406"/>
    </row>
    <row r="14" spans="1:9" ht="15" thickTop="1">
      <c r="A14" s="3407" t="s">
        <v>1369</v>
      </c>
      <c r="B14" s="3407"/>
      <c r="C14" s="3407"/>
      <c r="D14" s="3407"/>
      <c r="E14" s="3407"/>
      <c r="F14" s="3407"/>
      <c r="G14" s="3407"/>
      <c r="H14" s="3407"/>
      <c r="I14" s="340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08" t="s">
        <v>1386</v>
      </c>
      <c r="B1" s="3408"/>
      <c r="C1" s="3408"/>
      <c r="D1" s="3408"/>
    </row>
    <row r="2" spans="1:4" ht="18">
      <c r="A2" s="3409" t="s">
        <v>1370</v>
      </c>
      <c r="B2" s="3409"/>
      <c r="C2" s="3409"/>
      <c r="D2" s="3409"/>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409" t="s">
        <v>1376</v>
      </c>
      <c r="B6" s="3409"/>
      <c r="C6" s="3409"/>
      <c r="D6" s="3409"/>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10" t="s">
        <v>1379</v>
      </c>
      <c r="B11" s="3411"/>
      <c r="C11" s="3411"/>
      <c r="D11" s="3411"/>
    </row>
    <row r="12" spans="1:4" ht="15.75">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4" t="s">
        <v>1380</v>
      </c>
      <c r="B16" s="3414"/>
      <c r="C16" s="3414"/>
      <c r="D16" s="3414"/>
    </row>
    <row r="17" spans="1:4" ht="144" customHeight="1">
      <c r="A17" s="3414" t="s">
        <v>1381</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1382</v>
      </c>
      <c r="B22" s="3416"/>
      <c r="C22" s="3416"/>
      <c r="D22" s="341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13">
        <v>42551</v>
      </c>
      <c r="D31" s="34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422" t="s">
        <v>1393</v>
      </c>
      <c r="B15" s="3417" t="s">
        <v>136</v>
      </c>
      <c r="C15" s="3418"/>
    </row>
    <row r="16" spans="1:7" ht="13.5">
      <c r="A16" s="3423"/>
      <c r="B16" s="3417" t="s">
        <v>69</v>
      </c>
      <c r="C16" s="3418"/>
    </row>
    <row r="17" spans="1:3" ht="13.5">
      <c r="A17" s="3423"/>
      <c r="B17" s="3420" t="s">
        <v>1394</v>
      </c>
      <c r="C17" s="1667" t="s">
        <v>1393</v>
      </c>
    </row>
    <row r="18" spans="1:3" ht="13.5">
      <c r="A18" s="3423"/>
      <c r="B18" s="3420"/>
      <c r="C18" s="1667" t="s">
        <v>1395</v>
      </c>
    </row>
    <row r="19" spans="1:3" ht="13.5">
      <c r="A19" s="3423"/>
      <c r="B19" s="3420"/>
      <c r="C19" s="1667" t="s">
        <v>1396</v>
      </c>
    </row>
    <row r="20" spans="1:3" ht="13.5">
      <c r="A20" s="3424"/>
      <c r="B20" s="3419" t="s">
        <v>1397</v>
      </c>
      <c r="C20" s="3418"/>
    </row>
    <row r="21" spans="1:3" ht="13.5">
      <c r="A21" s="1668" t="s">
        <v>1398</v>
      </c>
      <c r="B21" s="1669"/>
      <c r="C21" s="1670"/>
    </row>
    <row r="22" spans="1:3" ht="13.5">
      <c r="A22" s="3421" t="s">
        <v>1399</v>
      </c>
      <c r="B22" s="3419" t="s">
        <v>1400</v>
      </c>
      <c r="C22" s="3418"/>
    </row>
    <row r="23" spans="1:3" ht="13.5">
      <c r="A23" s="3421"/>
      <c r="B23" s="3419" t="s">
        <v>1401</v>
      </c>
      <c r="C23" s="3418"/>
    </row>
    <row r="24" spans="1:3" ht="13.5">
      <c r="A24" s="3421"/>
      <c r="B24" s="3419" t="s">
        <v>1402</v>
      </c>
      <c r="C24" s="3418"/>
    </row>
    <row r="25" spans="1:3" ht="13.5">
      <c r="A25" s="3421"/>
      <c r="B25" s="3420" t="s">
        <v>1403</v>
      </c>
      <c r="C25" s="1667" t="s">
        <v>1404</v>
      </c>
    </row>
    <row r="26" spans="1:3" ht="13.5">
      <c r="A26" s="3421"/>
      <c r="B26" s="3420"/>
      <c r="C26" s="1667" t="s">
        <v>1405</v>
      </c>
    </row>
    <row r="27" spans="1:3" ht="13.5">
      <c r="A27" s="3421"/>
      <c r="B27" s="3420"/>
      <c r="C27" s="1667" t="s">
        <v>1406</v>
      </c>
    </row>
    <row r="28" spans="1:3" ht="13.5">
      <c r="A28" s="3421"/>
      <c r="B28" s="3420"/>
      <c r="C28" s="1667" t="s">
        <v>1407</v>
      </c>
    </row>
    <row r="29" spans="1:3" ht="13.5">
      <c r="A29" s="3421"/>
      <c r="B29" s="3420"/>
      <c r="C29" s="1667" t="s">
        <v>1408</v>
      </c>
    </row>
    <row r="30" spans="1:3" ht="13.5">
      <c r="A30" s="3421"/>
      <c r="B30" s="3420"/>
      <c r="C30" s="1667" t="s">
        <v>1409</v>
      </c>
    </row>
    <row r="31" spans="1:3" ht="13.5">
      <c r="A31" s="3421"/>
      <c r="B31" s="3420"/>
      <c r="C31" s="1667" t="s">
        <v>1410</v>
      </c>
    </row>
    <row r="32" spans="1:3" ht="13.5">
      <c r="A32" s="3421"/>
      <c r="B32" s="3420"/>
      <c r="C32" s="1667" t="s">
        <v>1411</v>
      </c>
    </row>
    <row r="33" spans="1:3" ht="13.5">
      <c r="A33" s="3421"/>
      <c r="B33" s="3420"/>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44880</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t="str">
        <f ca="1">IF(C4&lt;B2,"已过期",1119970066)</f>
        <v>已过期</v>
      </c>
      <c r="C4" s="2518">
        <v>44876</v>
      </c>
      <c r="D4" s="2519" t="str">
        <f ca="1">A4&amp;"（注册号："&amp;B4&amp;"）"</f>
        <v>梁津（注册号：已过期）</v>
      </c>
      <c r="E4" s="2520" t="s">
        <v>2649</v>
      </c>
      <c r="F4" s="1424">
        <f ca="1">IF(G4&lt;B2,"已过期",96010014)</f>
        <v>96010014</v>
      </c>
      <c r="G4" s="2521">
        <v>47118</v>
      </c>
      <c r="H4" s="2522" t="str">
        <f ca="1">E4&amp;"（注册号："&amp;F4&amp;"）"</f>
        <v>梁津（注册号：96010014）</v>
      </c>
    </row>
    <row r="5" spans="1:8" ht="24" customHeight="1">
      <c r="A5" s="1424" t="s">
        <v>2650</v>
      </c>
      <c r="B5" s="1424" t="str">
        <f ca="1">IF(C5&lt;B2,"已过期",1119970111)</f>
        <v>已过期</v>
      </c>
      <c r="C5" s="2518">
        <v>44876</v>
      </c>
      <c r="D5" s="2519" t="str">
        <f t="shared" ref="D5:D15" ca="1" si="0">A5&amp;"（注册号："&amp;B5&amp;"）"</f>
        <v>叶凌（注册号：已过期）</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t="str">
        <f ca="1">IF(C7&lt;B2,"已过期",1120000080)</f>
        <v>已过期</v>
      </c>
      <c r="C7" s="2518">
        <v>44876</v>
      </c>
      <c r="D7" s="2519" t="str">
        <f t="shared" ca="1" si="0"/>
        <v>欧红伟（注册号：已过期）</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t="str">
        <f ca="1">IF(C11&lt;B2,"已过期",1120070131)</f>
        <v>已过期</v>
      </c>
      <c r="C11" s="2518">
        <v>44849</v>
      </c>
      <c r="D11" s="2519" t="str">
        <f t="shared" ca="1" si="0"/>
        <v>郑燚（注册号：已过期）</v>
      </c>
      <c r="E11" s="2520" t="s">
        <v>2656</v>
      </c>
      <c r="F11" s="1424">
        <f ca="1">IF(G11&lt;B2,"已过期",2014110011)</f>
        <v>2014110011</v>
      </c>
      <c r="G11" s="2521">
        <v>49302</v>
      </c>
      <c r="H11" s="2522" t="str">
        <f t="shared" ca="1" si="1"/>
        <v>郑燚（注册号：2014110011）</v>
      </c>
    </row>
    <row r="12" spans="1:8" ht="24" customHeight="1">
      <c r="A12" s="1424" t="s">
        <v>2657</v>
      </c>
      <c r="B12" s="1424" t="str">
        <f ca="1">IF(C12&lt;B2,"已过期",1120040230)</f>
        <v>已过期</v>
      </c>
      <c r="C12" s="2523">
        <v>44864</v>
      </c>
      <c r="D12" s="2519" t="str">
        <f t="shared" ca="1" si="0"/>
        <v>苏海（注册号：已过期）</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2936</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25" t="s">
        <v>2661</v>
      </c>
      <c r="B17" s="3425"/>
      <c r="C17" s="3425"/>
      <c r="D17" s="3425"/>
      <c r="E17" s="3425"/>
      <c r="F17" s="3425"/>
      <c r="G17" s="3425"/>
      <c r="H17" s="3425"/>
    </row>
    <row r="18" spans="1:8" ht="24" customHeight="1">
      <c r="A18" s="3426" t="s">
        <v>2662</v>
      </c>
      <c r="B18" s="3426"/>
      <c r="C18" s="3426"/>
      <c r="D18" s="2516"/>
      <c r="E18" s="3427" t="s">
        <v>2663</v>
      </c>
      <c r="F18" s="3426"/>
      <c r="G18" s="3426"/>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2937</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2022-11-15T09:10:41Z</dcterms:modified>
</cp:coreProperties>
</file>